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86480E42-8AA9-4ACD-AB89-80B193856C5E}" xr6:coauthVersionLast="47" xr6:coauthVersionMax="47" xr10:uidLastSave="{00000000-0000-0000-0000-000000000000}"/>
  <bookViews>
    <workbookView xWindow="780" yWindow="780" windowWidth="21600" windowHeight="11385"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K126" i="8" l="1"/>
  <c r="S126" i="8"/>
  <c r="AQ104" i="17"/>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H134" i="6" l="1"/>
  <c r="T135" i="9"/>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I108" i="17" l="1"/>
  <c r="BG108" i="17"/>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O108" i="6" l="1"/>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U105" i="18" l="1"/>
  <c r="V105" i="18" s="1"/>
  <c r="BI105" i="18" s="1"/>
  <c r="BB103" i="18"/>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AC88" i="18"/>
  <c r="AE88" i="18" s="1"/>
  <c r="AF88" i="18" s="1"/>
  <c r="BC88" i="18" s="1"/>
  <c r="BE88" i="18" s="1"/>
  <c r="BG88" i="18" s="1"/>
  <c r="C97" i="6" s="1"/>
  <c r="L97" i="6" s="1"/>
  <c r="Q97" i="6" s="1"/>
  <c r="AJ28" i="6" s="1"/>
  <c r="AB88" i="18"/>
  <c r="AD88" i="18" s="1"/>
  <c r="BS31" i="6"/>
  <c r="AP29" i="6"/>
  <c r="R99" i="6" l="1"/>
  <c r="AK30" i="6" s="1"/>
  <c r="M100" i="6"/>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<sst xmlns="http://schemas.openxmlformats.org/spreadsheetml/2006/main" count="3690" uniqueCount="820">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</sst>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7" fontId="0" fillId="25" borderId="76" xfId="6" applyNumberFormat="1" applyFont="1" applyBorder="1"/>
    <xf numFmtId="178" fontId="21" fillId="25" borderId="70" xfId="6" applyNumberFormat="1" applyFont="1" applyBorder="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applyBorder="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applyBorder="1"/>
    <xf numFmtId="43" fontId="0" fillId="18" borderId="79" xfId="0" applyNumberFormat="1" applyFill="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0_-;\-* #,##0_-;_-* &quot;-&quot;??_-;_-@_-">
                  <c:v>456.79851130612758</c:v>
                </c:pt>
                <c:pt idx="11" formatCode="_-* #,##0_-;\-* #,##0_-;_-* &quot;-&quot;??_-;_-@_-">
                  <c:v>487.61891597202572</c:v>
                </c:pt>
                <c:pt idx="12" formatCode="_-* #,##0_-;\-* #,##0_-;_-* &quot;-&quot;??_-;_-@_-">
                  <c:v>538.64744356540064</c:v>
                </c:pt>
                <c:pt idx="13" formatCode="_-* #,##0_-;\-* #,##0_-;_-* &quot;-&quot;??_-;_-@_-">
                  <c:v>589.15519434167379</c:v>
                </c:pt>
                <c:pt idx="14" formatCode="_-* #,##0_-;\-* #,##0_-;_-* &quot;-&quot;??_-;_-@_-">
                  <c:v>635.23910612615396</c:v>
                </c:pt>
                <c:pt idx="15" formatCode="_-* #,##0_-;\-* #,##0_-;_-* &quot;-&quot;??_-;_-@_-">
                  <c:v>677.38176547650767</c:v>
                </c:pt>
                <c:pt idx="16" formatCode="_-* #,##0_-;\-* #,##0_-;_-* &quot;-&quot;??_-;_-@_-">
                  <c:v>715.43001879258736</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16400.178396217063</c:v>
                </c:pt>
                <c:pt idx="11">
                  <c:v>15963.910216945675</c:v>
                </c:pt>
                <c:pt idx="12">
                  <c:v>15518.948784195025</c:v>
                </c:pt>
                <c:pt idx="13">
                  <c:v>15067.49442694696</c:v>
                </c:pt>
                <c:pt idx="14">
                  <c:v>14618.519457679458</c:v>
                </c:pt>
                <c:pt idx="15">
                  <c:v>14174.795943320067</c:v>
                </c:pt>
                <c:pt idx="16">
                  <c:v>13751.825592974566</c:v>
                </c:pt>
                <c:pt idx="17">
                  <c:v>13344.506672621757</c:v>
                </c:pt>
                <c:pt idx="18">
                  <c:v>12946.79088933246</c:v>
                </c:pt>
                <c:pt idx="19">
                  <c:v>12562.861222369907</c:v>
                </c:pt>
                <c:pt idx="20">
                  <c:v>12187.988402366424</c:v>
                </c:pt>
                <c:pt idx="21">
                  <c:v>11827.429844905932</c:v>
                </c:pt>
                <c:pt idx="22">
                  <c:v>11476.75411971312</c:v>
                </c:pt>
                <c:pt idx="23">
                  <c:v>11134.650900045082</c:v>
                </c:pt>
                <c:pt idx="24">
                  <c:v>10793.484150192759</c:v>
                </c:pt>
                <c:pt idx="25">
                  <c:v>10451.053451272361</c:v>
                </c:pt>
                <c:pt idx="26">
                  <c:v>10142.805389999217</c:v>
                </c:pt>
                <c:pt idx="27">
                  <c:v>9864.5351369920554</c:v>
                </c:pt>
                <c:pt idx="28">
                  <c:v>9590.8489645879326</c:v>
                </c:pt>
                <c:pt idx="29">
                  <c:v>9334.2587956279585</c:v>
                </c:pt>
                <c:pt idx="30">
                  <c:v>9094.1238689321362</c:v>
                </c:pt>
                <c:pt idx="31">
                  <c:v>8869.7907849143248</c:v>
                </c:pt>
                <c:pt idx="32">
                  <c:v>8652.1233523400242</c:v>
                </c:pt>
                <c:pt idx="33">
                  <c:v>8441.0425454221895</c:v>
                </c:pt>
                <c:pt idx="34">
                  <c:v>8236.469179798778</c:v>
                </c:pt>
                <c:pt idx="35">
                  <c:v>8038.3246768576255</c:v>
                </c:pt>
                <c:pt idx="36">
                  <c:v>7846.5246526400097</c:v>
                </c:pt>
                <c:pt idx="37">
                  <c:v>7655.1251024448038</c:v>
                </c:pt>
                <c:pt idx="38">
                  <c:v>7464.0052723889276</c:v>
                </c:pt>
                <c:pt idx="39">
                  <c:v>7279.2826589138649</c:v>
                </c:pt>
                <c:pt idx="40">
                  <c:v>7100.8721680780745</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993.04858779095036</c:v>
                </c:pt>
                <c:pt idx="11">
                  <c:v>1052.8992274133789</c:v>
                </c:pt>
                <c:pt idx="12">
                  <c:v>1109.7365877589782</c:v>
                </c:pt>
                <c:pt idx="13">
                  <c:v>1172.4309566505772</c:v>
                </c:pt>
                <c:pt idx="14">
                  <c:v>1235.7173962100646</c:v>
                </c:pt>
                <c:pt idx="15">
                  <c:v>1298.538805430403</c:v>
                </c:pt>
                <c:pt idx="16">
                  <c:v>1360.2842928542614</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296.99089802855298</c:v>
                </c:pt>
                <c:pt idx="11">
                  <c:v>289.21016261452377</c:v>
                </c:pt>
                <c:pt idx="12">
                  <c:v>281.57677445577076</c:v>
                </c:pt>
                <c:pt idx="13">
                  <c:v>274.09656500757387</c:v>
                </c:pt>
                <c:pt idx="14">
                  <c:v>266.76357637984171</c:v>
                </c:pt>
                <c:pt idx="15">
                  <c:v>259.57354139212669</c:v>
                </c:pt>
                <c:pt idx="16">
                  <c:v>252.58492131751242</c:v>
                </c:pt>
                <c:pt idx="17">
                  <c:v>245.81131859373065</c:v>
                </c:pt>
                <c:pt idx="18">
                  <c:v>232.12239472169486</c:v>
                </c:pt>
                <c:pt idx="19">
                  <c:v>219.26984338229971</c:v>
                </c:pt>
                <c:pt idx="20">
                  <c:v>207.19602475789975</c:v>
                </c:pt>
                <c:pt idx="21">
                  <c:v>196.76014303510908</c:v>
                </c:pt>
                <c:pt idx="22">
                  <c:v>186.41402773817754</c:v>
                </c:pt>
                <c:pt idx="23">
                  <c:v>176.15233140650432</c:v>
                </c:pt>
                <c:pt idx="24">
                  <c:v>165.96999435763598</c:v>
                </c:pt>
                <c:pt idx="25">
                  <c:v>155.86222296280377</c:v>
                </c:pt>
                <c:pt idx="26">
                  <c:v>145.82172016402839</c:v>
                </c:pt>
                <c:pt idx="27">
                  <c:v>142.22935505070291</c:v>
                </c:pt>
                <c:pt idx="28">
                  <c:v>135.81370639142557</c:v>
                </c:pt>
                <c:pt idx="29">
                  <c:v>129.43957338741708</c:v>
                </c:pt>
                <c:pt idx="30">
                  <c:v>123.10475731241043</c:v>
                </c:pt>
                <c:pt idx="31">
                  <c:v>116.8065756190172</c:v>
                </c:pt>
                <c:pt idx="32">
                  <c:v>110.54312833572095</c:v>
                </c:pt>
                <c:pt idx="33">
                  <c:v>104.3125949383892</c:v>
                </c:pt>
                <c:pt idx="34">
                  <c:v>98.113229315656511</c:v>
                </c:pt>
                <c:pt idx="35">
                  <c:v>91.943355047684236</c:v>
                </c:pt>
                <c:pt idx="36">
                  <c:v>85.800936936653983</c:v>
                </c:pt>
                <c:pt idx="37">
                  <c:v>79.684525283971482</c:v>
                </c:pt>
                <c:pt idx="38">
                  <c:v>79.559700619855903</c:v>
                </c:pt>
                <c:pt idx="39">
                  <c:v>79.440214971717197</c:v>
                </c:pt>
                <c:pt idx="40">
                  <c:v>79.325939399174644</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3911.6672857917038</c:v>
                </c:pt>
                <c:pt idx="11">
                  <c:v>4007.1453596371134</c:v>
                </c:pt>
                <c:pt idx="12">
                  <c:v>4106.0268563442523</c:v>
                </c:pt>
                <c:pt idx="13">
                  <c:v>4206.8676210747599</c:v>
                </c:pt>
                <c:pt idx="14">
                  <c:v>4309.8911814623261</c:v>
                </c:pt>
                <c:pt idx="15">
                  <c:v>4415.1416853372239</c:v>
                </c:pt>
                <c:pt idx="16">
                  <c:v>4518.5183479885527</c:v>
                </c:pt>
                <c:pt idx="17">
                  <c:v>4619.7727684389774</c:v>
                </c:pt>
                <c:pt idx="18">
                  <c:v>4718.6571217755627</c:v>
                </c:pt>
                <c:pt idx="19">
                  <c:v>4814.9251466728774</c:v>
                </c:pt>
                <c:pt idx="20">
                  <c:v>4908.3331472096324</c:v>
                </c:pt>
                <c:pt idx="21">
                  <c:v>5001.5986350618459</c:v>
                </c:pt>
                <c:pt idx="22">
                  <c:v>5094.6495771837372</c:v>
                </c:pt>
                <c:pt idx="23">
                  <c:v>5187.4129614585527</c:v>
                </c:pt>
                <c:pt idx="24">
                  <c:v>5279.8148873590344</c:v>
                </c:pt>
                <c:pt idx="25">
                  <c:v>5371.7806596633172</c:v>
                </c:pt>
                <c:pt idx="26">
                  <c:v>5463.6197122027133</c:v>
                </c:pt>
                <c:pt idx="27">
                  <c:v>5555.2755684870554</c:v>
                </c:pt>
                <c:pt idx="28">
                  <c:v>5646.6910794093974</c:v>
                </c:pt>
                <c:pt idx="29">
                  <c:v>5737.8084798882846</c:v>
                </c:pt>
                <c:pt idx="30">
                  <c:v>5828.5694471771785</c:v>
                </c:pt>
                <c:pt idx="31">
                  <c:v>5919.0314655370876</c:v>
                </c:pt>
                <c:pt idx="32">
                  <c:v>6009.1406420390049</c:v>
                </c:pt>
                <c:pt idx="33">
                  <c:v>6098.8426583086866</c:v>
                </c:pt>
                <c:pt idx="34">
                  <c:v>6188.0828233796583</c:v>
                </c:pt>
                <c:pt idx="35">
                  <c:v>6276.8061276920935</c:v>
                </c:pt>
                <c:pt idx="36">
                  <c:v>6365.0873535078899</c:v>
                </c:pt>
                <c:pt idx="37">
                  <c:v>6452.8764543441694</c:v>
                </c:pt>
                <c:pt idx="38">
                  <c:v>6540.1231614610388</c:v>
                </c:pt>
                <c:pt idx="39">
                  <c:v>6626.7770307919509</c:v>
                </c:pt>
                <c:pt idx="40">
                  <c:v>6712.7874905991393</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16400.178396217063</c:v>
                </c:pt>
                <c:pt idx="11">
                  <c:v>15963.910216945675</c:v>
                </c:pt>
                <c:pt idx="12">
                  <c:v>15518.948784195025</c:v>
                </c:pt>
                <c:pt idx="13">
                  <c:v>15067.49442694696</c:v>
                </c:pt>
                <c:pt idx="14">
                  <c:v>14618.519457679458</c:v>
                </c:pt>
                <c:pt idx="15">
                  <c:v>14174.795943320067</c:v>
                </c:pt>
                <c:pt idx="16">
                  <c:v>13751.825592974566</c:v>
                </c:pt>
                <c:pt idx="17">
                  <c:v>13344.506672621757</c:v>
                </c:pt>
                <c:pt idx="18">
                  <c:v>12946.79088933246</c:v>
                </c:pt>
                <c:pt idx="19">
                  <c:v>12562.861222369907</c:v>
                </c:pt>
                <c:pt idx="20">
                  <c:v>12187.988402366424</c:v>
                </c:pt>
                <c:pt idx="21">
                  <c:v>11827.429844905932</c:v>
                </c:pt>
                <c:pt idx="22">
                  <c:v>11476.75411971312</c:v>
                </c:pt>
                <c:pt idx="23">
                  <c:v>11134.650900045082</c:v>
                </c:pt>
                <c:pt idx="24">
                  <c:v>10793.484150192759</c:v>
                </c:pt>
                <c:pt idx="25">
                  <c:v>10451.053451272361</c:v>
                </c:pt>
                <c:pt idx="26">
                  <c:v>10142.805389999217</c:v>
                </c:pt>
                <c:pt idx="27">
                  <c:v>9864.5351369920554</c:v>
                </c:pt>
                <c:pt idx="28">
                  <c:v>9590.8489645879326</c:v>
                </c:pt>
                <c:pt idx="29">
                  <c:v>9334.2587956279585</c:v>
                </c:pt>
                <c:pt idx="30">
                  <c:v>9094.1238689321362</c:v>
                </c:pt>
                <c:pt idx="31">
                  <c:v>8869.7907849143248</c:v>
                </c:pt>
                <c:pt idx="32">
                  <c:v>8652.1233523400242</c:v>
                </c:pt>
                <c:pt idx="33">
                  <c:v>8441.0425454221895</c:v>
                </c:pt>
                <c:pt idx="34">
                  <c:v>8236.469179798778</c:v>
                </c:pt>
                <c:pt idx="35">
                  <c:v>8038.3246768576255</c:v>
                </c:pt>
                <c:pt idx="36">
                  <c:v>7846.5246526400097</c:v>
                </c:pt>
                <c:pt idx="37">
                  <c:v>7655.1251024448038</c:v>
                </c:pt>
                <c:pt idx="38">
                  <c:v>7464.0052723889276</c:v>
                </c:pt>
                <c:pt idx="39">
                  <c:v>7279.2826589138649</c:v>
                </c:pt>
                <c:pt idx="40">
                  <c:v>7100.8721680780745</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993.04858779095036</c:v>
                </c:pt>
                <c:pt idx="11">
                  <c:v>1052.8992274133789</c:v>
                </c:pt>
                <c:pt idx="12">
                  <c:v>1109.7365877589782</c:v>
                </c:pt>
                <c:pt idx="13">
                  <c:v>1172.4309566505772</c:v>
                </c:pt>
                <c:pt idx="14">
                  <c:v>1235.7173962100646</c:v>
                </c:pt>
                <c:pt idx="15">
                  <c:v>1298.538805430403</c:v>
                </c:pt>
                <c:pt idx="16">
                  <c:v>1360.2842928542614</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296.99089802855298</c:v>
                </c:pt>
                <c:pt idx="11">
                  <c:v>289.21016261452377</c:v>
                </c:pt>
                <c:pt idx="12">
                  <c:v>281.57677445577076</c:v>
                </c:pt>
                <c:pt idx="13">
                  <c:v>274.09656500757387</c:v>
                </c:pt>
                <c:pt idx="14">
                  <c:v>266.76357637984171</c:v>
                </c:pt>
                <c:pt idx="15">
                  <c:v>259.57354139212669</c:v>
                </c:pt>
                <c:pt idx="16">
                  <c:v>252.58492131751242</c:v>
                </c:pt>
                <c:pt idx="17">
                  <c:v>245.81131859373065</c:v>
                </c:pt>
                <c:pt idx="18">
                  <c:v>232.12239472169486</c:v>
                </c:pt>
                <c:pt idx="19">
                  <c:v>219.26984338229971</c:v>
                </c:pt>
                <c:pt idx="20">
                  <c:v>207.19602475789975</c:v>
                </c:pt>
                <c:pt idx="21">
                  <c:v>196.76014303510908</c:v>
                </c:pt>
                <c:pt idx="22">
                  <c:v>186.41402773817754</c:v>
                </c:pt>
                <c:pt idx="23">
                  <c:v>176.15233140650432</c:v>
                </c:pt>
                <c:pt idx="24">
                  <c:v>165.96999435763598</c:v>
                </c:pt>
                <c:pt idx="25">
                  <c:v>155.86222296280377</c:v>
                </c:pt>
                <c:pt idx="26">
                  <c:v>145.82172016402839</c:v>
                </c:pt>
                <c:pt idx="27">
                  <c:v>142.22935505070291</c:v>
                </c:pt>
                <c:pt idx="28">
                  <c:v>135.81370639142557</c:v>
                </c:pt>
                <c:pt idx="29">
                  <c:v>129.43957338741708</c:v>
                </c:pt>
                <c:pt idx="30">
                  <c:v>123.10475731241043</c:v>
                </c:pt>
                <c:pt idx="31">
                  <c:v>116.8065756190172</c:v>
                </c:pt>
                <c:pt idx="32">
                  <c:v>110.54312833572095</c:v>
                </c:pt>
                <c:pt idx="33">
                  <c:v>104.3125949383892</c:v>
                </c:pt>
                <c:pt idx="34">
                  <c:v>98.113229315656511</c:v>
                </c:pt>
                <c:pt idx="35">
                  <c:v>91.943355047684236</c:v>
                </c:pt>
                <c:pt idx="36">
                  <c:v>85.800936936653983</c:v>
                </c:pt>
                <c:pt idx="37">
                  <c:v>79.684525283971482</c:v>
                </c:pt>
                <c:pt idx="38">
                  <c:v>79.559700619855903</c:v>
                </c:pt>
                <c:pt idx="39">
                  <c:v>79.440214971717197</c:v>
                </c:pt>
                <c:pt idx="40">
                  <c:v>79.325939399174644</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3911.6672857917038</c:v>
                </c:pt>
                <c:pt idx="11">
                  <c:v>4007.1453596371134</c:v>
                </c:pt>
                <c:pt idx="12">
                  <c:v>4106.0268563442523</c:v>
                </c:pt>
                <c:pt idx="13">
                  <c:v>4206.8676210747599</c:v>
                </c:pt>
                <c:pt idx="14">
                  <c:v>4309.8911814623261</c:v>
                </c:pt>
                <c:pt idx="15">
                  <c:v>4415.1416853372239</c:v>
                </c:pt>
                <c:pt idx="16">
                  <c:v>4518.5183479885527</c:v>
                </c:pt>
                <c:pt idx="17">
                  <c:v>4619.7727684389774</c:v>
                </c:pt>
                <c:pt idx="18">
                  <c:v>4718.6571217755627</c:v>
                </c:pt>
                <c:pt idx="19">
                  <c:v>4814.9251466728774</c:v>
                </c:pt>
                <c:pt idx="20">
                  <c:v>4908.3331472096324</c:v>
                </c:pt>
                <c:pt idx="21">
                  <c:v>5001.5986350618459</c:v>
                </c:pt>
                <c:pt idx="22">
                  <c:v>5094.6495771837372</c:v>
                </c:pt>
                <c:pt idx="23">
                  <c:v>5187.4129614585527</c:v>
                </c:pt>
                <c:pt idx="24">
                  <c:v>5279.8148873590344</c:v>
                </c:pt>
                <c:pt idx="25">
                  <c:v>5371.7806596633172</c:v>
                </c:pt>
                <c:pt idx="26">
                  <c:v>5463.6197122027133</c:v>
                </c:pt>
                <c:pt idx="27">
                  <c:v>5555.2755684870554</c:v>
                </c:pt>
                <c:pt idx="28">
                  <c:v>5646.6910794093974</c:v>
                </c:pt>
                <c:pt idx="29">
                  <c:v>5737.8084798882846</c:v>
                </c:pt>
                <c:pt idx="30">
                  <c:v>5828.5694471771785</c:v>
                </c:pt>
                <c:pt idx="31">
                  <c:v>5919.0314655370876</c:v>
                </c:pt>
                <c:pt idx="32">
                  <c:v>6009.1406420390049</c:v>
                </c:pt>
                <c:pt idx="33">
                  <c:v>6098.8426583086866</c:v>
                </c:pt>
                <c:pt idx="34">
                  <c:v>6188.0828233796583</c:v>
                </c:pt>
                <c:pt idx="35">
                  <c:v>6276.8061276920935</c:v>
                </c:pt>
                <c:pt idx="36">
                  <c:v>6365.0873535078899</c:v>
                </c:pt>
                <c:pt idx="37">
                  <c:v>6452.8764543441694</c:v>
                </c:pt>
                <c:pt idx="38">
                  <c:v>6540.1231614610388</c:v>
                </c:pt>
                <c:pt idx="39">
                  <c:v>6626.7770307919509</c:v>
                </c:pt>
                <c:pt idx="40">
                  <c:v>6712.7874905991393</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16423.035608032467</c:v>
                </c:pt>
                <c:pt idx="11">
                  <c:v>15979.386076279519</c:v>
                </c:pt>
                <c:pt idx="12">
                  <c:v>15436.519156349257</c:v>
                </c:pt>
                <c:pt idx="13">
                  <c:v>14857.409114096285</c:v>
                </c:pt>
                <c:pt idx="14">
                  <c:v>14302.114935629614</c:v>
                </c:pt>
                <c:pt idx="15">
                  <c:v>13768.909811254725</c:v>
                </c:pt>
                <c:pt idx="16">
                  <c:v>13256.140438983586</c:v>
                </c:pt>
                <c:pt idx="17">
                  <c:v>12762.179984870738</c:v>
                </c:pt>
                <c:pt idx="18">
                  <c:v>12286.460792318298</c:v>
                </c:pt>
                <c:pt idx="19">
                  <c:v>11827.639073717663</c:v>
                </c:pt>
                <c:pt idx="20">
                  <c:v>11380.912335583191</c:v>
                </c:pt>
                <c:pt idx="21">
                  <c:v>10947.195357694232</c:v>
                </c:pt>
                <c:pt idx="22">
                  <c:v>10522.601981530597</c:v>
                </c:pt>
                <c:pt idx="23">
                  <c:v>10106.616677829699</c:v>
                </c:pt>
                <c:pt idx="24">
                  <c:v>9711.2155088105937</c:v>
                </c:pt>
                <c:pt idx="25">
                  <c:v>9335.3836670131168</c:v>
                </c:pt>
                <c:pt idx="26">
                  <c:v>8978.1559847443114</c:v>
                </c:pt>
                <c:pt idx="27">
                  <c:v>8657.2501370379559</c:v>
                </c:pt>
                <c:pt idx="28">
                  <c:v>8350.1298301105071</c:v>
                </c:pt>
                <c:pt idx="29">
                  <c:v>8067.6044690930421</c:v>
                </c:pt>
                <c:pt idx="30">
                  <c:v>7808.6134387678994</c:v>
                </c:pt>
                <c:pt idx="31">
                  <c:v>7572.1289337936287</c:v>
                </c:pt>
                <c:pt idx="32">
                  <c:v>7352.643067520964</c:v>
                </c:pt>
                <c:pt idx="33">
                  <c:v>7149.3780788731865</c:v>
                </c:pt>
                <c:pt idx="34">
                  <c:v>6961.5947868003987</c:v>
                </c:pt>
                <c:pt idx="35">
                  <c:v>6788.5928943995177</c:v>
                </c:pt>
                <c:pt idx="36">
                  <c:v>6629.7057991087067</c:v>
                </c:pt>
                <c:pt idx="37">
                  <c:v>6479.9093712393687</c:v>
                </c:pt>
                <c:pt idx="38">
                  <c:v>6338.5586986930202</c:v>
                </c:pt>
                <c:pt idx="39">
                  <c:v>6205.2108191417083</c:v>
                </c:pt>
                <c:pt idx="40">
                  <c:v>6079.4640546257178</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1048.5083161077769</c:v>
                </c:pt>
                <c:pt idx="11">
                  <c:v>1273.0199745103064</c:v>
                </c:pt>
                <c:pt idx="12">
                  <c:v>1382.7398139171632</c:v>
                </c:pt>
                <c:pt idx="13">
                  <c:v>1390.8335375771253</c:v>
                </c:pt>
                <c:pt idx="14">
                  <c:v>1399.5193319049756</c:v>
                </c:pt>
                <c:pt idx="15">
                  <c:v>1407.7400958936769</c:v>
                </c:pt>
                <c:pt idx="16">
                  <c:v>1414.8849380858983</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299.56938939855024</c:v>
                </c:pt>
                <c:pt idx="11">
                  <c:v>275.14354267408976</c:v>
                </c:pt>
                <c:pt idx="12">
                  <c:v>228.55260053772801</c:v>
                </c:pt>
                <c:pt idx="13">
                  <c:v>216.40392641373811</c:v>
                </c:pt>
                <c:pt idx="14">
                  <c:v>204.0956305840258</c:v>
                </c:pt>
                <c:pt idx="15">
                  <c:v>191.62045730555255</c:v>
                </c:pt>
                <c:pt idx="16">
                  <c:v>179.02774717071497</c:v>
                </c:pt>
                <c:pt idx="17">
                  <c:v>166.29654607941288</c:v>
                </c:pt>
                <c:pt idx="18">
                  <c:v>153.40585885571505</c:v>
                </c:pt>
                <c:pt idx="19">
                  <c:v>140.33449231102381</c:v>
                </c:pt>
                <c:pt idx="20">
                  <c:v>127.06089785111131</c:v>
                </c:pt>
                <c:pt idx="21">
                  <c:v>111.97989564182652</c:v>
                </c:pt>
                <c:pt idx="22">
                  <c:v>97.02579641340661</c:v>
                </c:pt>
                <c:pt idx="23">
                  <c:v>96.694356140916881</c:v>
                </c:pt>
                <c:pt idx="24">
                  <c:v>96.378830466311783</c:v>
                </c:pt>
                <c:pt idx="25">
                  <c:v>96.07859245659904</c:v>
                </c:pt>
                <c:pt idx="26">
                  <c:v>95.79093269878274</c:v>
                </c:pt>
                <c:pt idx="27">
                  <c:v>95.515396353463032</c:v>
                </c:pt>
                <c:pt idx="28">
                  <c:v>95.251554951353185</c:v>
                </c:pt>
                <c:pt idx="29">
                  <c:v>94.999004785552572</c:v>
                </c:pt>
                <c:pt idx="30">
                  <c:v>94.757365429428205</c:v>
                </c:pt>
                <c:pt idx="31">
                  <c:v>94.52572607471231</c:v>
                </c:pt>
                <c:pt idx="32">
                  <c:v>94.30376935976021</c:v>
                </c:pt>
                <c:pt idx="33">
                  <c:v>94.091195463659886</c:v>
                </c:pt>
                <c:pt idx="34">
                  <c:v>93.887721150761223</c:v>
                </c:pt>
                <c:pt idx="35">
                  <c:v>93.693078884917554</c:v>
                </c:pt>
                <c:pt idx="36">
                  <c:v>93.50647461634388</c:v>
                </c:pt>
                <c:pt idx="37">
                  <c:v>93.327686648099942</c:v>
                </c:pt>
                <c:pt idx="38">
                  <c:v>93.156505094315065</c:v>
                </c:pt>
                <c:pt idx="39">
                  <c:v>92.992731310372719</c:v>
                </c:pt>
                <c:pt idx="40">
                  <c:v>92.836177362248876</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4064.5012919255478</c:v>
                </c:pt>
                <c:pt idx="11">
                  <c:v>4214.1456227606122</c:v>
                </c:pt>
                <c:pt idx="12">
                  <c:v>4368.9550623955192</c:v>
                </c:pt>
                <c:pt idx="13">
                  <c:v>4527.4614513669821</c:v>
                </c:pt>
                <c:pt idx="14">
                  <c:v>4689.9393866333494</c:v>
                </c:pt>
                <c:pt idx="15">
                  <c:v>4856.4756674346772</c:v>
                </c:pt>
                <c:pt idx="16">
                  <c:v>5022.5506152726048</c:v>
                </c:pt>
                <c:pt idx="17">
                  <c:v>5187.7823044053921</c:v>
                </c:pt>
                <c:pt idx="18">
                  <c:v>5351.7815773729699</c:v>
                </c:pt>
                <c:pt idx="19">
                  <c:v>5514.1535178716267</c:v>
                </c:pt>
                <c:pt idx="20">
                  <c:v>5674.4989885700234</c:v>
                </c:pt>
                <c:pt idx="21">
                  <c:v>5737.542683109079</c:v>
                </c:pt>
                <c:pt idx="22">
                  <c:v>5799.3731995054168</c:v>
                </c:pt>
                <c:pt idx="23">
                  <c:v>5859.9358157372899</c:v>
                </c:pt>
                <c:pt idx="24">
                  <c:v>5919.1764704369907</c:v>
                </c:pt>
                <c:pt idx="25">
                  <c:v>5977.0418423532319</c:v>
                </c:pt>
                <c:pt idx="26">
                  <c:v>6033.9044242920972</c:v>
                </c:pt>
                <c:pt idx="27">
                  <c:v>6089.7245696542341</c:v>
                </c:pt>
                <c:pt idx="28">
                  <c:v>6144.4630649174987</c:v>
                </c:pt>
                <c:pt idx="29">
                  <c:v>6198.0811750318489</c:v>
                </c:pt>
                <c:pt idx="30">
                  <c:v>6250.5406886302117</c:v>
                </c:pt>
                <c:pt idx="31">
                  <c:v>6301.9277913970745</c:v>
                </c:pt>
                <c:pt idx="32">
                  <c:v>6352.2084729787603</c:v>
                </c:pt>
                <c:pt idx="33">
                  <c:v>6401.3492404372764</c:v>
                </c:pt>
                <c:pt idx="34">
                  <c:v>6449.3171551320138</c:v>
                </c:pt>
                <c:pt idx="35">
                  <c:v>6496.079869241199</c:v>
                </c:pt>
                <c:pt idx="36">
                  <c:v>6541.7393266697118</c:v>
                </c:pt>
                <c:pt idx="37">
                  <c:v>6586.2672523957835</c:v>
                </c:pt>
                <c:pt idx="38">
                  <c:v>6629.6359200826273</c:v>
                </c:pt>
                <c:pt idx="39">
                  <c:v>6671.8181806811444</c:v>
                </c:pt>
                <c:pt idx="40">
                  <c:v>6712.7874905991393</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16423.035608032467</c:v>
                </c:pt>
                <c:pt idx="11">
                  <c:v>15979.386076279519</c:v>
                </c:pt>
                <c:pt idx="12">
                  <c:v>15436.519156349257</c:v>
                </c:pt>
                <c:pt idx="13">
                  <c:v>14857.409114096285</c:v>
                </c:pt>
                <c:pt idx="14">
                  <c:v>14302.114935629614</c:v>
                </c:pt>
                <c:pt idx="15">
                  <c:v>13768.909811254725</c:v>
                </c:pt>
                <c:pt idx="16">
                  <c:v>13256.140438983586</c:v>
                </c:pt>
                <c:pt idx="17">
                  <c:v>12762.179984870738</c:v>
                </c:pt>
                <c:pt idx="18">
                  <c:v>12286.460792318298</c:v>
                </c:pt>
                <c:pt idx="19">
                  <c:v>11827.639073717663</c:v>
                </c:pt>
                <c:pt idx="20">
                  <c:v>11380.912335583191</c:v>
                </c:pt>
                <c:pt idx="21">
                  <c:v>10947.195357694232</c:v>
                </c:pt>
                <c:pt idx="22">
                  <c:v>10522.601981530597</c:v>
                </c:pt>
                <c:pt idx="23">
                  <c:v>10106.616677829699</c:v>
                </c:pt>
                <c:pt idx="24">
                  <c:v>9711.2155088105937</c:v>
                </c:pt>
                <c:pt idx="25">
                  <c:v>9335.3836670131168</c:v>
                </c:pt>
                <c:pt idx="26">
                  <c:v>8978.1559847443114</c:v>
                </c:pt>
                <c:pt idx="27">
                  <c:v>8657.2501370379559</c:v>
                </c:pt>
                <c:pt idx="28">
                  <c:v>8350.1298301105071</c:v>
                </c:pt>
                <c:pt idx="29">
                  <c:v>8067.6044690930421</c:v>
                </c:pt>
                <c:pt idx="30">
                  <c:v>7808.6134387678994</c:v>
                </c:pt>
                <c:pt idx="31">
                  <c:v>7572.1289337936287</c:v>
                </c:pt>
                <c:pt idx="32">
                  <c:v>7352.643067520964</c:v>
                </c:pt>
                <c:pt idx="33">
                  <c:v>7149.3780788731865</c:v>
                </c:pt>
                <c:pt idx="34">
                  <c:v>6961.5947868003987</c:v>
                </c:pt>
                <c:pt idx="35">
                  <c:v>6788.5928943995177</c:v>
                </c:pt>
                <c:pt idx="36">
                  <c:v>6629.7057991087067</c:v>
                </c:pt>
                <c:pt idx="37">
                  <c:v>6479.9093712393687</c:v>
                </c:pt>
                <c:pt idx="38">
                  <c:v>6338.5586986930202</c:v>
                </c:pt>
                <c:pt idx="39">
                  <c:v>6205.2108191417083</c:v>
                </c:pt>
                <c:pt idx="40">
                  <c:v>6079.4640546257178</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965.18898465661198</c:v>
                </c:pt>
                <c:pt idx="10">
                  <c:v>1048.5083161077769</c:v>
                </c:pt>
                <c:pt idx="11">
                  <c:v>1273.0199745103064</c:v>
                </c:pt>
                <c:pt idx="12">
                  <c:v>1382.7398139171632</c:v>
                </c:pt>
                <c:pt idx="13">
                  <c:v>1390.8335375771253</c:v>
                </c:pt>
                <c:pt idx="14">
                  <c:v>1399.5193319049756</c:v>
                </c:pt>
                <c:pt idx="15">
                  <c:v>1407.7400958936769</c:v>
                </c:pt>
                <c:pt idx="16">
                  <c:v>1414.8849380858983</c:v>
                </c:pt>
                <c:pt idx="17">
                  <c:v>1421.978807306712</c:v>
                </c:pt>
                <c:pt idx="18">
                  <c:v>1429.2295164395491</c:v>
                </c:pt>
                <c:pt idx="19">
                  <c:v>1438.8610554369002</c:v>
                </c:pt>
                <c:pt idx="20">
                  <c:v>1447.5256763766272</c:v>
                </c:pt>
                <c:pt idx="21">
                  <c:v>1457.782222423391</c:v>
                </c:pt>
                <c:pt idx="22">
                  <c:v>1468.5147776031451</c:v>
                </c:pt>
                <c:pt idx="23">
                  <c:v>1481.1372537227801</c:v>
                </c:pt>
                <c:pt idx="24">
                  <c:v>1494.902308601505</c:v>
                </c:pt>
                <c:pt idx="25">
                  <c:v>1505.8873760396166</c:v>
                </c:pt>
                <c:pt idx="26">
                  <c:v>1516.8865590698106</c:v>
                </c:pt>
                <c:pt idx="27">
                  <c:v>1529.7560580508825</c:v>
                </c:pt>
                <c:pt idx="28">
                  <c:v>1542.323640201309</c:v>
                </c:pt>
                <c:pt idx="29">
                  <c:v>1555.7930518458707</c:v>
                </c:pt>
                <c:pt idx="30">
                  <c:v>1569.3079470649179</c:v>
                </c:pt>
                <c:pt idx="31">
                  <c:v>1584.5041661408554</c:v>
                </c:pt>
                <c:pt idx="32">
                  <c:v>1599.9395660826283</c:v>
                </c:pt>
                <c:pt idx="33">
                  <c:v>1615.7733394009406</c:v>
                </c:pt>
                <c:pt idx="34">
                  <c:v>1632.2219251743841</c:v>
                </c:pt>
                <c:pt idx="35">
                  <c:v>1649.3653117580907</c:v>
                </c:pt>
                <c:pt idx="36">
                  <c:v>1667.697544874934</c:v>
                </c:pt>
                <c:pt idx="37">
                  <c:v>1679.0809856895848</c:v>
                </c:pt>
                <c:pt idx="38">
                  <c:v>1689.6857163410402</c:v>
                </c:pt>
                <c:pt idx="39">
                  <c:v>1700.2520212140498</c:v>
                </c:pt>
                <c:pt idx="40">
                  <c:v>1710.5830662190247</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299.56938939855024</c:v>
                </c:pt>
                <c:pt idx="11">
                  <c:v>275.14354267408976</c:v>
                </c:pt>
                <c:pt idx="12">
                  <c:v>228.55260053772801</c:v>
                </c:pt>
                <c:pt idx="13">
                  <c:v>216.40392641373811</c:v>
                </c:pt>
                <c:pt idx="14">
                  <c:v>204.0956305840258</c:v>
                </c:pt>
                <c:pt idx="15">
                  <c:v>191.62045730555255</c:v>
                </c:pt>
                <c:pt idx="16">
                  <c:v>179.02774717071497</c:v>
                </c:pt>
                <c:pt idx="17">
                  <c:v>166.29654607941288</c:v>
                </c:pt>
                <c:pt idx="18">
                  <c:v>153.40585885571505</c:v>
                </c:pt>
                <c:pt idx="19">
                  <c:v>140.33449231102381</c:v>
                </c:pt>
                <c:pt idx="20">
                  <c:v>127.06089785111131</c:v>
                </c:pt>
                <c:pt idx="21">
                  <c:v>111.97989564182652</c:v>
                </c:pt>
                <c:pt idx="22">
                  <c:v>97.02579641340661</c:v>
                </c:pt>
                <c:pt idx="23">
                  <c:v>96.694356140916881</c:v>
                </c:pt>
                <c:pt idx="24">
                  <c:v>96.378830466311783</c:v>
                </c:pt>
                <c:pt idx="25">
                  <c:v>96.07859245659904</c:v>
                </c:pt>
                <c:pt idx="26">
                  <c:v>95.79093269878274</c:v>
                </c:pt>
                <c:pt idx="27">
                  <c:v>95.515396353463032</c:v>
                </c:pt>
                <c:pt idx="28">
                  <c:v>95.251554951353185</c:v>
                </c:pt>
                <c:pt idx="29">
                  <c:v>94.999004785552572</c:v>
                </c:pt>
                <c:pt idx="30">
                  <c:v>94.757365429428205</c:v>
                </c:pt>
                <c:pt idx="31">
                  <c:v>94.52572607471231</c:v>
                </c:pt>
                <c:pt idx="32">
                  <c:v>94.30376935976021</c:v>
                </c:pt>
                <c:pt idx="33">
                  <c:v>94.091195463659886</c:v>
                </c:pt>
                <c:pt idx="34">
                  <c:v>93.887721150761223</c:v>
                </c:pt>
                <c:pt idx="35">
                  <c:v>93.693078884917554</c:v>
                </c:pt>
                <c:pt idx="36">
                  <c:v>93.50647461634388</c:v>
                </c:pt>
                <c:pt idx="37">
                  <c:v>93.327686648099942</c:v>
                </c:pt>
                <c:pt idx="38">
                  <c:v>93.156505094315065</c:v>
                </c:pt>
                <c:pt idx="39">
                  <c:v>92.992731310372719</c:v>
                </c:pt>
                <c:pt idx="40">
                  <c:v>92.836177362248876</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4064.5012919255478</c:v>
                </c:pt>
                <c:pt idx="11">
                  <c:v>4214.1456227606122</c:v>
                </c:pt>
                <c:pt idx="12">
                  <c:v>4368.9550623955192</c:v>
                </c:pt>
                <c:pt idx="13">
                  <c:v>4527.4614513669821</c:v>
                </c:pt>
                <c:pt idx="14">
                  <c:v>4689.9393866333494</c:v>
                </c:pt>
                <c:pt idx="15">
                  <c:v>4856.4756674346772</c:v>
                </c:pt>
                <c:pt idx="16">
                  <c:v>5022.5506152726048</c:v>
                </c:pt>
                <c:pt idx="17">
                  <c:v>5187.7823044053921</c:v>
                </c:pt>
                <c:pt idx="18">
                  <c:v>5351.7815773729699</c:v>
                </c:pt>
                <c:pt idx="19">
                  <c:v>5514.1535178716267</c:v>
                </c:pt>
                <c:pt idx="20">
                  <c:v>5674.4989885700234</c:v>
                </c:pt>
                <c:pt idx="21">
                  <c:v>5737.542683109079</c:v>
                </c:pt>
                <c:pt idx="22">
                  <c:v>5799.3731995054168</c:v>
                </c:pt>
                <c:pt idx="23">
                  <c:v>5859.9358157372899</c:v>
                </c:pt>
                <c:pt idx="24">
                  <c:v>5919.1764704369907</c:v>
                </c:pt>
                <c:pt idx="25">
                  <c:v>5977.0418423532319</c:v>
                </c:pt>
                <c:pt idx="26">
                  <c:v>6033.9044242920972</c:v>
                </c:pt>
                <c:pt idx="27">
                  <c:v>6089.7245696542341</c:v>
                </c:pt>
                <c:pt idx="28">
                  <c:v>6144.4630649174987</c:v>
                </c:pt>
                <c:pt idx="29">
                  <c:v>6198.0811750318489</c:v>
                </c:pt>
                <c:pt idx="30">
                  <c:v>6250.5406886302117</c:v>
                </c:pt>
                <c:pt idx="31">
                  <c:v>6301.9277913970745</c:v>
                </c:pt>
                <c:pt idx="32">
                  <c:v>6352.2084729787603</c:v>
                </c:pt>
                <c:pt idx="33">
                  <c:v>6401.3492404372764</c:v>
                </c:pt>
                <c:pt idx="34">
                  <c:v>6449.3171551320138</c:v>
                </c:pt>
                <c:pt idx="35">
                  <c:v>6496.079869241199</c:v>
                </c:pt>
                <c:pt idx="36">
                  <c:v>6541.7393266697118</c:v>
                </c:pt>
                <c:pt idx="37">
                  <c:v>6586.2672523957835</c:v>
                </c:pt>
                <c:pt idx="38">
                  <c:v>6629.6359200826273</c:v>
                </c:pt>
                <c:pt idx="39">
                  <c:v>6671.8181806811444</c:v>
                </c:pt>
                <c:pt idx="40">
                  <c:v>6712.7874905991393</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16423.058150834138</c:v>
                </c:pt>
                <c:pt idx="11">
                  <c:v>15979.430757058764</c:v>
                </c:pt>
                <c:pt idx="12">
                  <c:v>15436.592997132118</c:v>
                </c:pt>
                <c:pt idx="13">
                  <c:v>14857.518998289994</c:v>
                </c:pt>
                <c:pt idx="14">
                  <c:v>14302.267612411863</c:v>
                </c:pt>
                <c:pt idx="15">
                  <c:v>13769.111911226639</c:v>
                </c:pt>
                <c:pt idx="16">
                  <c:v>13256.398487619486</c:v>
                </c:pt>
                <c:pt idx="17">
                  <c:v>12762.500344365419</c:v>
                </c:pt>
                <c:pt idx="18">
                  <c:v>12286.849650607719</c:v>
                </c:pt>
                <c:pt idx="19">
                  <c:v>11828.102432940997</c:v>
                </c:pt>
                <c:pt idx="20">
                  <c:v>11381.456000093247</c:v>
                </c:pt>
                <c:pt idx="21">
                  <c:v>10947.824921724799</c:v>
                </c:pt>
                <c:pt idx="22">
                  <c:v>10523.313748775707</c:v>
                </c:pt>
                <c:pt idx="23">
                  <c:v>10107.40714210576</c:v>
                </c:pt>
                <c:pt idx="24">
                  <c:v>9712.0813418508351</c:v>
                </c:pt>
                <c:pt idx="25">
                  <c:v>9336.3217069865095</c:v>
                </c:pt>
                <c:pt idx="26">
                  <c:v>8979.1632254584401</c:v>
                </c:pt>
                <c:pt idx="27">
                  <c:v>8658.3237265923617</c:v>
                </c:pt>
                <c:pt idx="28">
                  <c:v>8351.2670610900532</c:v>
                </c:pt>
                <c:pt idx="29">
                  <c:v>8068.802769341346</c:v>
                </c:pt>
                <c:pt idx="30">
                  <c:v>7809.8703627079958</c:v>
                </c:pt>
                <c:pt idx="31">
                  <c:v>7573.4421542649206</c:v>
                </c:pt>
                <c:pt idx="32">
                  <c:v>7354.0103706687223</c:v>
                </c:pt>
                <c:pt idx="33">
                  <c:v>7150.7973568455272</c:v>
                </c:pt>
                <c:pt idx="34">
                  <c:v>6963.0640308812781</c:v>
                </c:pt>
                <c:pt idx="35">
                  <c:v>6790.1101885531098</c:v>
                </c:pt>
                <c:pt idx="36">
                  <c:v>6631.269313911971</c:v>
                </c:pt>
                <c:pt idx="37">
                  <c:v>6481.5173609501117</c:v>
                </c:pt>
                <c:pt idx="38">
                  <c:v>6340.209495790923</c:v>
                </c:pt>
                <c:pt idx="39">
                  <c:v>6206.9028291986224</c:v>
                </c:pt>
                <c:pt idx="40">
                  <c:v>6081.1957514866572</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816.26147130889444</c:v>
                </c:pt>
                <c:pt idx="10">
                  <c:v>804.55310712020696</c:v>
                </c:pt>
                <c:pt idx="11">
                  <c:v>875.70330766334484</c:v>
                </c:pt>
                <c:pt idx="12">
                  <c:v>839.76710828579792</c:v>
                </c:pt>
                <c:pt idx="13">
                  <c:v>844.68259769659028</c:v>
                </c:pt>
                <c:pt idx="14">
                  <c:v>849.95766413530146</c:v>
                </c:pt>
                <c:pt idx="15">
                  <c:v>854.95030782228321</c:v>
                </c:pt>
                <c:pt idx="16">
                  <c:v>859.28952146647725</c:v>
                </c:pt>
                <c:pt idx="17">
                  <c:v>863.59777814800327</c:v>
                </c:pt>
                <c:pt idx="18">
                  <c:v>868.0012870223552</c:v>
                </c:pt>
                <c:pt idx="19">
                  <c:v>873.85072418380787</c:v>
                </c:pt>
                <c:pt idx="20">
                  <c:v>879.11293157648731</c:v>
                </c:pt>
                <c:pt idx="21">
                  <c:v>885.34194872635214</c:v>
                </c:pt>
                <c:pt idx="22">
                  <c:v>891.86005628144426</c:v>
                </c:pt>
                <c:pt idx="23">
                  <c:v>899.52595276009117</c:v>
                </c:pt>
                <c:pt idx="24">
                  <c:v>907.88576146347657</c:v>
                </c:pt>
                <c:pt idx="25">
                  <c:v>914.55722504901848</c:v>
                </c:pt>
                <c:pt idx="26">
                  <c:v>921.23726133191497</c:v>
                </c:pt>
                <c:pt idx="27">
                  <c:v>929.05318001426315</c:v>
                </c:pt>
                <c:pt idx="28">
                  <c:v>936.68573822542078</c:v>
                </c:pt>
                <c:pt idx="29">
                  <c:v>944.86599654532904</c:v>
                </c:pt>
                <c:pt idx="30">
                  <c:v>953.07387800115657</c:v>
                </c:pt>
                <c:pt idx="31">
                  <c:v>962.30286296408019</c:v>
                </c:pt>
                <c:pt idx="32">
                  <c:v>971.67710752106382</c:v>
                </c:pt>
                <c:pt idx="33">
                  <c:v>981.29329264782564</c:v>
                </c:pt>
                <c:pt idx="34">
                  <c:v>991.28286637046608</c:v>
                </c:pt>
                <c:pt idx="35">
                  <c:v>1001.6944073073263</c:v>
                </c:pt>
                <c:pt idx="36">
                  <c:v>1012.8279598658085</c:v>
                </c:pt>
                <c:pt idx="37">
                  <c:v>1019.7413640211289</c:v>
                </c:pt>
                <c:pt idx="38">
                  <c:v>1026.1818410390676</c:v>
                </c:pt>
                <c:pt idx="39">
                  <c:v>1032.598981269764</c:v>
                </c:pt>
                <c:pt idx="40">
                  <c:v>1038.8732432112213</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299.5693893985503</c:v>
                </c:pt>
                <c:pt idx="11">
                  <c:v>275.14354267408982</c:v>
                </c:pt>
                <c:pt idx="12">
                  <c:v>228.55260053772801</c:v>
                </c:pt>
                <c:pt idx="13">
                  <c:v>216.40392641373811</c:v>
                </c:pt>
                <c:pt idx="14">
                  <c:v>204.09563058402586</c:v>
                </c:pt>
                <c:pt idx="15">
                  <c:v>191.62045730555255</c:v>
                </c:pt>
                <c:pt idx="16">
                  <c:v>179.02774717071497</c:v>
                </c:pt>
                <c:pt idx="17">
                  <c:v>166.29654607941288</c:v>
                </c:pt>
                <c:pt idx="18">
                  <c:v>153.40585885571505</c:v>
                </c:pt>
                <c:pt idx="19">
                  <c:v>140.33449231102381</c:v>
                </c:pt>
                <c:pt idx="20">
                  <c:v>127.06089785111131</c:v>
                </c:pt>
                <c:pt idx="21">
                  <c:v>111.97989564182652</c:v>
                </c:pt>
                <c:pt idx="22">
                  <c:v>97.02579641340661</c:v>
                </c:pt>
                <c:pt idx="23">
                  <c:v>96.694356140916881</c:v>
                </c:pt>
                <c:pt idx="24">
                  <c:v>96.378830466311783</c:v>
                </c:pt>
                <c:pt idx="25">
                  <c:v>96.07859245659904</c:v>
                </c:pt>
                <c:pt idx="26">
                  <c:v>95.79093269878274</c:v>
                </c:pt>
                <c:pt idx="27">
                  <c:v>95.515396353463032</c:v>
                </c:pt>
                <c:pt idx="28">
                  <c:v>95.251554951353185</c:v>
                </c:pt>
                <c:pt idx="29">
                  <c:v>94.999004785552572</c:v>
                </c:pt>
                <c:pt idx="30">
                  <c:v>94.757365429428205</c:v>
                </c:pt>
                <c:pt idx="31">
                  <c:v>94.525726074712296</c:v>
                </c:pt>
                <c:pt idx="32">
                  <c:v>94.30376935976021</c:v>
                </c:pt>
                <c:pt idx="33">
                  <c:v>94.091195463659886</c:v>
                </c:pt>
                <c:pt idx="34">
                  <c:v>93.887721150761223</c:v>
                </c:pt>
                <c:pt idx="35">
                  <c:v>93.693078884917554</c:v>
                </c:pt>
                <c:pt idx="36">
                  <c:v>93.50647461634388</c:v>
                </c:pt>
                <c:pt idx="37">
                  <c:v>93.327686648099942</c:v>
                </c:pt>
                <c:pt idx="38">
                  <c:v>93.156505094315065</c:v>
                </c:pt>
                <c:pt idx="39">
                  <c:v>92.992731310372719</c:v>
                </c:pt>
                <c:pt idx="40">
                  <c:v>92.836177362248833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4064.5012919255478</c:v>
                </c:pt>
                <c:pt idx="11">
                  <c:v>4214.1456227606122</c:v>
                </c:pt>
                <c:pt idx="12">
                  <c:v>4368.9550623955192</c:v>
                </c:pt>
                <c:pt idx="13">
                  <c:v>4527.4614513669821</c:v>
                </c:pt>
                <c:pt idx="14">
                  <c:v>4689.9393866333494</c:v>
                </c:pt>
                <c:pt idx="15">
                  <c:v>4856.4756674346772</c:v>
                </c:pt>
                <c:pt idx="16">
                  <c:v>5022.5506152726048</c:v>
                </c:pt>
                <c:pt idx="17">
                  <c:v>5187.7823044053921</c:v>
                </c:pt>
                <c:pt idx="18">
                  <c:v>5351.7815773729699</c:v>
                </c:pt>
                <c:pt idx="19">
                  <c:v>5514.1535178716267</c:v>
                </c:pt>
                <c:pt idx="20">
                  <c:v>5674.4989885700234</c:v>
                </c:pt>
                <c:pt idx="21">
                  <c:v>5737.542683109079</c:v>
                </c:pt>
                <c:pt idx="22">
                  <c:v>5799.3731995054168</c:v>
                </c:pt>
                <c:pt idx="23">
                  <c:v>5859.9358157372899</c:v>
                </c:pt>
                <c:pt idx="24">
                  <c:v>5919.1764704369907</c:v>
                </c:pt>
                <c:pt idx="25">
                  <c:v>5977.0418423532319</c:v>
                </c:pt>
                <c:pt idx="26">
                  <c:v>6033.9044242920972</c:v>
                </c:pt>
                <c:pt idx="27">
                  <c:v>6089.7245696542341</c:v>
                </c:pt>
                <c:pt idx="28">
                  <c:v>6144.4630649174987</c:v>
                </c:pt>
                <c:pt idx="29">
                  <c:v>6198.0811750318489</c:v>
                </c:pt>
                <c:pt idx="30">
                  <c:v>6250.5406886302117</c:v>
                </c:pt>
                <c:pt idx="31">
                  <c:v>6301.9277913970745</c:v>
                </c:pt>
                <c:pt idx="32">
                  <c:v>6352.2084729787603</c:v>
                </c:pt>
                <c:pt idx="33">
                  <c:v>6401.3492404372764</c:v>
                </c:pt>
                <c:pt idx="34">
                  <c:v>6449.3171551320138</c:v>
                </c:pt>
                <c:pt idx="35">
                  <c:v>6496.079869241199</c:v>
                </c:pt>
                <c:pt idx="36">
                  <c:v>6541.7393266697118</c:v>
                </c:pt>
                <c:pt idx="37">
                  <c:v>6586.2672523957835</c:v>
                </c:pt>
                <c:pt idx="38">
                  <c:v>6629.6359200826273</c:v>
                </c:pt>
                <c:pt idx="39">
                  <c:v>6671.8181806811444</c:v>
                </c:pt>
                <c:pt idx="40">
                  <c:v>6712.7874905991393</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16423.058150834138</c:v>
                </c:pt>
                <c:pt idx="11">
                  <c:v>15979.430757058764</c:v>
                </c:pt>
                <c:pt idx="12">
                  <c:v>15436.592997132118</c:v>
                </c:pt>
                <c:pt idx="13">
                  <c:v>14857.518998289994</c:v>
                </c:pt>
                <c:pt idx="14">
                  <c:v>14302.267612411863</c:v>
                </c:pt>
                <c:pt idx="15">
                  <c:v>13769.111911226639</c:v>
                </c:pt>
                <c:pt idx="16">
                  <c:v>13256.398487619486</c:v>
                </c:pt>
                <c:pt idx="17">
                  <c:v>12762.500344365419</c:v>
                </c:pt>
                <c:pt idx="18">
                  <c:v>12286.849650607719</c:v>
                </c:pt>
                <c:pt idx="19">
                  <c:v>11828.102432940997</c:v>
                </c:pt>
                <c:pt idx="20">
                  <c:v>11381.456000093247</c:v>
                </c:pt>
                <c:pt idx="21">
                  <c:v>10947.824921724799</c:v>
                </c:pt>
                <c:pt idx="22">
                  <c:v>10523.313748775707</c:v>
                </c:pt>
                <c:pt idx="23">
                  <c:v>10107.40714210576</c:v>
                </c:pt>
                <c:pt idx="24">
                  <c:v>9712.0813418508351</c:v>
                </c:pt>
                <c:pt idx="25">
                  <c:v>9336.3217069865095</c:v>
                </c:pt>
                <c:pt idx="26">
                  <c:v>8979.1632254584401</c:v>
                </c:pt>
                <c:pt idx="27">
                  <c:v>8658.3237265923617</c:v>
                </c:pt>
                <c:pt idx="28">
                  <c:v>8351.2670610900532</c:v>
                </c:pt>
                <c:pt idx="29">
                  <c:v>8068.802769341346</c:v>
                </c:pt>
                <c:pt idx="30">
                  <c:v>7809.8703627079958</c:v>
                </c:pt>
                <c:pt idx="31">
                  <c:v>7573.4421542649206</c:v>
                </c:pt>
                <c:pt idx="32">
                  <c:v>7354.0103706687223</c:v>
                </c:pt>
                <c:pt idx="33">
                  <c:v>7150.7973568455272</c:v>
                </c:pt>
                <c:pt idx="34">
                  <c:v>6963.0640308812781</c:v>
                </c:pt>
                <c:pt idx="35">
                  <c:v>6790.1101885531098</c:v>
                </c:pt>
                <c:pt idx="36">
                  <c:v>6631.269313911971</c:v>
                </c:pt>
                <c:pt idx="37">
                  <c:v>6481.5173609501117</c:v>
                </c:pt>
                <c:pt idx="38">
                  <c:v>6340.209495790923</c:v>
                </c:pt>
                <c:pt idx="39">
                  <c:v>6206.9028291986224</c:v>
                </c:pt>
                <c:pt idx="40">
                  <c:v>6081.1957514866572</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816.26147130889444</c:v>
                </c:pt>
                <c:pt idx="10">
                  <c:v>804.55310712020685</c:v>
                </c:pt>
                <c:pt idx="11">
                  <c:v>875.70330766334473</c:v>
                </c:pt>
                <c:pt idx="12">
                  <c:v>839.76710828579792</c:v>
                </c:pt>
                <c:pt idx="13">
                  <c:v>844.68259769659028</c:v>
                </c:pt>
                <c:pt idx="14">
                  <c:v>849.95766413530146</c:v>
                </c:pt>
                <c:pt idx="15">
                  <c:v>854.95030782228321</c:v>
                </c:pt>
                <c:pt idx="16">
                  <c:v>859.28952146647725</c:v>
                </c:pt>
                <c:pt idx="17">
                  <c:v>863.59777814800327</c:v>
                </c:pt>
                <c:pt idx="18">
                  <c:v>868.0012870223552</c:v>
                </c:pt>
                <c:pt idx="19">
                  <c:v>873.85072418380787</c:v>
                </c:pt>
                <c:pt idx="20">
                  <c:v>879.11293157648731</c:v>
                </c:pt>
                <c:pt idx="21">
                  <c:v>885.34194872635214</c:v>
                </c:pt>
                <c:pt idx="22">
                  <c:v>891.86005628144426</c:v>
                </c:pt>
                <c:pt idx="23">
                  <c:v>899.52595276009117</c:v>
                </c:pt>
                <c:pt idx="24">
                  <c:v>907.88576146347657</c:v>
                </c:pt>
                <c:pt idx="25">
                  <c:v>914.55722504901848</c:v>
                </c:pt>
                <c:pt idx="26">
                  <c:v>921.23726133191497</c:v>
                </c:pt>
                <c:pt idx="27">
                  <c:v>929.05318001426315</c:v>
                </c:pt>
                <c:pt idx="28">
                  <c:v>936.68573822542078</c:v>
                </c:pt>
                <c:pt idx="29">
                  <c:v>944.86599654532904</c:v>
                </c:pt>
                <c:pt idx="30">
                  <c:v>953.07387800115657</c:v>
                </c:pt>
                <c:pt idx="31">
                  <c:v>962.30286296408019</c:v>
                </c:pt>
                <c:pt idx="32">
                  <c:v>971.67710752106382</c:v>
                </c:pt>
                <c:pt idx="33">
                  <c:v>981.29329264782564</c:v>
                </c:pt>
                <c:pt idx="34">
                  <c:v>991.28286637046608</c:v>
                </c:pt>
                <c:pt idx="35">
                  <c:v>1001.6944073073263</c:v>
                </c:pt>
                <c:pt idx="36">
                  <c:v>1012.8279598658085</c:v>
                </c:pt>
                <c:pt idx="37">
                  <c:v>1019.7413640211289</c:v>
                </c:pt>
                <c:pt idx="38">
                  <c:v>1026.1818410390676</c:v>
                </c:pt>
                <c:pt idx="39">
                  <c:v>1032.598981269764</c:v>
                </c:pt>
                <c:pt idx="40">
                  <c:v>1038.8732432112213</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299.5693893985503</c:v>
                </c:pt>
                <c:pt idx="11">
                  <c:v>275.14354267408982</c:v>
                </c:pt>
                <c:pt idx="12">
                  <c:v>228.55260053772801</c:v>
                </c:pt>
                <c:pt idx="13">
                  <c:v>216.40392641373811</c:v>
                </c:pt>
                <c:pt idx="14">
                  <c:v>204.09563058402586</c:v>
                </c:pt>
                <c:pt idx="15">
                  <c:v>191.62045730555255</c:v>
                </c:pt>
                <c:pt idx="16">
                  <c:v>179.02774717071497</c:v>
                </c:pt>
                <c:pt idx="17">
                  <c:v>166.29654607941288</c:v>
                </c:pt>
                <c:pt idx="18">
                  <c:v>153.40585885571505</c:v>
                </c:pt>
                <c:pt idx="19">
                  <c:v>140.33449231102381</c:v>
                </c:pt>
                <c:pt idx="20">
                  <c:v>127.06089785111131</c:v>
                </c:pt>
                <c:pt idx="21">
                  <c:v>111.97989564182652</c:v>
                </c:pt>
                <c:pt idx="22">
                  <c:v>97.02579641340661</c:v>
                </c:pt>
                <c:pt idx="23">
                  <c:v>96.694356140916881</c:v>
                </c:pt>
                <c:pt idx="24">
                  <c:v>96.378830466311783</c:v>
                </c:pt>
                <c:pt idx="25">
                  <c:v>96.07859245659904</c:v>
                </c:pt>
                <c:pt idx="26">
                  <c:v>95.79093269878274</c:v>
                </c:pt>
                <c:pt idx="27">
                  <c:v>95.515396353463032</c:v>
                </c:pt>
                <c:pt idx="28">
                  <c:v>95.251554951353185</c:v>
                </c:pt>
                <c:pt idx="29">
                  <c:v>94.999004785552572</c:v>
                </c:pt>
                <c:pt idx="30">
                  <c:v>94.757365429428205</c:v>
                </c:pt>
                <c:pt idx="31">
                  <c:v>94.525726074712296</c:v>
                </c:pt>
                <c:pt idx="32">
                  <c:v>94.30376935976021</c:v>
                </c:pt>
                <c:pt idx="33">
                  <c:v>94.091195463659886</c:v>
                </c:pt>
                <c:pt idx="34">
                  <c:v>93.887721150761223</c:v>
                </c:pt>
                <c:pt idx="35">
                  <c:v>93.693078884917554</c:v>
                </c:pt>
                <c:pt idx="36">
                  <c:v>93.50647461634388</c:v>
                </c:pt>
                <c:pt idx="37">
                  <c:v>93.327686648099942</c:v>
                </c:pt>
                <c:pt idx="38">
                  <c:v>93.156505094315065</c:v>
                </c:pt>
                <c:pt idx="39">
                  <c:v>92.992731310372719</c:v>
                </c:pt>
                <c:pt idx="40">
                  <c:v>92.836177362248833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4064.5012919255478</c:v>
                </c:pt>
                <c:pt idx="11">
                  <c:v>4214.1456227606122</c:v>
                </c:pt>
                <c:pt idx="12">
                  <c:v>4368.9550623955192</c:v>
                </c:pt>
                <c:pt idx="13">
                  <c:v>4527.4614513669821</c:v>
                </c:pt>
                <c:pt idx="14">
                  <c:v>4689.9393866333494</c:v>
                </c:pt>
                <c:pt idx="15">
                  <c:v>4856.4756674346772</c:v>
                </c:pt>
                <c:pt idx="16">
                  <c:v>5022.5506152726048</c:v>
                </c:pt>
                <c:pt idx="17">
                  <c:v>5187.7823044053921</c:v>
                </c:pt>
                <c:pt idx="18">
                  <c:v>5351.7815773729699</c:v>
                </c:pt>
                <c:pt idx="19">
                  <c:v>5514.1535178716267</c:v>
                </c:pt>
                <c:pt idx="20">
                  <c:v>5674.4989885700234</c:v>
                </c:pt>
                <c:pt idx="21">
                  <c:v>5737.542683109079</c:v>
                </c:pt>
                <c:pt idx="22">
                  <c:v>5799.3731995054168</c:v>
                </c:pt>
                <c:pt idx="23">
                  <c:v>5859.9358157372899</c:v>
                </c:pt>
                <c:pt idx="24">
                  <c:v>5919.1764704369907</c:v>
                </c:pt>
                <c:pt idx="25">
                  <c:v>5977.0418423532319</c:v>
                </c:pt>
                <c:pt idx="26">
                  <c:v>6033.9044242920972</c:v>
                </c:pt>
                <c:pt idx="27">
                  <c:v>6089.7245696542341</c:v>
                </c:pt>
                <c:pt idx="28">
                  <c:v>6144.4630649174987</c:v>
                </c:pt>
                <c:pt idx="29">
                  <c:v>6198.0811750318489</c:v>
                </c:pt>
                <c:pt idx="30">
                  <c:v>6250.5406886302117</c:v>
                </c:pt>
                <c:pt idx="31">
                  <c:v>6301.9277913970745</c:v>
                </c:pt>
                <c:pt idx="32">
                  <c:v>6352.2084729787603</c:v>
                </c:pt>
                <c:pt idx="33">
                  <c:v>6401.3492404372764</c:v>
                </c:pt>
                <c:pt idx="34">
                  <c:v>6449.3171551320138</c:v>
                </c:pt>
                <c:pt idx="35">
                  <c:v>6496.079869241199</c:v>
                </c:pt>
                <c:pt idx="36">
                  <c:v>6541.7393266697118</c:v>
                </c:pt>
                <c:pt idx="37">
                  <c:v>6586.2672523957835</c:v>
                </c:pt>
                <c:pt idx="38">
                  <c:v>6629.6359200826273</c:v>
                </c:pt>
                <c:pt idx="39">
                  <c:v>6671.8181806811444</c:v>
                </c:pt>
                <c:pt idx="40">
                  <c:v>6712.7874905991393</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7206.4520822526001</c:v>
                </c:pt>
                <c:pt idx="4">
                  <c:v>7427.9781156905256</c:v>
                </c:pt>
                <c:pt idx="5">
                  <c:v>7657.2476872232737</c:v>
                </c:pt>
                <c:pt idx="6">
                  <c:v>7891.6295643697349</c:v>
                </c:pt>
                <c:pt idx="7">
                  <c:v>8131.5738507394826</c:v>
                </c:pt>
                <c:pt idx="8">
                  <c:v>8377.1989041653123</c:v>
                </c:pt>
                <c:pt idx="9">
                  <c:v>8620.7158539567481</c:v>
                </c:pt>
                <c:pt idx="10">
                  <c:v>8861.555057737065</c:v>
                </c:pt>
                <c:pt idx="11">
                  <c:v>9099.1408506868756</c:v>
                </c:pt>
                <c:pt idx="12">
                  <c:v>9332.8937690261737</c:v>
                </c:pt>
                <c:pt idx="13">
                  <c:v>9562.2328451429985</c:v>
                </c:pt>
                <c:pt idx="14">
                  <c:v>9668.4692702115026</c:v>
                </c:pt>
                <c:pt idx="15">
                  <c:v>9772.6613400150436</c:v>
                </c:pt>
                <c:pt idx="16">
                  <c:v>9874.716841176767</c:v>
                </c:pt>
                <c:pt idx="17">
                  <c:v>9974.5446736036101</c:v>
                </c:pt>
                <c:pt idx="18">
                  <c:v>10072.054984390244</c:v>
                </c:pt>
                <c:pt idx="19">
                  <c:v>10167.875469999753</c:v>
                </c:pt>
                <c:pt idx="20">
                  <c:v>10261.939321007152</c:v>
                </c:pt>
                <c:pt idx="21">
                  <c:v>10354.180457776125</c:v>
                </c:pt>
                <c:pt idx="22">
                  <c:v>10444.533606955052</c:v>
                </c:pt>
                <c:pt idx="23">
                  <c:v>10532.934377662898</c:v>
                </c:pt>
                <c:pt idx="24">
                  <c:v>10619.528003440928</c:v>
                </c:pt>
                <c:pt idx="25">
                  <c:v>10704.257172635427</c:v>
                </c:pt>
                <c:pt idx="26">
                  <c:v>10787.065445502138</c:v>
                </c:pt>
                <c:pt idx="27">
                  <c:v>10867.897316356451</c:v>
                </c:pt>
                <c:pt idx="28">
                  <c:v>10946.698275116614</c:v>
                </c:pt>
                <c:pt idx="29">
                  <c:v>11023.640109874847</c:v>
                </c:pt>
                <c:pt idx="30">
                  <c:v>11098.675173721291</c:v>
                </c:pt>
                <c:pt idx="31">
                  <c:v>11171.756744348151</c:v>
                </c:pt>
                <c:pt idx="32">
                  <c:v>11242.839072248817</c:v>
                </c:pt>
                <c:pt idx="33">
                  <c:v>11311.877428186459</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2715.4026685732201</c:v>
                </c:pt>
                <c:pt idx="4">
                  <c:v>2493.9981735714969</c:v>
                </c:pt>
                <c:pt idx="5">
                  <c:v>2071.6814313221653</c:v>
                </c:pt>
                <c:pt idx="6">
                  <c:v>1961.5615615913489</c:v>
                </c:pt>
                <c:pt idx="7">
                  <c:v>1849.9948243866861</c:v>
                </c:pt>
                <c:pt idx="8">
                  <c:v>1736.9154510926014</c:v>
                </c:pt>
                <c:pt idx="9">
                  <c:v>1622.7706822517018</c:v>
                </c:pt>
                <c:pt idx="10">
                  <c:v>1507.3705825056252</c:v>
                </c:pt>
                <c:pt idx="11">
                  <c:v>1390.524844170181</c:v>
                </c:pt>
                <c:pt idx="12">
                  <c:v>1272.0413647044879</c:v>
                </c:pt>
                <c:pt idx="13">
                  <c:v>1151.7248200456045</c:v>
                </c:pt>
                <c:pt idx="14">
                  <c:v>1015.0252936818848</c:v>
                </c:pt>
                <c:pt idx="15">
                  <c:v>879.47606072291592</c:v>
                </c:pt>
                <c:pt idx="16">
                  <c:v>876.47176912223472</c:v>
                </c:pt>
                <c:pt idx="17">
                  <c:v>873.61173305330874</c:v>
                </c:pt>
                <c:pt idx="18">
                  <c:v>870.89026977424032</c:v>
                </c:pt>
                <c:pt idx="19">
                  <c:v>868.2828202094372</c:v>
                </c:pt>
                <c:pt idx="20">
                  <c:v>865.78526153405937</c:v>
                </c:pt>
                <c:pt idx="21">
                  <c:v>863.39370995127729</c:v>
                </c:pt>
                <c:pt idx="22">
                  <c:v>861.10450611926854</c:v>
                </c:pt>
                <c:pt idx="23">
                  <c:v>858.9142017167735</c:v>
                </c:pt>
                <c:pt idx="24">
                  <c:v>856.81454085621317</c:v>
                </c:pt>
                <c:pt idx="25">
                  <c:v>854.802646859638</c:v>
                </c:pt>
                <c:pt idx="26">
                  <c:v>852.87580204448932</c:v>
                </c:pt>
                <c:pt idx="27">
                  <c:v>851.03143906287619</c:v>
                </c:pt>
                <c:pt idx="28">
                  <c:v>849.26713287274708</c:v>
                </c:pt>
                <c:pt idx="29">
                  <c:v>847.57568592661755</c:v>
                </c:pt>
                <c:pt idx="30">
                  <c:v>845.95508868518004</c:v>
                </c:pt>
                <c:pt idx="31">
                  <c:v>844.40343866883097</c:v>
                </c:pt>
                <c:pt idx="32">
                  <c:v>842.91893529266065</c:v>
                </c:pt>
                <c:pt idx="33">
                  <c:v>841.49987505635033</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55436.163761568481</c:v>
                </c:pt>
                <c:pt idx="4">
                  <c:v>44485.810425950018</c:v>
                </c:pt>
                <c:pt idx="5">
                  <c:v>40704.728491659072</c:v>
                </c:pt>
                <c:pt idx="6">
                  <c:v>38132.974076296348</c:v>
                </c:pt>
                <c:pt idx="7">
                  <c:v>35466.343490027881</c:v>
                </c:pt>
                <c:pt idx="8">
                  <c:v>30564.527210554592</c:v>
                </c:pt>
                <c:pt idx="9">
                  <c:v>26586.544236702161</c:v>
                </c:pt>
                <c:pt idx="10">
                  <c:v>23953.897921665393</c:v>
                </c:pt>
                <c:pt idx="11">
                  <c:v>21900.706671236927</c:v>
                </c:pt>
                <c:pt idx="12">
                  <c:v>20024.631369417235</c:v>
                </c:pt>
                <c:pt idx="13">
                  <c:v>17870.246125303118</c:v>
                </c:pt>
                <c:pt idx="14">
                  <c:v>17269.535357373592</c:v>
                </c:pt>
                <c:pt idx="15">
                  <c:v>16792.430887207309</c:v>
                </c:pt>
                <c:pt idx="16">
                  <c:v>17393.503290657511</c:v>
                </c:pt>
                <c:pt idx="17">
                  <c:v>18286.954859313122</c:v>
                </c:pt>
                <c:pt idx="18">
                  <c:v>13976.116190713192</c:v>
                </c:pt>
                <c:pt idx="19">
                  <c:v>13687.941669523079</c:v>
                </c:pt>
                <c:pt idx="20">
                  <c:v>13687.941669523079</c:v>
                </c:pt>
                <c:pt idx="21">
                  <c:v>13687.941669523076</c:v>
                </c:pt>
                <c:pt idx="22">
                  <c:v>13687.941669523076</c:v>
                </c:pt>
                <c:pt idx="23">
                  <c:v>13687.941669523076</c:v>
                </c:pt>
                <c:pt idx="24">
                  <c:v>13687.941669523083</c:v>
                </c:pt>
                <c:pt idx="25">
                  <c:v>13687.941669523074</c:v>
                </c:pt>
                <c:pt idx="26">
                  <c:v>13687.941669523076</c:v>
                </c:pt>
                <c:pt idx="27">
                  <c:v>13687.941669523074</c:v>
                </c:pt>
                <c:pt idx="28">
                  <c:v>13687.941669523078</c:v>
                </c:pt>
                <c:pt idx="29">
                  <c:v>13687.941669523083</c:v>
                </c:pt>
                <c:pt idx="30">
                  <c:v>13687.941669523085</c:v>
                </c:pt>
                <c:pt idx="31">
                  <c:v>13687.941669523087</c:v>
                </c:pt>
                <c:pt idx="32">
                  <c:v>13687.941669523085</c:v>
                </c:pt>
                <c:pt idx="33">
                  <c:v>13687.941669523076</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7449.3121878932852</c:v>
                </c:pt>
                <c:pt idx="2">
                  <c:v>10348.945579199766</c:v>
                </c:pt>
                <c:pt idx="3">
                  <c:v>11161.974751662076</c:v>
                </c:pt>
                <c:pt idx="4">
                  <c:v>12543.083682644075</c:v>
                </c:pt>
                <c:pt idx="5">
                  <c:v>13902.327682230418</c:v>
                </c:pt>
                <c:pt idx="6">
                  <c:v>14961.937324690805</c:v>
                </c:pt>
                <c:pt idx="7">
                  <c:v>15887.266964348062</c:v>
                </c:pt>
                <c:pt idx="8">
                  <c:v>15849.116619683167</c:v>
                </c:pt>
                <c:pt idx="9">
                  <c:v>15813.150333642216</c:v>
                </c:pt>
                <c:pt idx="10">
                  <c:v>16001.992742737406</c:v>
                </c:pt>
                <c:pt idx="11">
                  <c:v>16264.285863350544</c:v>
                </c:pt>
                <c:pt idx="12">
                  <c:v>16898.557587560812</c:v>
                </c:pt>
                <c:pt idx="13">
                  <c:v>16956.68365743645</c:v>
                </c:pt>
                <c:pt idx="14">
                  <c:v>16682.216007101786</c:v>
                </c:pt>
                <c:pt idx="15">
                  <c:v>16496.000537563257</c:v>
                </c:pt>
                <c:pt idx="16">
                  <c:v>17051.788163306242</c:v>
                </c:pt>
                <c:pt idx="17">
                  <c:v>17816.532316856574</c:v>
                </c:pt>
                <c:pt idx="18">
                  <c:v>15077.596272903485</c:v>
                </c:pt>
                <c:pt idx="19">
                  <c:v>12620.983099695972</c:v>
                </c:pt>
                <c:pt idx="20">
                  <c:v>13070.351768302207</c:v>
                </c:pt>
                <c:pt idx="21">
                  <c:v>12054.077361368847</c:v>
                </c:pt>
                <c:pt idx="22">
                  <c:v>11048.882327796944</c:v>
                </c:pt>
                <c:pt idx="23">
                  <c:v>10044.246080011962</c:v>
                </c:pt>
                <c:pt idx="24">
                  <c:v>9625.7864575960848</c:v>
                </c:pt>
                <c:pt idx="25">
                  <c:v>9210.2652776804243</c:v>
                </c:pt>
                <c:pt idx="26">
                  <c:v>8799.6382905192077</c:v>
                </c:pt>
                <c:pt idx="27">
                  <c:v>8396.5645457191931</c:v>
                </c:pt>
                <c:pt idx="28">
                  <c:v>8002.0267355263504</c:v>
                </c:pt>
                <c:pt idx="29">
                  <c:v>8148.4018154640071</c:v>
                </c:pt>
                <c:pt idx="30">
                  <c:v>8209.4079150922444</c:v>
                </c:pt>
                <c:pt idx="31">
                  <c:v>8260.8472166788051</c:v>
                </c:pt>
                <c:pt idx="32">
                  <c:v>8311.8144406177962</c:v>
                </c:pt>
                <c:pt idx="33">
                  <c:v>8359.8913932451032</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55436.163761568481</c:v>
                </c:pt>
                <c:pt idx="4">
                  <c:v>44485.810425950018</c:v>
                </c:pt>
                <c:pt idx="5">
                  <c:v>40704.728491659072</c:v>
                </c:pt>
                <c:pt idx="6">
                  <c:v>38132.974076296348</c:v>
                </c:pt>
                <c:pt idx="7">
                  <c:v>35466.343490027881</c:v>
                </c:pt>
                <c:pt idx="8">
                  <c:v>30564.527210554592</c:v>
                </c:pt>
                <c:pt idx="9">
                  <c:v>26586.544236702161</c:v>
                </c:pt>
                <c:pt idx="10">
                  <c:v>23953.897921665393</c:v>
                </c:pt>
                <c:pt idx="11">
                  <c:v>21900.706671236927</c:v>
                </c:pt>
                <c:pt idx="12">
                  <c:v>20024.631369417235</c:v>
                </c:pt>
                <c:pt idx="13">
                  <c:v>17870.246125303118</c:v>
                </c:pt>
                <c:pt idx="14">
                  <c:v>17269.535357373592</c:v>
                </c:pt>
                <c:pt idx="15">
                  <c:v>16792.430887207309</c:v>
                </c:pt>
                <c:pt idx="16">
                  <c:v>17393.503290657511</c:v>
                </c:pt>
                <c:pt idx="17">
                  <c:v>18286.954859313122</c:v>
                </c:pt>
                <c:pt idx="18">
                  <c:v>13976.116190713192</c:v>
                </c:pt>
                <c:pt idx="19">
                  <c:v>13687.941669523079</c:v>
                </c:pt>
                <c:pt idx="20">
                  <c:v>13687.941669523079</c:v>
                </c:pt>
                <c:pt idx="21">
                  <c:v>13687.941669523076</c:v>
                </c:pt>
                <c:pt idx="22">
                  <c:v>13687.941669523076</c:v>
                </c:pt>
                <c:pt idx="23">
                  <c:v>13687.941669523076</c:v>
                </c:pt>
                <c:pt idx="24">
                  <c:v>13687.941669523083</c:v>
                </c:pt>
                <c:pt idx="25">
                  <c:v>13687.941669523074</c:v>
                </c:pt>
                <c:pt idx="26">
                  <c:v>13687.941669523076</c:v>
                </c:pt>
                <c:pt idx="27">
                  <c:v>13687.941669523074</c:v>
                </c:pt>
                <c:pt idx="28">
                  <c:v>13687.941669523078</c:v>
                </c:pt>
                <c:pt idx="29">
                  <c:v>13687.941669523083</c:v>
                </c:pt>
                <c:pt idx="30">
                  <c:v>13687.941669523085</c:v>
                </c:pt>
                <c:pt idx="31">
                  <c:v>13687.941669523087</c:v>
                </c:pt>
                <c:pt idx="32">
                  <c:v>13687.941669523085</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7449.3121878932852</c:v>
                </c:pt>
                <c:pt idx="2">
                  <c:v>10348.945579199766</c:v>
                </c:pt>
                <c:pt idx="3">
                  <c:v>11161.974751662076</c:v>
                </c:pt>
                <c:pt idx="4">
                  <c:v>12543.083682644075</c:v>
                </c:pt>
                <c:pt idx="5">
                  <c:v>13902.327682230418</c:v>
                </c:pt>
                <c:pt idx="6">
                  <c:v>14961.937324690805</c:v>
                </c:pt>
                <c:pt idx="7">
                  <c:v>15887.266964348062</c:v>
                </c:pt>
                <c:pt idx="8">
                  <c:v>15849.116619683167</c:v>
                </c:pt>
                <c:pt idx="9">
                  <c:v>15813.150333642216</c:v>
                </c:pt>
                <c:pt idx="10">
                  <c:v>16001.992742737406</c:v>
                </c:pt>
                <c:pt idx="11">
                  <c:v>16264.285863350544</c:v>
                </c:pt>
                <c:pt idx="12">
                  <c:v>16898.557587560812</c:v>
                </c:pt>
                <c:pt idx="13">
                  <c:v>16956.68365743645</c:v>
                </c:pt>
                <c:pt idx="14">
                  <c:v>16682.216007101786</c:v>
                </c:pt>
                <c:pt idx="15">
                  <c:v>16496.000537563257</c:v>
                </c:pt>
                <c:pt idx="16">
                  <c:v>17051.788163306242</c:v>
                </c:pt>
                <c:pt idx="17">
                  <c:v>17816.532316856574</c:v>
                </c:pt>
                <c:pt idx="18">
                  <c:v>15077.596272903485</c:v>
                </c:pt>
                <c:pt idx="19">
                  <c:v>12620.983099695972</c:v>
                </c:pt>
                <c:pt idx="20">
                  <c:v>13070.351768302207</c:v>
                </c:pt>
                <c:pt idx="21">
                  <c:v>12054.077361368847</c:v>
                </c:pt>
                <c:pt idx="22">
                  <c:v>11048.882327796944</c:v>
                </c:pt>
                <c:pt idx="23">
                  <c:v>10044.246080011962</c:v>
                </c:pt>
                <c:pt idx="24">
                  <c:v>9625.7864575960848</c:v>
                </c:pt>
                <c:pt idx="25">
                  <c:v>9210.2652776804243</c:v>
                </c:pt>
                <c:pt idx="26">
                  <c:v>8799.6382905192077</c:v>
                </c:pt>
                <c:pt idx="27">
                  <c:v>8396.5645457191931</c:v>
                </c:pt>
                <c:pt idx="28">
                  <c:v>8002.0267355263504</c:v>
                </c:pt>
                <c:pt idx="29">
                  <c:v>8148.4018154640071</c:v>
                </c:pt>
                <c:pt idx="30">
                  <c:v>8209.4079150922444</c:v>
                </c:pt>
                <c:pt idx="31">
                  <c:v>8260.8472166788051</c:v>
                </c:pt>
                <c:pt idx="32">
                  <c:v>8311.8144406177962</c:v>
                </c:pt>
                <c:pt idx="33">
                  <c:v>8359.8913932451032</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6888.6835009475735</c:v>
                </c:pt>
                <c:pt idx="4">
                  <c:v>6997.588429478179</c:v>
                </c:pt>
                <c:pt idx="5">
                  <c:v>7110.5740434740073</c:v>
                </c:pt>
                <c:pt idx="6">
                  <c:v>7225.0590202600233</c:v>
                </c:pt>
                <c:pt idx="7">
                  <c:v>7341.3872814038923</c:v>
                </c:pt>
                <c:pt idx="8">
                  <c:v>7459.5885050111592</c:v>
                </c:pt>
                <c:pt idx="9">
                  <c:v>7572.744773708132</c:v>
                </c:pt>
                <c:pt idx="10">
                  <c:v>7680.5640664147295</c:v>
                </c:pt>
                <c:pt idx="11">
                  <c:v>7782.7645733516165</c:v>
                </c:pt>
                <c:pt idx="12">
                  <c:v>7879.0759103915934</c:v>
                </c:pt>
                <c:pt idx="13">
                  <c:v>7969.2402997519548</c:v>
                </c:pt>
                <c:pt idx="14">
                  <c:v>8057.7785746160243</c:v>
                </c:pt>
                <c:pt idx="15">
                  <c:v>8144.6130676721832</c:v>
                </c:pt>
                <c:pt idx="16">
                  <c:v>8229.6669275645927</c:v>
                </c:pt>
                <c:pt idx="17">
                  <c:v>8312.864230756908</c:v>
                </c:pt>
                <c:pt idx="18">
                  <c:v>8394.1300931288843</c:v>
                </c:pt>
                <c:pt idx="19">
                  <c:v>8473.9876418654203</c:v>
                </c:pt>
                <c:pt idx="20">
                  <c:v>8552.3811974645996</c:v>
                </c:pt>
                <c:pt idx="21">
                  <c:v>8629.255688636149</c:v>
                </c:pt>
                <c:pt idx="22">
                  <c:v>8704.5567160538121</c:v>
                </c:pt>
                <c:pt idx="23">
                  <c:v>8778.2306158492902</c:v>
                </c:pt>
                <c:pt idx="24">
                  <c:v>8850.3984268017757</c:v>
                </c:pt>
                <c:pt idx="25">
                  <c:v>8921.0123849268675</c:v>
                </c:pt>
                <c:pt idx="26">
                  <c:v>8990.0254528963887</c:v>
                </c:pt>
                <c:pt idx="27">
                  <c:v>9057.3913718348449</c:v>
                </c:pt>
                <c:pt idx="28">
                  <c:v>9123.0647126100121</c:v>
                </c:pt>
                <c:pt idx="29">
                  <c:v>9187.1886447733687</c:v>
                </c:pt>
                <c:pt idx="30">
                  <c:v>9249.723459014298</c:v>
                </c:pt>
                <c:pt idx="31">
                  <c:v>9310.6302165928464</c:v>
                </c:pt>
                <c:pt idx="32">
                  <c:v>9369.8707895092321</c:v>
                </c:pt>
                <c:pt idx="33">
                  <c:v>9427.4079000645725</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2692.0303128026885</c:v>
                </c:pt>
                <c:pt idx="4">
                  <c:v>2621.5029810578276</c:v>
                </c:pt>
                <c:pt idx="5">
                  <c:v>2552.3112568361084</c:v>
                </c:pt>
                <c:pt idx="6">
                  <c:v>2484.5079985062089</c:v>
                </c:pt>
                <c:pt idx="7">
                  <c:v>2418.0392016496985</c:v>
                </c:pt>
                <c:pt idx="8">
                  <c:v>2352.866187037042</c:v>
                </c:pt>
                <c:pt idx="9">
                  <c:v>2289.5188682794342</c:v>
                </c:pt>
                <c:pt idx="10">
                  <c:v>2228.1205426730035</c:v>
                </c:pt>
                <c:pt idx="11">
                  <c:v>2104.0393056459152</c:v>
                </c:pt>
                <c:pt idx="12">
                  <c:v>1987.539244424584</c:v>
                </c:pt>
                <c:pt idx="13">
                  <c:v>1878.097891359813</c:v>
                </c:pt>
                <c:pt idx="14">
                  <c:v>1783.5033764266473</c:v>
                </c:pt>
                <c:pt idx="15">
                  <c:v>1689.7225360575478</c:v>
                </c:pt>
                <c:pt idx="16">
                  <c:v>1596.7068989824193</c:v>
                </c:pt>
                <c:pt idx="17">
                  <c:v>1504.4106024538564</c:v>
                </c:pt>
                <c:pt idx="18">
                  <c:v>1412.7901953289481</c:v>
                </c:pt>
                <c:pt idx="19">
                  <c:v>1321.7795344989149</c:v>
                </c:pt>
                <c:pt idx="20">
                  <c:v>1289.2170693057988</c:v>
                </c:pt>
                <c:pt idx="21">
                  <c:v>1231.0633656680325</c:v>
                </c:pt>
                <c:pt idx="22">
                  <c:v>1173.2859745811948</c:v>
                </c:pt>
                <c:pt idx="23">
                  <c:v>1115.8649660144335</c:v>
                </c:pt>
                <c:pt idx="24">
                  <c:v>1058.7760244115043</c:v>
                </c:pt>
                <c:pt idx="25">
                  <c:v>1002.0019277600504</c:v>
                </c:pt>
                <c:pt idx="26">
                  <c:v>945.52617418684144</c:v>
                </c:pt>
                <c:pt idx="27">
                  <c:v>889.3329363222291</c:v>
                </c:pt>
                <c:pt idx="28">
                  <c:v>833.40701850515893</c:v>
                </c:pt>
                <c:pt idx="29">
                  <c:v>777.72997298435018</c:v>
                </c:pt>
                <c:pt idx="30">
                  <c:v>722.2886591801207</c:v>
                </c:pt>
                <c:pt idx="31">
                  <c:v>721.1572043718586</c:v>
                </c:pt>
                <c:pt idx="32">
                  <c:v>720.07414428863876</c:v>
                </c:pt>
                <c:pt idx="33">
                  <c:v>719.03831016934589</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58322.977791126912</c:v>
                </c:pt>
                <c:pt idx="4">
                  <c:v>55294.7038130703</c:v>
                </c:pt>
                <c:pt idx="5">
                  <c:v>52423.665347216389</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31863.814308498779</c:v>
                </c:pt>
                <c:pt idx="16">
                  <c:v>30747.341149823493</c:v>
                </c:pt>
                <c:pt idx="17">
                  <c:v>29669.987987956312</c:v>
                </c:pt>
                <c:pt idx="18">
                  <c:v>28630.384101050156</c:v>
                </c:pt>
                <c:pt idx="19">
                  <c:v>27627.206795850376</c:v>
                </c:pt>
                <c:pt idx="20">
                  <c:v>26659.179724825452</c:v>
                </c:pt>
                <c:pt idx="21">
                  <c:v>25725.071262263602</c:v>
                </c:pt>
                <c:pt idx="22">
                  <c:v>24823.692937269239</c:v>
                </c:pt>
                <c:pt idx="23">
                  <c:v>23953.89792166539</c:v>
                </c:pt>
                <c:pt idx="24">
                  <c:v>22650.218174049238</c:v>
                </c:pt>
                <c:pt idx="25">
                  <c:v>21417.490590039302</c:v>
                </c:pt>
                <c:pt idx="26">
                  <c:v>20251.853631148377</c:v>
                </c:pt>
                <c:pt idx="27">
                  <c:v>19149.655921324487</c:v>
                </c:pt>
                <c:pt idx="28">
                  <c:v>18107.444808958157</c:v>
                </c:pt>
                <c:pt idx="29">
                  <c:v>17121.955551397081</c:v>
                </c:pt>
                <c:pt idx="30">
                  <c:v>16190.101088088575</c:v>
                </c:pt>
                <c:pt idx="31">
                  <c:v>15308.962370313997</c:v>
                </c:pt>
                <c:pt idx="32">
                  <c:v>14475.779217222876</c:v>
                </c:pt>
                <c:pt idx="33">
                  <c:v>13687.941669523087</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6432.32104401378</c:v>
                </c:pt>
                <c:pt idx="2">
                  <c:v>8219.2095546792298</c:v>
                </c:pt>
                <c:pt idx="3">
                  <c:v>8145.1306407730171</c:v>
                </c:pt>
                <c:pt idx="4">
                  <c:v>8625.5996964896258</c:v>
                </c:pt>
                <c:pt idx="5">
                  <c:v>9124.2219628772546</c:v>
                </c:pt>
                <c:pt idx="6">
                  <c:v>9515.5544396880723</c:v>
                </c:pt>
                <c:pt idx="7">
                  <c:v>9898.1964005435839</c:v>
                </c:pt>
                <c:pt idx="8">
                  <c:v>9875.097139770467</c:v>
                </c:pt>
                <c:pt idx="9">
                  <c:v>9896.9170794739075</c:v>
                </c:pt>
                <c:pt idx="10">
                  <c:v>10065.500235721414</c:v>
                </c:pt>
                <c:pt idx="11">
                  <c:v>10306.80554244644</c:v>
                </c:pt>
                <c:pt idx="12">
                  <c:v>10779.597143491072</c:v>
                </c:pt>
                <c:pt idx="13">
                  <c:v>10999.934949002076</c:v>
                </c:pt>
                <c:pt idx="14">
                  <c:v>10925.704221310589</c:v>
                </c:pt>
                <c:pt idx="15">
                  <c:v>10898.52357516082</c:v>
                </c:pt>
                <c:pt idx="16">
                  <c:v>11253.953733087073</c:v>
                </c:pt>
                <c:pt idx="17">
                  <c:v>11720.880697085533</c:v>
                </c:pt>
                <c:pt idx="18">
                  <c:v>10418.890875999088</c:v>
                </c:pt>
                <c:pt idx="19">
                  <c:v>9258.1491984247805</c:v>
                </c:pt>
                <c:pt idx="20">
                  <c:v>9561.8872702212921</c:v>
                </c:pt>
                <c:pt idx="21">
                  <c:v>9130.9492134896718</c:v>
                </c:pt>
                <c:pt idx="22">
                  <c:v>8711.0905301195107</c:v>
                </c:pt>
                <c:pt idx="23">
                  <c:v>8291.7906325362692</c:v>
                </c:pt>
                <c:pt idx="24">
                  <c:v>8175.9069504579966</c:v>
                </c:pt>
                <c:pt idx="25">
                  <c:v>8062.9617108799384</c:v>
                </c:pt>
                <c:pt idx="26">
                  <c:v>7954.9106640563259</c:v>
                </c:pt>
                <c:pt idx="27">
                  <c:v>7854.4128595939146</c:v>
                </c:pt>
                <c:pt idx="28">
                  <c:v>7762.4509897386752</c:v>
                </c:pt>
                <c:pt idx="29">
                  <c:v>7948.2483171295389</c:v>
                </c:pt>
                <c:pt idx="30">
                  <c:v>8048.6766642109824</c:v>
                </c:pt>
                <c:pt idx="31">
                  <c:v>8139.5382132507511</c:v>
                </c:pt>
                <c:pt idx="32">
                  <c:v>8229.9276846429493</c:v>
                </c:pt>
                <c:pt idx="33">
                  <c:v>8317.4268847234616</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1789.9687605419947</c:v>
                </c:pt>
                <c:pt idx="2">
                  <c:v>2562.5527582487894</c:v>
                </c:pt>
                <c:pt idx="3">
                  <c:v>2485.7704544777393</c:v>
                </c:pt>
                <c:pt idx="4">
                  <c:v>2636.7344039878863</c:v>
                </c:pt>
                <c:pt idx="5">
                  <c:v>2772.7635490634798</c:v>
                </c:pt>
                <c:pt idx="6">
                  <c:v>2904.0681418807435</c:v>
                </c:pt>
                <c:pt idx="7">
                  <c:v>3039.4774952906882</c:v>
                </c:pt>
                <c:pt idx="8">
                  <c:v>3171.6628446854556</c:v>
                </c:pt>
                <c:pt idx="9">
                  <c:v>3296.3889470164409</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58322.977791126912</c:v>
                </c:pt>
                <c:pt idx="4">
                  <c:v>55294.7038130703</c:v>
                </c:pt>
                <c:pt idx="5">
                  <c:v>52423.665347216389</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31863.814308498779</c:v>
                </c:pt>
                <c:pt idx="16">
                  <c:v>30747.341149823493</c:v>
                </c:pt>
                <c:pt idx="17">
                  <c:v>29669.987987956312</c:v>
                </c:pt>
                <c:pt idx="18">
                  <c:v>28630.384101050156</c:v>
                </c:pt>
                <c:pt idx="19">
                  <c:v>27627.206795850376</c:v>
                </c:pt>
                <c:pt idx="20">
                  <c:v>26659.179724825452</c:v>
                </c:pt>
                <c:pt idx="21">
                  <c:v>25725.071262263602</c:v>
                </c:pt>
                <c:pt idx="22">
                  <c:v>24823.692937269239</c:v>
                </c:pt>
                <c:pt idx="23">
                  <c:v>23953.89792166539</c:v>
                </c:pt>
                <c:pt idx="24">
                  <c:v>22650.218174049238</c:v>
                </c:pt>
                <c:pt idx="25">
                  <c:v>21417.490590039302</c:v>
                </c:pt>
                <c:pt idx="26">
                  <c:v>20251.853631148377</c:v>
                </c:pt>
                <c:pt idx="27">
                  <c:v>19149.655921324487</c:v>
                </c:pt>
                <c:pt idx="28">
                  <c:v>18107.444808958157</c:v>
                </c:pt>
                <c:pt idx="29">
                  <c:v>17121.955551397081</c:v>
                </c:pt>
                <c:pt idx="30">
                  <c:v>16190.101088088575</c:v>
                </c:pt>
                <c:pt idx="31">
                  <c:v>15308.962370313997</c:v>
                </c:pt>
                <c:pt idx="32">
                  <c:v>14475.779217222876</c:v>
                </c:pt>
                <c:pt idx="33">
                  <c:v>13687.941669523087</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6432.32104401378</c:v>
                </c:pt>
                <c:pt idx="2">
                  <c:v>8219.2095546792298</c:v>
                </c:pt>
                <c:pt idx="3">
                  <c:v>8145.1306407730171</c:v>
                </c:pt>
                <c:pt idx="4">
                  <c:v>8625.5996964896258</c:v>
                </c:pt>
                <c:pt idx="5">
                  <c:v>9124.2219628772546</c:v>
                </c:pt>
                <c:pt idx="6">
                  <c:v>9515.5544396880723</c:v>
                </c:pt>
                <c:pt idx="7">
                  <c:v>9898.1964005435839</c:v>
                </c:pt>
                <c:pt idx="8">
                  <c:v>9875.097139770467</c:v>
                </c:pt>
                <c:pt idx="9">
                  <c:v>9896.9170794739075</c:v>
                </c:pt>
                <c:pt idx="10">
                  <c:v>10065.500235721414</c:v>
                </c:pt>
                <c:pt idx="11">
                  <c:v>10306.80554244644</c:v>
                </c:pt>
                <c:pt idx="12">
                  <c:v>10779.597143491072</c:v>
                </c:pt>
                <c:pt idx="13">
                  <c:v>10999.934949002076</c:v>
                </c:pt>
                <c:pt idx="14">
                  <c:v>10925.704221310589</c:v>
                </c:pt>
                <c:pt idx="15">
                  <c:v>10898.52357516082</c:v>
                </c:pt>
                <c:pt idx="16">
                  <c:v>11253.953733087073</c:v>
                </c:pt>
                <c:pt idx="17">
                  <c:v>11720.880697085533</c:v>
                </c:pt>
                <c:pt idx="18">
                  <c:v>10418.890875999088</c:v>
                </c:pt>
                <c:pt idx="19">
                  <c:v>9258.1491984247805</c:v>
                </c:pt>
                <c:pt idx="20">
                  <c:v>9561.8872702212921</c:v>
                </c:pt>
                <c:pt idx="21">
                  <c:v>9130.9492134896718</c:v>
                </c:pt>
                <c:pt idx="22">
                  <c:v>8711.0905301195107</c:v>
                </c:pt>
                <c:pt idx="23">
                  <c:v>8291.7906325362692</c:v>
                </c:pt>
                <c:pt idx="24">
                  <c:v>8175.9069504579966</c:v>
                </c:pt>
                <c:pt idx="25">
                  <c:v>8062.9617108799384</c:v>
                </c:pt>
                <c:pt idx="26">
                  <c:v>7954.9106640563259</c:v>
                </c:pt>
                <c:pt idx="27">
                  <c:v>7854.4128595939146</c:v>
                </c:pt>
                <c:pt idx="28">
                  <c:v>7762.4509897386752</c:v>
                </c:pt>
                <c:pt idx="29">
                  <c:v>7948.2483171295389</c:v>
                </c:pt>
                <c:pt idx="30">
                  <c:v>8048.6766642109824</c:v>
                </c:pt>
                <c:pt idx="31">
                  <c:v>8139.5382132507511</c:v>
                </c:pt>
                <c:pt idx="32">
                  <c:v>8229.9276846429493</c:v>
                </c:pt>
                <c:pt idx="33">
                  <c:v>8317.4268847234616</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2562.5527582487894</c:v>
                </c:pt>
                <c:pt idx="3">
                  <c:v>2485.7704544777393</c:v>
                </c:pt>
                <c:pt idx="4">
                  <c:v>2636.7344039878863</c:v>
                </c:pt>
                <c:pt idx="5">
                  <c:v>2772.7635490634798</c:v>
                </c:pt>
                <c:pt idx="6">
                  <c:v>2904.0681418807435</c:v>
                </c:pt>
                <c:pt idx="7">
                  <c:v>3039.4774952906882</c:v>
                </c:pt>
                <c:pt idx="8">
                  <c:v>3171.6628446854556</c:v>
                </c:pt>
                <c:pt idx="9">
                  <c:v>3296.3889470164409</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7206.4520822525992</c:v>
                </c:pt>
                <c:pt idx="4">
                  <c:v>7427.9781156905256</c:v>
                </c:pt>
                <c:pt idx="5">
                  <c:v>7657.2476872232737</c:v>
                </c:pt>
                <c:pt idx="6">
                  <c:v>7891.6295643697349</c:v>
                </c:pt>
                <c:pt idx="7">
                  <c:v>8131.5738507394826</c:v>
                </c:pt>
                <c:pt idx="8">
                  <c:v>8377.1989041653123</c:v>
                </c:pt>
                <c:pt idx="9">
                  <c:v>8620.7158539567481</c:v>
                </c:pt>
                <c:pt idx="10">
                  <c:v>8861.555057737065</c:v>
                </c:pt>
                <c:pt idx="11">
                  <c:v>9099.1408506868756</c:v>
                </c:pt>
                <c:pt idx="12">
                  <c:v>9332.8937690261737</c:v>
                </c:pt>
                <c:pt idx="13">
                  <c:v>9562.2328451429985</c:v>
                </c:pt>
                <c:pt idx="14">
                  <c:v>9668.4692702115026</c:v>
                </c:pt>
                <c:pt idx="15">
                  <c:v>9772.6613400150454</c:v>
                </c:pt>
                <c:pt idx="16">
                  <c:v>9874.716841176767</c:v>
                </c:pt>
                <c:pt idx="17">
                  <c:v>9974.5446736036101</c:v>
                </c:pt>
                <c:pt idx="18">
                  <c:v>10072.054984390244</c:v>
                </c:pt>
                <c:pt idx="19">
                  <c:v>10167.875469999753</c:v>
                </c:pt>
                <c:pt idx="20">
                  <c:v>10261.939321007152</c:v>
                </c:pt>
                <c:pt idx="21">
                  <c:v>10354.180457776125</c:v>
                </c:pt>
                <c:pt idx="22">
                  <c:v>10444.533606955052</c:v>
                </c:pt>
                <c:pt idx="23">
                  <c:v>10532.934377662898</c:v>
                </c:pt>
                <c:pt idx="24">
                  <c:v>10619.528003440928</c:v>
                </c:pt>
                <c:pt idx="25">
                  <c:v>10704.257172635427</c:v>
                </c:pt>
                <c:pt idx="26">
                  <c:v>10787.065445502138</c:v>
                </c:pt>
                <c:pt idx="27">
                  <c:v>10867.897316356451</c:v>
                </c:pt>
                <c:pt idx="28">
                  <c:v>10946.698275116614</c:v>
                </c:pt>
                <c:pt idx="29">
                  <c:v>11023.640109874847</c:v>
                </c:pt>
                <c:pt idx="30">
                  <c:v>11098.675173721291</c:v>
                </c:pt>
                <c:pt idx="31">
                  <c:v>11171.756744348151</c:v>
                </c:pt>
                <c:pt idx="32">
                  <c:v>11242.839072248817</c:v>
                </c:pt>
                <c:pt idx="33">
                  <c:v>11311.877428186461</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2715.4026685732197</c:v>
                </c:pt>
                <c:pt idx="4">
                  <c:v>2493.9981735714969</c:v>
                </c:pt>
                <c:pt idx="5">
                  <c:v>2071.6814313221653</c:v>
                </c:pt>
                <c:pt idx="6">
                  <c:v>1961.5615615913489</c:v>
                </c:pt>
                <c:pt idx="7">
                  <c:v>1849.9948243866861</c:v>
                </c:pt>
                <c:pt idx="8">
                  <c:v>1736.9154510926014</c:v>
                </c:pt>
                <c:pt idx="9">
                  <c:v>1622.7706822517018</c:v>
                </c:pt>
                <c:pt idx="10">
                  <c:v>1507.3705825056252</c:v>
                </c:pt>
                <c:pt idx="11">
                  <c:v>1390.524844170181</c:v>
                </c:pt>
                <c:pt idx="12">
                  <c:v>1272.0413647044879</c:v>
                </c:pt>
                <c:pt idx="13">
                  <c:v>1151.7248200456045</c:v>
                </c:pt>
                <c:pt idx="14">
                  <c:v>1015.0252936818848</c:v>
                </c:pt>
                <c:pt idx="15">
                  <c:v>879.47606072291592</c:v>
                </c:pt>
                <c:pt idx="16">
                  <c:v>876.47176912223472</c:v>
                </c:pt>
                <c:pt idx="17">
                  <c:v>873.61173305330874</c:v>
                </c:pt>
                <c:pt idx="18">
                  <c:v>870.89026977424032</c:v>
                </c:pt>
                <c:pt idx="19">
                  <c:v>868.2828202094372</c:v>
                </c:pt>
                <c:pt idx="20">
                  <c:v>865.78526153405937</c:v>
                </c:pt>
                <c:pt idx="21">
                  <c:v>863.39370995127729</c:v>
                </c:pt>
                <c:pt idx="22">
                  <c:v>861.10450611926854</c:v>
                </c:pt>
                <c:pt idx="23">
                  <c:v>858.9142017167735</c:v>
                </c:pt>
                <c:pt idx="24">
                  <c:v>856.81454085621317</c:v>
                </c:pt>
                <c:pt idx="25">
                  <c:v>854.802646859638</c:v>
                </c:pt>
                <c:pt idx="26">
                  <c:v>852.87580204448932</c:v>
                </c:pt>
                <c:pt idx="27">
                  <c:v>851.03143906287619</c:v>
                </c:pt>
                <c:pt idx="28">
                  <c:v>849.26713287274708</c:v>
                </c:pt>
                <c:pt idx="29">
                  <c:v>847.57568592661755</c:v>
                </c:pt>
                <c:pt idx="30">
                  <c:v>845.95508868518004</c:v>
                </c:pt>
                <c:pt idx="31">
                  <c:v>844.40343866883097</c:v>
                </c:pt>
                <c:pt idx="32">
                  <c:v>842.91893529266065</c:v>
                </c:pt>
                <c:pt idx="33">
                  <c:v>841.49987505635079</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55436.163761568481</c:v>
                </c:pt>
                <c:pt idx="4">
                  <c:v>44485.810425950018</c:v>
                </c:pt>
                <c:pt idx="5">
                  <c:v>40704.728491659072</c:v>
                </c:pt>
                <c:pt idx="6">
                  <c:v>38132.974076296348</c:v>
                </c:pt>
                <c:pt idx="7">
                  <c:v>35466.343490027881</c:v>
                </c:pt>
                <c:pt idx="8">
                  <c:v>30564.527210554592</c:v>
                </c:pt>
                <c:pt idx="9">
                  <c:v>26586.544236702161</c:v>
                </c:pt>
                <c:pt idx="10">
                  <c:v>23953.897921665393</c:v>
                </c:pt>
                <c:pt idx="11">
                  <c:v>21900.706671236927</c:v>
                </c:pt>
                <c:pt idx="12">
                  <c:v>20024.631369417235</c:v>
                </c:pt>
                <c:pt idx="13">
                  <c:v>17870.246125303118</c:v>
                </c:pt>
                <c:pt idx="14">
                  <c:v>17269.535357373592</c:v>
                </c:pt>
                <c:pt idx="15">
                  <c:v>16792.430887207309</c:v>
                </c:pt>
                <c:pt idx="16">
                  <c:v>17393.503290657511</c:v>
                </c:pt>
                <c:pt idx="17">
                  <c:v>18286.954859313122</c:v>
                </c:pt>
                <c:pt idx="18">
                  <c:v>13976.116190713192</c:v>
                </c:pt>
                <c:pt idx="19">
                  <c:v>13687.941669523079</c:v>
                </c:pt>
                <c:pt idx="20">
                  <c:v>13687.941669523079</c:v>
                </c:pt>
                <c:pt idx="21">
                  <c:v>13687.941669523076</c:v>
                </c:pt>
                <c:pt idx="22">
                  <c:v>13687.941669523076</c:v>
                </c:pt>
                <c:pt idx="23">
                  <c:v>13687.941669523076</c:v>
                </c:pt>
                <c:pt idx="24">
                  <c:v>13687.941669523083</c:v>
                </c:pt>
                <c:pt idx="25">
                  <c:v>13687.941669523074</c:v>
                </c:pt>
                <c:pt idx="26">
                  <c:v>13687.941669523076</c:v>
                </c:pt>
                <c:pt idx="27">
                  <c:v>13687.941669523074</c:v>
                </c:pt>
                <c:pt idx="28">
                  <c:v>13687.941669523078</c:v>
                </c:pt>
                <c:pt idx="29">
                  <c:v>13687.941669523083</c:v>
                </c:pt>
                <c:pt idx="30">
                  <c:v>13687.941669523085</c:v>
                </c:pt>
                <c:pt idx="31">
                  <c:v>13687.941669523087</c:v>
                </c:pt>
                <c:pt idx="32">
                  <c:v>13687.941669523085</c:v>
                </c:pt>
                <c:pt idx="33">
                  <c:v>13687.941669523076</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7449.3121878932852</c:v>
                </c:pt>
                <c:pt idx="2">
                  <c:v>10348.945579199766</c:v>
                </c:pt>
                <c:pt idx="3">
                  <c:v>11161.974751662076</c:v>
                </c:pt>
                <c:pt idx="4">
                  <c:v>12543.083682644075</c:v>
                </c:pt>
                <c:pt idx="5">
                  <c:v>13902.327682230418</c:v>
                </c:pt>
                <c:pt idx="6">
                  <c:v>14961.937324690805</c:v>
                </c:pt>
                <c:pt idx="7">
                  <c:v>15887.266964348062</c:v>
                </c:pt>
                <c:pt idx="8">
                  <c:v>15849.116619683167</c:v>
                </c:pt>
                <c:pt idx="9">
                  <c:v>15813.150333642216</c:v>
                </c:pt>
                <c:pt idx="10">
                  <c:v>16001.992742737406</c:v>
                </c:pt>
                <c:pt idx="11">
                  <c:v>16264.285863350544</c:v>
                </c:pt>
                <c:pt idx="12">
                  <c:v>16898.557587560812</c:v>
                </c:pt>
                <c:pt idx="13">
                  <c:v>16956.68365743645</c:v>
                </c:pt>
                <c:pt idx="14">
                  <c:v>16682.216007101786</c:v>
                </c:pt>
                <c:pt idx="15">
                  <c:v>16496.000537563257</c:v>
                </c:pt>
                <c:pt idx="16">
                  <c:v>17051.788163306242</c:v>
                </c:pt>
                <c:pt idx="17">
                  <c:v>17816.532316856574</c:v>
                </c:pt>
                <c:pt idx="18">
                  <c:v>15077.596272903485</c:v>
                </c:pt>
                <c:pt idx="19">
                  <c:v>12620.983099695972</c:v>
                </c:pt>
                <c:pt idx="20">
                  <c:v>13070.351768302207</c:v>
                </c:pt>
                <c:pt idx="21">
                  <c:v>12054.077361368847</c:v>
                </c:pt>
                <c:pt idx="22">
                  <c:v>11048.882327796944</c:v>
                </c:pt>
                <c:pt idx="23">
                  <c:v>10044.246080011962</c:v>
                </c:pt>
                <c:pt idx="24">
                  <c:v>9625.7864575960848</c:v>
                </c:pt>
                <c:pt idx="25">
                  <c:v>9210.2652776804243</c:v>
                </c:pt>
                <c:pt idx="26">
                  <c:v>8799.6382905192077</c:v>
                </c:pt>
                <c:pt idx="27">
                  <c:v>8396.5645457191931</c:v>
                </c:pt>
                <c:pt idx="28">
                  <c:v>8002.0267355263504</c:v>
                </c:pt>
                <c:pt idx="29">
                  <c:v>8148.4018154640071</c:v>
                </c:pt>
                <c:pt idx="30">
                  <c:v>8209.4079150922444</c:v>
                </c:pt>
                <c:pt idx="31">
                  <c:v>8260.8472166788051</c:v>
                </c:pt>
                <c:pt idx="32">
                  <c:v>8311.8144406177962</c:v>
                </c:pt>
                <c:pt idx="33">
                  <c:v>8359.8913932451032</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55436.163761568481</c:v>
                </c:pt>
                <c:pt idx="4">
                  <c:v>44485.810425950018</c:v>
                </c:pt>
                <c:pt idx="5">
                  <c:v>40704.728491659072</c:v>
                </c:pt>
                <c:pt idx="6">
                  <c:v>38132.974076296348</c:v>
                </c:pt>
                <c:pt idx="7">
                  <c:v>35466.343490027881</c:v>
                </c:pt>
                <c:pt idx="8">
                  <c:v>30564.527210554592</c:v>
                </c:pt>
                <c:pt idx="9">
                  <c:v>26586.544236702161</c:v>
                </c:pt>
                <c:pt idx="10">
                  <c:v>23953.897921665393</c:v>
                </c:pt>
                <c:pt idx="11">
                  <c:v>21900.706671236927</c:v>
                </c:pt>
                <c:pt idx="12">
                  <c:v>20024.631369417235</c:v>
                </c:pt>
                <c:pt idx="13">
                  <c:v>17870.246125303118</c:v>
                </c:pt>
                <c:pt idx="14">
                  <c:v>17269.535357373592</c:v>
                </c:pt>
                <c:pt idx="15">
                  <c:v>16792.430887207309</c:v>
                </c:pt>
                <c:pt idx="16">
                  <c:v>17393.503290657511</c:v>
                </c:pt>
                <c:pt idx="17">
                  <c:v>18286.954859313122</c:v>
                </c:pt>
                <c:pt idx="18">
                  <c:v>13976.116190713192</c:v>
                </c:pt>
                <c:pt idx="19">
                  <c:v>13687.941669523079</c:v>
                </c:pt>
                <c:pt idx="20">
                  <c:v>13687.941669523079</c:v>
                </c:pt>
                <c:pt idx="21">
                  <c:v>13687.941669523076</c:v>
                </c:pt>
                <c:pt idx="22">
                  <c:v>13687.941669523076</c:v>
                </c:pt>
                <c:pt idx="23">
                  <c:v>13687.941669523076</c:v>
                </c:pt>
                <c:pt idx="24">
                  <c:v>13687.941669523083</c:v>
                </c:pt>
                <c:pt idx="25">
                  <c:v>13687.941669523074</c:v>
                </c:pt>
                <c:pt idx="26">
                  <c:v>13687.941669523076</c:v>
                </c:pt>
                <c:pt idx="27">
                  <c:v>13687.941669523074</c:v>
                </c:pt>
                <c:pt idx="28">
                  <c:v>13687.941669523078</c:v>
                </c:pt>
                <c:pt idx="29">
                  <c:v>13687.941669523083</c:v>
                </c:pt>
                <c:pt idx="30">
                  <c:v>13687.941669523085</c:v>
                </c:pt>
                <c:pt idx="31">
                  <c:v>13687.941669523087</c:v>
                </c:pt>
                <c:pt idx="32">
                  <c:v>13687.941669523085</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7449.3121878932852</c:v>
                </c:pt>
                <c:pt idx="2">
                  <c:v>10348.945579199766</c:v>
                </c:pt>
                <c:pt idx="3">
                  <c:v>11161.974751662076</c:v>
                </c:pt>
                <c:pt idx="4">
                  <c:v>12543.083682644075</c:v>
                </c:pt>
                <c:pt idx="5">
                  <c:v>13902.327682230418</c:v>
                </c:pt>
                <c:pt idx="6">
                  <c:v>14961.937324690805</c:v>
                </c:pt>
                <c:pt idx="7">
                  <c:v>15887.266964348062</c:v>
                </c:pt>
                <c:pt idx="8">
                  <c:v>15849.116619683167</c:v>
                </c:pt>
                <c:pt idx="9">
                  <c:v>15813.150333642216</c:v>
                </c:pt>
                <c:pt idx="10">
                  <c:v>16001.992742737406</c:v>
                </c:pt>
                <c:pt idx="11">
                  <c:v>16264.285863350544</c:v>
                </c:pt>
                <c:pt idx="12">
                  <c:v>16898.557587560812</c:v>
                </c:pt>
                <c:pt idx="13">
                  <c:v>16956.68365743645</c:v>
                </c:pt>
                <c:pt idx="14">
                  <c:v>16682.216007101786</c:v>
                </c:pt>
                <c:pt idx="15">
                  <c:v>16496.000537563257</c:v>
                </c:pt>
                <c:pt idx="16">
                  <c:v>17051.788163306242</c:v>
                </c:pt>
                <c:pt idx="17">
                  <c:v>17816.532316856574</c:v>
                </c:pt>
                <c:pt idx="18">
                  <c:v>15077.596272903485</c:v>
                </c:pt>
                <c:pt idx="19">
                  <c:v>12620.983099695972</c:v>
                </c:pt>
                <c:pt idx="20">
                  <c:v>13070.351768302207</c:v>
                </c:pt>
                <c:pt idx="21">
                  <c:v>12054.077361368847</c:v>
                </c:pt>
                <c:pt idx="22">
                  <c:v>11048.882327796944</c:v>
                </c:pt>
                <c:pt idx="23">
                  <c:v>10044.246080011962</c:v>
                </c:pt>
                <c:pt idx="24">
                  <c:v>9625.7864575960848</c:v>
                </c:pt>
                <c:pt idx="25">
                  <c:v>9210.2652776804243</c:v>
                </c:pt>
                <c:pt idx="26">
                  <c:v>8799.6382905192077</c:v>
                </c:pt>
                <c:pt idx="27">
                  <c:v>8396.5645457191931</c:v>
                </c:pt>
                <c:pt idx="28">
                  <c:v>8002.0267355263504</c:v>
                </c:pt>
                <c:pt idx="29">
                  <c:v>8148.4018154640071</c:v>
                </c:pt>
                <c:pt idx="30">
                  <c:v>8209.4079150922444</c:v>
                </c:pt>
                <c:pt idx="31">
                  <c:v>8260.8472166788051</c:v>
                </c:pt>
                <c:pt idx="32">
                  <c:v>8311.8144406177962</c:v>
                </c:pt>
                <c:pt idx="33">
                  <c:v>8359.8913932451032</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2562.5527582487894</c:v>
                </c:pt>
                <c:pt idx="3">
                  <c:v>2560.9621544777392</c:v>
                </c:pt>
                <c:pt idx="4">
                  <c:v>2937.5012039878866</c:v>
                </c:pt>
                <c:pt idx="5">
                  <c:v>3148.72204906348</c:v>
                </c:pt>
                <c:pt idx="6">
                  <c:v>3204.8349418807438</c:v>
                </c:pt>
                <c:pt idx="7">
                  <c:v>3265.0525952906887</c:v>
                </c:pt>
                <c:pt idx="8">
                  <c:v>3322.0462446854558</c:v>
                </c:pt>
                <c:pt idx="9">
                  <c:v>3371.5806470164412</c:v>
                </c:pt>
                <c:pt idx="10">
                  <c:v>3420.7616593626267</c:v>
                </c:pt>
                <c:pt idx="11">
                  <c:v>3471.0300255081979</c:v>
                </c:pt>
                <c:pt idx="12">
                  <c:v>3537.8044223284328</c:v>
                </c:pt>
                <c:pt idx="13">
                  <c:v>3597.8752829754594</c:v>
                </c:pt>
                <c:pt idx="14">
                  <c:v>3668.9827846862445</c:v>
                </c:pt>
                <c:pt idx="15">
                  <c:v>3743.3904051781628</c:v>
                </c:pt>
                <c:pt idx="16">
                  <c:v>3830.9006389526726</c:v>
                </c:pt>
                <c:pt idx="17">
                  <c:v>3926.3322451557001</c:v>
                </c:pt>
                <c:pt idx="18">
                  <c:v>4002.4905052646268</c:v>
                </c:pt>
                <c:pt idx="19">
                  <c:v>4078.7466272155002</c:v>
                </c:pt>
                <c:pt idx="20">
                  <c:v>4167.9694432240412</c:v>
                </c:pt>
                <c:pt idx="21">
                  <c:v>4255.0991031687627</c:v>
                </c:pt>
                <c:pt idx="22">
                  <c:v>4348.4810474599535</c:v>
                </c:pt>
                <c:pt idx="23">
                  <c:v>4442.1783243529617</c:v>
                </c:pt>
                <c:pt idx="24">
                  <c:v>4547.532033975378</c:v>
                </c:pt>
                <c:pt idx="25">
                  <c:v>4654.5439581418577</c:v>
                </c:pt>
                <c:pt idx="26">
                  <c:v>4764.3177609587738</c:v>
                </c:pt>
                <c:pt idx="27">
                  <c:v>4878.3539906692804</c:v>
                </c:pt>
                <c:pt idx="28">
                  <c:v>4997.2071977110627</c:v>
                </c:pt>
                <c:pt idx="29">
                  <c:v>5124.3025465521841</c:v>
                </c:pt>
                <c:pt idx="30">
                  <c:v>5203.2226853115508</c:v>
                </c:pt>
                <c:pt idx="31">
                  <c:v>5276.7441124569687</c:v>
                </c:pt>
                <c:pt idx="32">
                  <c:v>5349.9991379215398</c:v>
                </c:pt>
                <c:pt idx="33">
                  <c:v>5421.623132687032</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16063.083173470395</c:v>
                </c:pt>
                <c:pt idx="3">
                  <c:v>15051.060093734426</c:v>
                </c:pt>
                <c:pt idx="4">
                  <c:v>15555.641557701811</c:v>
                </c:pt>
                <c:pt idx="5">
                  <c:v>15960.769388784185</c:v>
                </c:pt>
                <c:pt idx="6">
                  <c:v>16334.435550053271</c:v>
                </c:pt>
                <c:pt idx="7">
                  <c:v>16735.436073473149</c:v>
                </c:pt>
                <c:pt idx="8">
                  <c:v>17114.967356157376</c:v>
                </c:pt>
                <c:pt idx="9">
                  <c:v>17444.826129078869</c:v>
                </c:pt>
                <c:pt idx="10">
                  <c:v>17772.331612543669</c:v>
                </c:pt>
                <c:pt idx="11">
                  <c:v>18107.077986644446</c:v>
                </c:pt>
                <c:pt idx="12">
                  <c:v>18551.741080599193</c:v>
                </c:pt>
                <c:pt idx="13">
                  <c:v>18951.764083783208</c:v>
                </c:pt>
                <c:pt idx="14">
                  <c:v>19425.282126922295</c:v>
                </c:pt>
                <c:pt idx="15">
                  <c:v>19920.776273141539</c:v>
                </c:pt>
                <c:pt idx="16">
                  <c:v>20503.523151524198</c:v>
                </c:pt>
                <c:pt idx="17">
                  <c:v>21139.019918189864</c:v>
                </c:pt>
                <c:pt idx="18">
                  <c:v>21646.171898333007</c:v>
                </c:pt>
                <c:pt idx="19">
                  <c:v>22153.975558633399</c:v>
                </c:pt>
                <c:pt idx="20">
                  <c:v>22748.126839767705</c:v>
                </c:pt>
                <c:pt idx="21">
                  <c:v>23328.33940642776</c:v>
                </c:pt>
                <c:pt idx="22">
                  <c:v>23950.187094244651</c:v>
                </c:pt>
                <c:pt idx="23">
                  <c:v>24574.134640345954</c:v>
                </c:pt>
                <c:pt idx="24">
                  <c:v>25275.704534064822</c:v>
                </c:pt>
                <c:pt idx="25">
                  <c:v>25988.316786003554</c:v>
                </c:pt>
                <c:pt idx="26">
                  <c:v>26719.320900157629</c:v>
                </c:pt>
                <c:pt idx="27">
                  <c:v>27478.709305604705</c:v>
                </c:pt>
                <c:pt idx="28">
                  <c:v>28270.174856569116</c:v>
                </c:pt>
                <c:pt idx="29">
                  <c:v>29116.526358554158</c:v>
                </c:pt>
                <c:pt idx="30">
                  <c:v>29642.070200912669</c:v>
                </c:pt>
                <c:pt idx="31">
                  <c:v>30131.663021263586</c:v>
                </c:pt>
                <c:pt idx="32">
                  <c:v>30619.481823408714</c:v>
                </c:pt>
                <c:pt idx="33">
                  <c:v>31096.439289599883</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21601.88516782827</c:v>
                </c:pt>
                <c:pt idx="11">
                  <c:v>21313.16496661069</c:v>
                </c:pt>
                <c:pt idx="12">
                  <c:v>21016.289002754023</c:v>
                </c:pt>
                <c:pt idx="13">
                  <c:v>20720.889569679872</c:v>
                </c:pt>
                <c:pt idx="14">
                  <c:v>20430.891611731691</c:v>
                </c:pt>
                <c:pt idx="15">
                  <c:v>20148.049975479818</c:v>
                </c:pt>
                <c:pt idx="16">
                  <c:v>19883.213155134894</c:v>
                </c:pt>
                <c:pt idx="17">
                  <c:v>19632.069566961178</c:v>
                </c:pt>
                <c:pt idx="18">
                  <c:v>19326.799922269267</c:v>
                </c:pt>
                <c:pt idx="19">
                  <c:v>19035.917267861983</c:v>
                </c:pt>
                <c:pt idx="20">
                  <c:v>18751.04325071058</c:v>
                </c:pt>
                <c:pt idx="21">
                  <c:v>18483.570845426279</c:v>
                </c:pt>
                <c:pt idx="22">
                  <c:v>18226.33250223818</c:v>
                </c:pt>
                <c:pt idx="23">
                  <c:v>17979.353446632918</c:v>
                </c:pt>
                <c:pt idx="24">
                  <c:v>17734.171340510933</c:v>
                </c:pt>
                <c:pt idx="25">
                  <c:v>17484.583709938099</c:v>
                </c:pt>
                <c:pt idx="26">
                  <c:v>17269.133381435771</c:v>
                </c:pt>
                <c:pt idx="27">
                  <c:v>17091.796118580693</c:v>
                </c:pt>
                <c:pt idx="28">
                  <c:v>16915.677390590063</c:v>
                </c:pt>
                <c:pt idx="29">
                  <c:v>16757.299900749531</c:v>
                </c:pt>
                <c:pt idx="30">
                  <c:v>16615.106020486644</c:v>
                </c:pt>
                <c:pt idx="31">
                  <c:v>16490.132992211285</c:v>
                </c:pt>
                <c:pt idx="32">
                  <c:v>16371.746688797379</c:v>
                </c:pt>
                <c:pt idx="33">
                  <c:v>16259.971138070207</c:v>
                </c:pt>
                <c:pt idx="34">
                  <c:v>16154.887157668478</c:v>
                </c:pt>
                <c:pt idx="35">
                  <c:v>16056.439471355494</c:v>
                </c:pt>
                <c:pt idx="36">
                  <c:v>15965.110487959488</c:v>
                </c:pt>
                <c:pt idx="37">
                  <c:v>15866.767067762532</c:v>
                </c:pt>
                <c:pt idx="38">
                  <c:v>15773.373850810864</c:v>
                </c:pt>
                <c:pt idx="39">
                  <c:v>15685.751925891584</c:v>
                </c:pt>
                <c:pt idx="40">
                  <c:v>15603.568664295413</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21835.614605464347</c:v>
                </c:pt>
                <c:pt idx="11">
                  <c:v>21741.695216224529</c:v>
                </c:pt>
                <c:pt idx="12">
                  <c:v>21416.766633199666</c:v>
                </c:pt>
                <c:pt idx="13">
                  <c:v>20992.108029454132</c:v>
                </c:pt>
                <c:pt idx="14">
                  <c:v>20595.669284751966</c:v>
                </c:pt>
                <c:pt idx="15">
                  <c:v>20224.746031888633</c:v>
                </c:pt>
                <c:pt idx="16">
                  <c:v>19872.603739512804</c:v>
                </c:pt>
                <c:pt idx="17">
                  <c:v>19538.237642662254</c:v>
                </c:pt>
                <c:pt idx="18">
                  <c:v>19220.87774498653</c:v>
                </c:pt>
                <c:pt idx="19">
                  <c:v>18920.988139337212</c:v>
                </c:pt>
                <c:pt idx="20">
                  <c:v>18629.997898380952</c:v>
                </c:pt>
                <c:pt idx="21">
                  <c:v>18254.50015886853</c:v>
                </c:pt>
                <c:pt idx="22">
                  <c:v>17887.515755052566</c:v>
                </c:pt>
                <c:pt idx="23">
                  <c:v>17544.384103430686</c:v>
                </c:pt>
                <c:pt idx="24">
                  <c:v>17221.673118315401</c:v>
                </c:pt>
                <c:pt idx="25">
                  <c:v>16914.391477862562</c:v>
                </c:pt>
                <c:pt idx="26">
                  <c:v>16624.737900805001</c:v>
                </c:pt>
                <c:pt idx="27">
                  <c:v>16372.246161096535</c:v>
                </c:pt>
                <c:pt idx="28">
                  <c:v>16132.168090180669</c:v>
                </c:pt>
                <c:pt idx="29">
                  <c:v>15916.477700756313</c:v>
                </c:pt>
                <c:pt idx="30">
                  <c:v>15723.219439892457</c:v>
                </c:pt>
                <c:pt idx="31">
                  <c:v>15553.086617406272</c:v>
                </c:pt>
                <c:pt idx="32">
                  <c:v>15399.094875942112</c:v>
                </c:pt>
                <c:pt idx="33">
                  <c:v>15260.591854175062</c:v>
                </c:pt>
                <c:pt idx="34">
                  <c:v>15137.021588257558</c:v>
                </c:pt>
                <c:pt idx="35">
                  <c:v>15027.731154283723</c:v>
                </c:pt>
                <c:pt idx="36">
                  <c:v>14932.649145269697</c:v>
                </c:pt>
                <c:pt idx="37">
                  <c:v>14838.585295972836</c:v>
                </c:pt>
                <c:pt idx="38">
                  <c:v>14751.036840211003</c:v>
                </c:pt>
                <c:pt idx="39">
                  <c:v>14670.273752347275</c:v>
                </c:pt>
                <c:pt idx="40">
                  <c:v>14595.670788806132</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21591.681939278445</c:v>
                </c:pt>
                <c:pt idx="11">
                  <c:v>21344.423230156812</c:v>
                </c:pt>
                <c:pt idx="12">
                  <c:v>20873.867768351163</c:v>
                </c:pt>
                <c:pt idx="13">
                  <c:v>20446.066973767302</c:v>
                </c:pt>
                <c:pt idx="14">
                  <c:v>20046.260293764539</c:v>
                </c:pt>
                <c:pt idx="15">
                  <c:v>19672.158343789153</c:v>
                </c:pt>
                <c:pt idx="16">
                  <c:v>19317.266371529284</c:v>
                </c:pt>
                <c:pt idx="17">
                  <c:v>18980.176972998226</c:v>
                </c:pt>
                <c:pt idx="18">
                  <c:v>18660.038373858759</c:v>
                </c:pt>
                <c:pt idx="19">
                  <c:v>18356.441167307454</c:v>
                </c:pt>
                <c:pt idx="20">
                  <c:v>18062.128818090867</c:v>
                </c:pt>
                <c:pt idx="21">
                  <c:v>17682.689449202058</c:v>
                </c:pt>
                <c:pt idx="22">
                  <c:v>17311.572800975977</c:v>
                </c:pt>
                <c:pt idx="23">
                  <c:v>16963.563266744059</c:v>
                </c:pt>
                <c:pt idx="24">
                  <c:v>16635.522404217612</c:v>
                </c:pt>
                <c:pt idx="25">
                  <c:v>16323.999366845359</c:v>
                </c:pt>
                <c:pt idx="26">
                  <c:v>16030.095843781235</c:v>
                </c:pt>
                <c:pt idx="27">
                  <c:v>15772.616872614322</c:v>
                </c:pt>
                <c:pt idx="28">
                  <c:v>15527.667419184327</c:v>
                </c:pt>
                <c:pt idx="29">
                  <c:v>15306.748945704076</c:v>
                </c:pt>
                <c:pt idx="30">
                  <c:v>15108.242294768792</c:v>
                </c:pt>
                <c:pt idx="31">
                  <c:v>14932.198534700789</c:v>
                </c:pt>
                <c:pt idx="32">
                  <c:v>14772.199720528306</c:v>
                </c:pt>
                <c:pt idx="33">
                  <c:v>14627.53108539429</c:v>
                </c:pt>
                <c:pt idx="34">
                  <c:v>14497.55177353452</c:v>
                </c:pt>
                <c:pt idx="35">
                  <c:v>14381.577543986554</c:v>
                </c:pt>
                <c:pt idx="36">
                  <c:v>14279.343075063834</c:v>
                </c:pt>
                <c:pt idx="37">
                  <c:v>14180.853664015125</c:v>
                </c:pt>
                <c:pt idx="38">
                  <c:v>14089.183762006935</c:v>
                </c:pt>
                <c:pt idx="39">
                  <c:v>14004.312722459903</c:v>
                </c:pt>
                <c:pt idx="40">
                  <c:v>13925.692662659267</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21601.88516782827</c:v>
                </c:pt>
                <c:pt idx="11">
                  <c:v>21313.16496661069</c:v>
                </c:pt>
                <c:pt idx="12">
                  <c:v>21016.289002754023</c:v>
                </c:pt>
                <c:pt idx="13">
                  <c:v>20720.889569679872</c:v>
                </c:pt>
                <c:pt idx="14">
                  <c:v>20430.891611731691</c:v>
                </c:pt>
                <c:pt idx="15">
                  <c:v>20148.049975479818</c:v>
                </c:pt>
                <c:pt idx="16">
                  <c:v>19883.213155134894</c:v>
                </c:pt>
                <c:pt idx="17">
                  <c:v>19632.069566961178</c:v>
                </c:pt>
                <c:pt idx="18">
                  <c:v>19326.799922269267</c:v>
                </c:pt>
                <c:pt idx="19">
                  <c:v>19035.917267861983</c:v>
                </c:pt>
                <c:pt idx="20">
                  <c:v>18751.04325071058</c:v>
                </c:pt>
                <c:pt idx="21">
                  <c:v>18483.570845426279</c:v>
                </c:pt>
                <c:pt idx="22">
                  <c:v>18226.33250223818</c:v>
                </c:pt>
                <c:pt idx="23">
                  <c:v>17979.353446632918</c:v>
                </c:pt>
                <c:pt idx="24">
                  <c:v>17734.171340510933</c:v>
                </c:pt>
                <c:pt idx="25">
                  <c:v>17484.583709938099</c:v>
                </c:pt>
                <c:pt idx="26">
                  <c:v>17269.133381435771</c:v>
                </c:pt>
                <c:pt idx="27">
                  <c:v>17091.796118580693</c:v>
                </c:pt>
                <c:pt idx="28">
                  <c:v>16915.677390590063</c:v>
                </c:pt>
                <c:pt idx="29">
                  <c:v>16757.299900749531</c:v>
                </c:pt>
                <c:pt idx="30">
                  <c:v>16615.106020486644</c:v>
                </c:pt>
                <c:pt idx="31">
                  <c:v>16490.132992211285</c:v>
                </c:pt>
                <c:pt idx="32">
                  <c:v>16371.746688797379</c:v>
                </c:pt>
                <c:pt idx="33">
                  <c:v>16259.971138070207</c:v>
                </c:pt>
                <c:pt idx="34">
                  <c:v>16154.887157668478</c:v>
                </c:pt>
                <c:pt idx="35">
                  <c:v>16056.439471355494</c:v>
                </c:pt>
                <c:pt idx="36">
                  <c:v>15965.110487959488</c:v>
                </c:pt>
                <c:pt idx="37">
                  <c:v>15866.767067762532</c:v>
                </c:pt>
                <c:pt idx="38">
                  <c:v>15773.373850810864</c:v>
                </c:pt>
                <c:pt idx="39">
                  <c:v>15685.751925891584</c:v>
                </c:pt>
                <c:pt idx="40">
                  <c:v>15603.568664295413</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21835.614605464347</c:v>
                </c:pt>
                <c:pt idx="11">
                  <c:v>21741.695216224529</c:v>
                </c:pt>
                <c:pt idx="12">
                  <c:v>21416.766633199666</c:v>
                </c:pt>
                <c:pt idx="13">
                  <c:v>20992.108029454132</c:v>
                </c:pt>
                <c:pt idx="14">
                  <c:v>20595.669284751966</c:v>
                </c:pt>
                <c:pt idx="15">
                  <c:v>20224.746031888633</c:v>
                </c:pt>
                <c:pt idx="16">
                  <c:v>19872.603739512804</c:v>
                </c:pt>
                <c:pt idx="17">
                  <c:v>19538.237642662254</c:v>
                </c:pt>
                <c:pt idx="18">
                  <c:v>19220.87774498653</c:v>
                </c:pt>
                <c:pt idx="19">
                  <c:v>18920.988139337212</c:v>
                </c:pt>
                <c:pt idx="20">
                  <c:v>18629.997898380952</c:v>
                </c:pt>
                <c:pt idx="21">
                  <c:v>18254.50015886853</c:v>
                </c:pt>
                <c:pt idx="22">
                  <c:v>17887.515755052566</c:v>
                </c:pt>
                <c:pt idx="23">
                  <c:v>17544.384103430686</c:v>
                </c:pt>
                <c:pt idx="24">
                  <c:v>17221.673118315401</c:v>
                </c:pt>
                <c:pt idx="25">
                  <c:v>16914.391477862562</c:v>
                </c:pt>
                <c:pt idx="26">
                  <c:v>16624.737900805001</c:v>
                </c:pt>
                <c:pt idx="27">
                  <c:v>16372.246161096535</c:v>
                </c:pt>
                <c:pt idx="28">
                  <c:v>16132.168090180669</c:v>
                </c:pt>
                <c:pt idx="29">
                  <c:v>15916.477700756313</c:v>
                </c:pt>
                <c:pt idx="30">
                  <c:v>15723.219439892457</c:v>
                </c:pt>
                <c:pt idx="31">
                  <c:v>15553.086617406272</c:v>
                </c:pt>
                <c:pt idx="32">
                  <c:v>15399.094875942112</c:v>
                </c:pt>
                <c:pt idx="33">
                  <c:v>15260.591854175062</c:v>
                </c:pt>
                <c:pt idx="34">
                  <c:v>15137.021588257558</c:v>
                </c:pt>
                <c:pt idx="35">
                  <c:v>15027.731154283723</c:v>
                </c:pt>
                <c:pt idx="36">
                  <c:v>14932.649145269697</c:v>
                </c:pt>
                <c:pt idx="37">
                  <c:v>14838.585295972836</c:v>
                </c:pt>
                <c:pt idx="38">
                  <c:v>14751.036840211003</c:v>
                </c:pt>
                <c:pt idx="39">
                  <c:v>14670.273752347275</c:v>
                </c:pt>
                <c:pt idx="40">
                  <c:v>14595.670788806132</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21591.681939278445</c:v>
                </c:pt>
                <c:pt idx="11">
                  <c:v>21344.423230156812</c:v>
                </c:pt>
                <c:pt idx="12">
                  <c:v>20873.867768351163</c:v>
                </c:pt>
                <c:pt idx="13">
                  <c:v>20446.066973767302</c:v>
                </c:pt>
                <c:pt idx="14">
                  <c:v>20046.260293764539</c:v>
                </c:pt>
                <c:pt idx="15">
                  <c:v>19672.158343789153</c:v>
                </c:pt>
                <c:pt idx="16">
                  <c:v>19317.266371529284</c:v>
                </c:pt>
                <c:pt idx="17">
                  <c:v>18980.176972998226</c:v>
                </c:pt>
                <c:pt idx="18">
                  <c:v>18660.038373858759</c:v>
                </c:pt>
                <c:pt idx="19">
                  <c:v>18356.441167307454</c:v>
                </c:pt>
                <c:pt idx="20">
                  <c:v>18062.128818090867</c:v>
                </c:pt>
                <c:pt idx="21">
                  <c:v>17682.689449202058</c:v>
                </c:pt>
                <c:pt idx="22">
                  <c:v>17311.572800975977</c:v>
                </c:pt>
                <c:pt idx="23">
                  <c:v>16963.563266744059</c:v>
                </c:pt>
                <c:pt idx="24">
                  <c:v>16635.522404217612</c:v>
                </c:pt>
                <c:pt idx="25">
                  <c:v>16323.999366845359</c:v>
                </c:pt>
                <c:pt idx="26">
                  <c:v>16030.095843781235</c:v>
                </c:pt>
                <c:pt idx="27">
                  <c:v>15772.616872614322</c:v>
                </c:pt>
                <c:pt idx="28">
                  <c:v>15527.667419184327</c:v>
                </c:pt>
                <c:pt idx="29">
                  <c:v>15306.748945704076</c:v>
                </c:pt>
                <c:pt idx="30">
                  <c:v>15108.242294768792</c:v>
                </c:pt>
                <c:pt idx="31">
                  <c:v>14932.198534700789</c:v>
                </c:pt>
                <c:pt idx="32">
                  <c:v>14772.199720528306</c:v>
                </c:pt>
                <c:pt idx="33">
                  <c:v>14627.53108539429</c:v>
                </c:pt>
                <c:pt idx="34">
                  <c:v>14497.55177353452</c:v>
                </c:pt>
                <c:pt idx="35">
                  <c:v>14381.577543986554</c:v>
                </c:pt>
                <c:pt idx="36">
                  <c:v>14279.343075063834</c:v>
                </c:pt>
                <c:pt idx="37">
                  <c:v>14180.853664015125</c:v>
                </c:pt>
                <c:pt idx="38">
                  <c:v>14089.183762006935</c:v>
                </c:pt>
                <c:pt idx="39">
                  <c:v>14004.312722459903</c:v>
                </c:pt>
                <c:pt idx="40">
                  <c:v>13925.692662659267</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111.94119921542054</c:v>
                </c:pt>
                <c:pt idx="10">
                  <c:v>107.39659859637534</c:v>
                </c:pt>
                <c:pt idx="11">
                  <c:v>105.35297165506665</c:v>
                </c:pt>
                <c:pt idx="12">
                  <c:v>103.4013639364434</c:v>
                </c:pt>
                <c:pt idx="13">
                  <c:v>101.48251277964827</c:v>
                </c:pt>
                <c:pt idx="14">
                  <c:v>99.753932230241077</c:v>
                </c:pt>
                <c:pt idx="15">
                  <c:v>97.753897051718553</c:v>
                </c:pt>
                <c:pt idx="16">
                  <c:v>95.886151051128607</c:v>
                </c:pt>
                <c:pt idx="17">
                  <c:v>94.299124556981511</c:v>
                </c:pt>
                <c:pt idx="18">
                  <c:v>92.479085672149751</c:v>
                </c:pt>
                <c:pt idx="19">
                  <c:v>91.144532772738543</c:v>
                </c:pt>
                <c:pt idx="20">
                  <c:v>89.626442887275189</c:v>
                </c:pt>
                <c:pt idx="21">
                  <c:v>88.627942335366967</c:v>
                </c:pt>
                <c:pt idx="22">
                  <c:v>87.742890545128475</c:v>
                </c:pt>
                <c:pt idx="23">
                  <c:v>87.380329965766151</c:v>
                </c:pt>
                <c:pt idx="24">
                  <c:v>87.227920233842113</c:v>
                </c:pt>
                <c:pt idx="25">
                  <c:v>85.195469307760874</c:v>
                </c:pt>
                <c:pt idx="26">
                  <c:v>83.340644081556832</c:v>
                </c:pt>
                <c:pt idx="27">
                  <c:v>83.316833029109745</c:v>
                </c:pt>
                <c:pt idx="28">
                  <c:v>82.470689051725415</c:v>
                </c:pt>
                <c:pt idx="29">
                  <c:v>81.715044839570382</c:v>
                </c:pt>
                <c:pt idx="30">
                  <c:v>80.992687168376918</c:v>
                </c:pt>
                <c:pt idx="31">
                  <c:v>80.227965739143926</c:v>
                </c:pt>
                <c:pt idx="32">
                  <c:v>79.548596480905374</c:v>
                </c:pt>
                <c:pt idx="33">
                  <c:v>78.961063234328734</c:v>
                </c:pt>
                <c:pt idx="34">
                  <c:v>78.475804564044438</c:v>
                </c:pt>
                <c:pt idx="35">
                  <c:v>78.094537290557739</c:v>
                </c:pt>
                <c:pt idx="36">
                  <c:v>78.109578625626838</c:v>
                </c:pt>
                <c:pt idx="37">
                  <c:v>77.722549518724932</c:v>
                </c:pt>
                <c:pt idx="38">
                  <c:v>77.555161900256749</c:v>
                </c:pt>
                <c:pt idx="39">
                  <c:v>77.431599559000702</c:v>
                </c:pt>
                <c:pt idx="40">
                  <c:v>77.336343948774115</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111.94119921542054</c:v>
                </c:pt>
                <c:pt idx="10">
                  <c:v>107.39659859637534</c:v>
                </c:pt>
                <c:pt idx="11">
                  <c:v>105.35297165506665</c:v>
                </c:pt>
                <c:pt idx="12">
                  <c:v>103.4013639364434</c:v>
                </c:pt>
                <c:pt idx="13">
                  <c:v>101.48251277964827</c:v>
                </c:pt>
                <c:pt idx="14">
                  <c:v>99.753932230241077</c:v>
                </c:pt>
                <c:pt idx="15">
                  <c:v>97.753897051718553</c:v>
                </c:pt>
                <c:pt idx="16">
                  <c:v>95.886151051128607</c:v>
                </c:pt>
                <c:pt idx="17">
                  <c:v>94.299124556981511</c:v>
                </c:pt>
                <c:pt idx="18">
                  <c:v>92.479085672149751</c:v>
                </c:pt>
                <c:pt idx="19">
                  <c:v>91.144532772738543</c:v>
                </c:pt>
                <c:pt idx="20">
                  <c:v>89.626442887275189</c:v>
                </c:pt>
                <c:pt idx="21">
                  <c:v>88.627942335366967</c:v>
                </c:pt>
                <c:pt idx="22">
                  <c:v>87.742890545128475</c:v>
                </c:pt>
                <c:pt idx="23">
                  <c:v>87.380329965766151</c:v>
                </c:pt>
                <c:pt idx="24">
                  <c:v>87.227920233842113</c:v>
                </c:pt>
                <c:pt idx="25">
                  <c:v>85.195469307760874</c:v>
                </c:pt>
                <c:pt idx="26">
                  <c:v>83.340644081556832</c:v>
                </c:pt>
                <c:pt idx="27">
                  <c:v>83.316833029109745</c:v>
                </c:pt>
                <c:pt idx="28">
                  <c:v>82.470689051725415</c:v>
                </c:pt>
                <c:pt idx="29">
                  <c:v>81.715044839570382</c:v>
                </c:pt>
                <c:pt idx="30">
                  <c:v>80.992687168376918</c:v>
                </c:pt>
                <c:pt idx="31">
                  <c:v>80.227965739143926</c:v>
                </c:pt>
                <c:pt idx="32">
                  <c:v>79.548596480905374</c:v>
                </c:pt>
                <c:pt idx="33">
                  <c:v>78.961063234328734</c:v>
                </c:pt>
                <c:pt idx="34">
                  <c:v>78.475804564044438</c:v>
                </c:pt>
                <c:pt idx="35">
                  <c:v>78.094537290557739</c:v>
                </c:pt>
                <c:pt idx="36">
                  <c:v>78.109578625626838</c:v>
                </c:pt>
                <c:pt idx="37">
                  <c:v>77.722549518724932</c:v>
                </c:pt>
                <c:pt idx="38">
                  <c:v>77.555161900256749</c:v>
                </c:pt>
                <c:pt idx="39">
                  <c:v>77.431599559000702</c:v>
                </c:pt>
                <c:pt idx="40">
                  <c:v>77.336343948774115</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113.60149224673694</c:v>
                </c:pt>
                <c:pt idx="10">
                  <c:v>107.77625019609012</c:v>
                </c:pt>
                <c:pt idx="11">
                  <c:v>98.518596994374505</c:v>
                </c:pt>
                <c:pt idx="12">
                  <c:v>95.455152936877568</c:v>
                </c:pt>
                <c:pt idx="13">
                  <c:v>94.162728281018403</c:v>
                </c:pt>
                <c:pt idx="14">
                  <c:v>92.676702115943286</c:v>
                </c:pt>
                <c:pt idx="15">
                  <c:v>87.971485159557005</c:v>
                </c:pt>
                <c:pt idx="16">
                  <c:v>84.131980311407801</c:v>
                </c:pt>
                <c:pt idx="17">
                  <c:v>81.855981060852642</c:v>
                </c:pt>
                <c:pt idx="18">
                  <c:v>80.236516781439207</c:v>
                </c:pt>
                <c:pt idx="19">
                  <c:v>79.287099189019543</c:v>
                </c:pt>
                <c:pt idx="20">
                  <c:v>77.425635465611222</c:v>
                </c:pt>
                <c:pt idx="21">
                  <c:v>76.730298546442867</c:v>
                </c:pt>
                <c:pt idx="22">
                  <c:v>76.271202265834958</c:v>
                </c:pt>
                <c:pt idx="23">
                  <c:v>78.197370616746369</c:v>
                </c:pt>
                <c:pt idx="24">
                  <c:v>80.683462508178934</c:v>
                </c:pt>
                <c:pt idx="25">
                  <c:v>74.311786883385537</c:v>
                </c:pt>
                <c:pt idx="26">
                  <c:v>72.244272007283868</c:v>
                </c:pt>
                <c:pt idx="27">
                  <c:v>73.468581065364987</c:v>
                </c:pt>
                <c:pt idx="28">
                  <c:v>73.209498470222584</c:v>
                </c:pt>
                <c:pt idx="29">
                  <c:v>73.007597014105684</c:v>
                </c:pt>
                <c:pt idx="30">
                  <c:v>72.806816055620374</c:v>
                </c:pt>
                <c:pt idx="31">
                  <c:v>73.279774001463252</c:v>
                </c:pt>
                <c:pt idx="32">
                  <c:v>73.766594272850725</c:v>
                </c:pt>
                <c:pt idx="33">
                  <c:v>74.277626630712035</c:v>
                </c:pt>
                <c:pt idx="34">
                  <c:v>74.826965028942311</c:v>
                </c:pt>
                <c:pt idx="35">
                  <c:v>75.419782629325709</c:v>
                </c:pt>
                <c:pt idx="36">
                  <c:v>76.614854947901634</c:v>
                </c:pt>
                <c:pt idx="37">
                  <c:v>77.353739495252753</c:v>
                </c:pt>
                <c:pt idx="38">
                  <c:v>78.039822964946168</c:v>
                </c:pt>
                <c:pt idx="39">
                  <c:v>78.721461841019334</c:v>
                </c:pt>
                <c:pt idx="40">
                  <c:v>79.385739550304635</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113.60149224673694</c:v>
                </c:pt>
                <c:pt idx="10">
                  <c:v>107.77625019609012</c:v>
                </c:pt>
                <c:pt idx="11">
                  <c:v>98.518596994374505</c:v>
                </c:pt>
                <c:pt idx="12">
                  <c:v>95.455152936877568</c:v>
                </c:pt>
                <c:pt idx="13">
                  <c:v>94.162728281018403</c:v>
                </c:pt>
                <c:pt idx="14">
                  <c:v>92.676702115943286</c:v>
                </c:pt>
                <c:pt idx="15">
                  <c:v>87.971485159557005</c:v>
                </c:pt>
                <c:pt idx="16">
                  <c:v>84.131980311407801</c:v>
                </c:pt>
                <c:pt idx="17">
                  <c:v>81.855981060852642</c:v>
                </c:pt>
                <c:pt idx="18">
                  <c:v>80.236516781439207</c:v>
                </c:pt>
                <c:pt idx="19">
                  <c:v>79.287099189019543</c:v>
                </c:pt>
                <c:pt idx="20">
                  <c:v>77.425635465611222</c:v>
                </c:pt>
                <c:pt idx="21">
                  <c:v>76.730298546442867</c:v>
                </c:pt>
                <c:pt idx="22">
                  <c:v>76.271202265834958</c:v>
                </c:pt>
                <c:pt idx="23">
                  <c:v>78.197370616746369</c:v>
                </c:pt>
                <c:pt idx="24">
                  <c:v>80.683462508178934</c:v>
                </c:pt>
                <c:pt idx="25">
                  <c:v>74.311786883385537</c:v>
                </c:pt>
                <c:pt idx="26">
                  <c:v>72.244272007283868</c:v>
                </c:pt>
                <c:pt idx="27">
                  <c:v>73.468581065364987</c:v>
                </c:pt>
                <c:pt idx="28">
                  <c:v>73.209498470222584</c:v>
                </c:pt>
                <c:pt idx="29">
                  <c:v>73.007597014105684</c:v>
                </c:pt>
                <c:pt idx="30">
                  <c:v>72.806816055620374</c:v>
                </c:pt>
                <c:pt idx="31">
                  <c:v>73.279774001463252</c:v>
                </c:pt>
                <c:pt idx="32">
                  <c:v>73.766594272850725</c:v>
                </c:pt>
                <c:pt idx="33">
                  <c:v>74.277626630712035</c:v>
                </c:pt>
                <c:pt idx="34">
                  <c:v>74.826965028942311</c:v>
                </c:pt>
                <c:pt idx="35">
                  <c:v>75.419782629325709</c:v>
                </c:pt>
                <c:pt idx="36">
                  <c:v>76.614854947901634</c:v>
                </c:pt>
                <c:pt idx="37">
                  <c:v>77.353739495252753</c:v>
                </c:pt>
                <c:pt idx="38">
                  <c:v>78.039822964946168</c:v>
                </c:pt>
                <c:pt idx="39">
                  <c:v>78.721461841019334</c:v>
                </c:pt>
                <c:pt idx="40">
                  <c:v>79.385739550304635</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113.60149224673694</c:v>
                </c:pt>
                <c:pt idx="10">
                  <c:v>107.77625019609012</c:v>
                </c:pt>
                <c:pt idx="11">
                  <c:v>98.518596994374505</c:v>
                </c:pt>
                <c:pt idx="12">
                  <c:v>95.455152936877568</c:v>
                </c:pt>
                <c:pt idx="13">
                  <c:v>94.162728281018403</c:v>
                </c:pt>
                <c:pt idx="14">
                  <c:v>92.676702115943286</c:v>
                </c:pt>
                <c:pt idx="15">
                  <c:v>87.971485159557005</c:v>
                </c:pt>
                <c:pt idx="16">
                  <c:v>84.131980311407801</c:v>
                </c:pt>
                <c:pt idx="17">
                  <c:v>81.855981060852642</c:v>
                </c:pt>
                <c:pt idx="18">
                  <c:v>80.236516781439207</c:v>
                </c:pt>
                <c:pt idx="19">
                  <c:v>79.287099189019543</c:v>
                </c:pt>
                <c:pt idx="20">
                  <c:v>77.425635465611222</c:v>
                </c:pt>
                <c:pt idx="21">
                  <c:v>76.730298546442867</c:v>
                </c:pt>
                <c:pt idx="22">
                  <c:v>76.271202265834958</c:v>
                </c:pt>
                <c:pt idx="23">
                  <c:v>78.197370616746369</c:v>
                </c:pt>
                <c:pt idx="24">
                  <c:v>80.683462508178934</c:v>
                </c:pt>
                <c:pt idx="25">
                  <c:v>74.311786883385537</c:v>
                </c:pt>
                <c:pt idx="26">
                  <c:v>72.244272007283868</c:v>
                </c:pt>
                <c:pt idx="27">
                  <c:v>73.468581065364987</c:v>
                </c:pt>
                <c:pt idx="28">
                  <c:v>73.209498470222584</c:v>
                </c:pt>
                <c:pt idx="29">
                  <c:v>73.007597014105684</c:v>
                </c:pt>
                <c:pt idx="30">
                  <c:v>72.806816055620374</c:v>
                </c:pt>
                <c:pt idx="31">
                  <c:v>73.279774001463252</c:v>
                </c:pt>
                <c:pt idx="32">
                  <c:v>73.766594272850725</c:v>
                </c:pt>
                <c:pt idx="33">
                  <c:v>74.277626630712035</c:v>
                </c:pt>
                <c:pt idx="34">
                  <c:v>74.826965028942311</c:v>
                </c:pt>
                <c:pt idx="35">
                  <c:v>75.419782629325709</c:v>
                </c:pt>
                <c:pt idx="36">
                  <c:v>76.614854947901634</c:v>
                </c:pt>
                <c:pt idx="37">
                  <c:v>77.353739495252753</c:v>
                </c:pt>
                <c:pt idx="38">
                  <c:v>78.039822964946168</c:v>
                </c:pt>
                <c:pt idx="39">
                  <c:v>78.721461841019334</c:v>
                </c:pt>
                <c:pt idx="40">
                  <c:v>79.385739550304635</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113.60149224673694</c:v>
                </c:pt>
                <c:pt idx="10">
                  <c:v>107.77625019609012</c:v>
                </c:pt>
                <c:pt idx="11">
                  <c:v>98.518596994374505</c:v>
                </c:pt>
                <c:pt idx="12">
                  <c:v>95.455152936877568</c:v>
                </c:pt>
                <c:pt idx="13">
                  <c:v>94.162728281018403</c:v>
                </c:pt>
                <c:pt idx="14">
                  <c:v>92.676702115943286</c:v>
                </c:pt>
                <c:pt idx="15">
                  <c:v>87.971485159557005</c:v>
                </c:pt>
                <c:pt idx="16">
                  <c:v>84.131980311407801</c:v>
                </c:pt>
                <c:pt idx="17">
                  <c:v>81.855981060852642</c:v>
                </c:pt>
                <c:pt idx="18">
                  <c:v>80.236516781439207</c:v>
                </c:pt>
                <c:pt idx="19">
                  <c:v>79.287099189019543</c:v>
                </c:pt>
                <c:pt idx="20">
                  <c:v>77.425635465611222</c:v>
                </c:pt>
                <c:pt idx="21">
                  <c:v>76.730298546442867</c:v>
                </c:pt>
                <c:pt idx="22">
                  <c:v>76.271202265834958</c:v>
                </c:pt>
                <c:pt idx="23">
                  <c:v>78.197370616746369</c:v>
                </c:pt>
                <c:pt idx="24">
                  <c:v>80.683462508178934</c:v>
                </c:pt>
                <c:pt idx="25">
                  <c:v>74.311786883385537</c:v>
                </c:pt>
                <c:pt idx="26">
                  <c:v>72.244272007283868</c:v>
                </c:pt>
                <c:pt idx="27">
                  <c:v>73.468581065364987</c:v>
                </c:pt>
                <c:pt idx="28">
                  <c:v>73.209498470222584</c:v>
                </c:pt>
                <c:pt idx="29">
                  <c:v>73.007597014105684</c:v>
                </c:pt>
                <c:pt idx="30">
                  <c:v>72.806816055620374</c:v>
                </c:pt>
                <c:pt idx="31">
                  <c:v>73.279774001463252</c:v>
                </c:pt>
                <c:pt idx="32">
                  <c:v>73.766594272850725</c:v>
                </c:pt>
                <c:pt idx="33">
                  <c:v>74.277626630712035</c:v>
                </c:pt>
                <c:pt idx="34">
                  <c:v>74.826965028942311</c:v>
                </c:pt>
                <c:pt idx="35">
                  <c:v>75.419782629325709</c:v>
                </c:pt>
                <c:pt idx="36">
                  <c:v>76.614854947901634</c:v>
                </c:pt>
                <c:pt idx="37">
                  <c:v>77.353739495252753</c:v>
                </c:pt>
                <c:pt idx="38">
                  <c:v>78.039822964946168</c:v>
                </c:pt>
                <c:pt idx="39">
                  <c:v>78.721461841019334</c:v>
                </c:pt>
                <c:pt idx="40">
                  <c:v>79.385739550304635</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21601.88516782827</c:v>
                </c:pt>
                <c:pt idx="11">
                  <c:v>21313.16496661069</c:v>
                </c:pt>
                <c:pt idx="12">
                  <c:v>21016.289002754023</c:v>
                </c:pt>
                <c:pt idx="13">
                  <c:v>20720.889569679872</c:v>
                </c:pt>
                <c:pt idx="14">
                  <c:v>20430.891611731691</c:v>
                </c:pt>
                <c:pt idx="15">
                  <c:v>20148.049975479818</c:v>
                </c:pt>
                <c:pt idx="16">
                  <c:v>19883.213155134894</c:v>
                </c:pt>
                <c:pt idx="17">
                  <c:v>19632.069566961178</c:v>
                </c:pt>
                <c:pt idx="18">
                  <c:v>19326.799922269267</c:v>
                </c:pt>
                <c:pt idx="19">
                  <c:v>19035.917267861983</c:v>
                </c:pt>
                <c:pt idx="20">
                  <c:v>18751.04325071058</c:v>
                </c:pt>
                <c:pt idx="21">
                  <c:v>18483.570845426279</c:v>
                </c:pt>
                <c:pt idx="22">
                  <c:v>18226.33250223818</c:v>
                </c:pt>
                <c:pt idx="23">
                  <c:v>17979.353446632918</c:v>
                </c:pt>
                <c:pt idx="24">
                  <c:v>17734.171340510933</c:v>
                </c:pt>
                <c:pt idx="25">
                  <c:v>17484.583709938099</c:v>
                </c:pt>
                <c:pt idx="26">
                  <c:v>17269.133381435771</c:v>
                </c:pt>
                <c:pt idx="27">
                  <c:v>17091.796118580693</c:v>
                </c:pt>
                <c:pt idx="28">
                  <c:v>16915.677390590063</c:v>
                </c:pt>
                <c:pt idx="29">
                  <c:v>16757.299900749531</c:v>
                </c:pt>
                <c:pt idx="30">
                  <c:v>16615.106020486644</c:v>
                </c:pt>
                <c:pt idx="31">
                  <c:v>16490.132992211285</c:v>
                </c:pt>
                <c:pt idx="32">
                  <c:v>16371.746688797379</c:v>
                </c:pt>
                <c:pt idx="33">
                  <c:v>16259.971138070207</c:v>
                </c:pt>
                <c:pt idx="34">
                  <c:v>16154.887157668478</c:v>
                </c:pt>
                <c:pt idx="35">
                  <c:v>16056.439471355494</c:v>
                </c:pt>
                <c:pt idx="36">
                  <c:v>15965.110487959488</c:v>
                </c:pt>
                <c:pt idx="37">
                  <c:v>15866.767067762532</c:v>
                </c:pt>
                <c:pt idx="38">
                  <c:v>15773.373850810864</c:v>
                </c:pt>
                <c:pt idx="39">
                  <c:v>15685.751925891584</c:v>
                </c:pt>
                <c:pt idx="40">
                  <c:v>15603.568664295413</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21835.614605464347</c:v>
                </c:pt>
                <c:pt idx="11">
                  <c:v>21741.695216224529</c:v>
                </c:pt>
                <c:pt idx="12">
                  <c:v>21416.766633199666</c:v>
                </c:pt>
                <c:pt idx="13">
                  <c:v>20992.108029454132</c:v>
                </c:pt>
                <c:pt idx="14">
                  <c:v>20595.669284751966</c:v>
                </c:pt>
                <c:pt idx="15">
                  <c:v>20224.746031888633</c:v>
                </c:pt>
                <c:pt idx="16">
                  <c:v>19872.603739512804</c:v>
                </c:pt>
                <c:pt idx="17">
                  <c:v>19538.237642662254</c:v>
                </c:pt>
                <c:pt idx="18">
                  <c:v>19220.87774498653</c:v>
                </c:pt>
                <c:pt idx="19">
                  <c:v>18920.988139337212</c:v>
                </c:pt>
                <c:pt idx="20">
                  <c:v>18629.997898380952</c:v>
                </c:pt>
                <c:pt idx="21">
                  <c:v>18254.50015886853</c:v>
                </c:pt>
                <c:pt idx="22">
                  <c:v>17887.515755052566</c:v>
                </c:pt>
                <c:pt idx="23">
                  <c:v>17544.384103430686</c:v>
                </c:pt>
                <c:pt idx="24">
                  <c:v>17221.673118315401</c:v>
                </c:pt>
                <c:pt idx="25">
                  <c:v>16914.391477862562</c:v>
                </c:pt>
                <c:pt idx="26">
                  <c:v>16624.737900805001</c:v>
                </c:pt>
                <c:pt idx="27">
                  <c:v>16372.246161096535</c:v>
                </c:pt>
                <c:pt idx="28">
                  <c:v>16132.168090180669</c:v>
                </c:pt>
                <c:pt idx="29">
                  <c:v>15916.477700756313</c:v>
                </c:pt>
                <c:pt idx="30">
                  <c:v>15723.219439892457</c:v>
                </c:pt>
                <c:pt idx="31">
                  <c:v>15553.086617406272</c:v>
                </c:pt>
                <c:pt idx="32">
                  <c:v>15399.094875942112</c:v>
                </c:pt>
                <c:pt idx="33">
                  <c:v>15260.591854175062</c:v>
                </c:pt>
                <c:pt idx="34">
                  <c:v>15137.021588257558</c:v>
                </c:pt>
                <c:pt idx="35">
                  <c:v>15027.731154283723</c:v>
                </c:pt>
                <c:pt idx="36">
                  <c:v>14932.649145269697</c:v>
                </c:pt>
                <c:pt idx="37">
                  <c:v>14838.585295972836</c:v>
                </c:pt>
                <c:pt idx="38">
                  <c:v>14751.036840211003</c:v>
                </c:pt>
                <c:pt idx="39">
                  <c:v>14670.273752347275</c:v>
                </c:pt>
                <c:pt idx="40">
                  <c:v>14595.670788806132</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21591.681939278445</c:v>
                </c:pt>
                <c:pt idx="11">
                  <c:v>21344.423230156812</c:v>
                </c:pt>
                <c:pt idx="12">
                  <c:v>20873.867768351163</c:v>
                </c:pt>
                <c:pt idx="13">
                  <c:v>20446.066973767302</c:v>
                </c:pt>
                <c:pt idx="14">
                  <c:v>20046.260293764539</c:v>
                </c:pt>
                <c:pt idx="15">
                  <c:v>19672.158343789153</c:v>
                </c:pt>
                <c:pt idx="16">
                  <c:v>19317.266371529284</c:v>
                </c:pt>
                <c:pt idx="17">
                  <c:v>18980.176972998226</c:v>
                </c:pt>
                <c:pt idx="18">
                  <c:v>18660.038373858759</c:v>
                </c:pt>
                <c:pt idx="19">
                  <c:v>18356.441167307454</c:v>
                </c:pt>
                <c:pt idx="20">
                  <c:v>18062.128818090867</c:v>
                </c:pt>
                <c:pt idx="21">
                  <c:v>17682.689449202058</c:v>
                </c:pt>
                <c:pt idx="22">
                  <c:v>17311.572800975977</c:v>
                </c:pt>
                <c:pt idx="23">
                  <c:v>16963.563266744059</c:v>
                </c:pt>
                <c:pt idx="24">
                  <c:v>16635.522404217612</c:v>
                </c:pt>
                <c:pt idx="25">
                  <c:v>16323.999366845359</c:v>
                </c:pt>
                <c:pt idx="26">
                  <c:v>16030.095843781235</c:v>
                </c:pt>
                <c:pt idx="27">
                  <c:v>15772.616872614322</c:v>
                </c:pt>
                <c:pt idx="28">
                  <c:v>15527.667419184327</c:v>
                </c:pt>
                <c:pt idx="29">
                  <c:v>15306.748945704076</c:v>
                </c:pt>
                <c:pt idx="30">
                  <c:v>15108.242294768792</c:v>
                </c:pt>
                <c:pt idx="31">
                  <c:v>14932.198534700789</c:v>
                </c:pt>
                <c:pt idx="32">
                  <c:v>14772.199720528306</c:v>
                </c:pt>
                <c:pt idx="33">
                  <c:v>14627.53108539429</c:v>
                </c:pt>
                <c:pt idx="34">
                  <c:v>14497.55177353452</c:v>
                </c:pt>
                <c:pt idx="35">
                  <c:v>14381.577543986554</c:v>
                </c:pt>
                <c:pt idx="36">
                  <c:v>14279.343075063834</c:v>
                </c:pt>
                <c:pt idx="37">
                  <c:v>14180.853664015125</c:v>
                </c:pt>
                <c:pt idx="38">
                  <c:v>14089.183762006935</c:v>
                </c:pt>
                <c:pt idx="39">
                  <c:v>14004.312722459903</c:v>
                </c:pt>
                <c:pt idx="40">
                  <c:v>13925.692662659267</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21601.88516782827</c:v>
                </c:pt>
                <c:pt idx="11">
                  <c:v>21313.16496661069</c:v>
                </c:pt>
                <c:pt idx="12">
                  <c:v>21016.289002754023</c:v>
                </c:pt>
                <c:pt idx="13">
                  <c:v>20720.889569679872</c:v>
                </c:pt>
                <c:pt idx="14">
                  <c:v>20430.891611731691</c:v>
                </c:pt>
                <c:pt idx="15">
                  <c:v>20148.049975479818</c:v>
                </c:pt>
                <c:pt idx="16">
                  <c:v>19883.213155134894</c:v>
                </c:pt>
                <c:pt idx="17">
                  <c:v>19632.069566961178</c:v>
                </c:pt>
                <c:pt idx="18">
                  <c:v>19326.799922269267</c:v>
                </c:pt>
                <c:pt idx="19">
                  <c:v>19035.917267861983</c:v>
                </c:pt>
                <c:pt idx="20">
                  <c:v>18751.04325071058</c:v>
                </c:pt>
                <c:pt idx="21">
                  <c:v>18483.570845426279</c:v>
                </c:pt>
                <c:pt idx="22">
                  <c:v>18226.33250223818</c:v>
                </c:pt>
                <c:pt idx="23">
                  <c:v>17979.353446632918</c:v>
                </c:pt>
                <c:pt idx="24">
                  <c:v>17734.171340510933</c:v>
                </c:pt>
                <c:pt idx="25">
                  <c:v>17484.583709938099</c:v>
                </c:pt>
                <c:pt idx="26">
                  <c:v>17269.133381435771</c:v>
                </c:pt>
                <c:pt idx="27">
                  <c:v>17091.796118580693</c:v>
                </c:pt>
                <c:pt idx="28">
                  <c:v>16915.677390590063</c:v>
                </c:pt>
                <c:pt idx="29">
                  <c:v>16757.299900749531</c:v>
                </c:pt>
                <c:pt idx="30">
                  <c:v>16615.106020486644</c:v>
                </c:pt>
                <c:pt idx="31">
                  <c:v>16490.132992211285</c:v>
                </c:pt>
                <c:pt idx="32">
                  <c:v>16371.746688797379</c:v>
                </c:pt>
                <c:pt idx="33">
                  <c:v>16259.971138070207</c:v>
                </c:pt>
                <c:pt idx="34">
                  <c:v>16154.887157668478</c:v>
                </c:pt>
                <c:pt idx="35">
                  <c:v>16056.439471355494</c:v>
                </c:pt>
                <c:pt idx="36">
                  <c:v>15965.110487959488</c:v>
                </c:pt>
                <c:pt idx="37">
                  <c:v>15866.767067762532</c:v>
                </c:pt>
                <c:pt idx="38">
                  <c:v>15773.373850810864</c:v>
                </c:pt>
                <c:pt idx="39">
                  <c:v>15685.751925891584</c:v>
                </c:pt>
                <c:pt idx="40">
                  <c:v>15603.568664295413</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21835.614605464347</c:v>
                </c:pt>
                <c:pt idx="11">
                  <c:v>21741.695216224529</c:v>
                </c:pt>
                <c:pt idx="12">
                  <c:v>21416.766633199666</c:v>
                </c:pt>
                <c:pt idx="13">
                  <c:v>20992.108029454132</c:v>
                </c:pt>
                <c:pt idx="14">
                  <c:v>20595.669284751966</c:v>
                </c:pt>
                <c:pt idx="15">
                  <c:v>20224.746031888633</c:v>
                </c:pt>
                <c:pt idx="16">
                  <c:v>19872.603739512804</c:v>
                </c:pt>
                <c:pt idx="17">
                  <c:v>19538.237642662254</c:v>
                </c:pt>
                <c:pt idx="18">
                  <c:v>19220.87774498653</c:v>
                </c:pt>
                <c:pt idx="19">
                  <c:v>18920.988139337212</c:v>
                </c:pt>
                <c:pt idx="20">
                  <c:v>18629.997898380952</c:v>
                </c:pt>
                <c:pt idx="21">
                  <c:v>18254.50015886853</c:v>
                </c:pt>
                <c:pt idx="22">
                  <c:v>17887.515755052566</c:v>
                </c:pt>
                <c:pt idx="23">
                  <c:v>17544.384103430686</c:v>
                </c:pt>
                <c:pt idx="24">
                  <c:v>17221.673118315401</c:v>
                </c:pt>
                <c:pt idx="25">
                  <c:v>16914.391477862562</c:v>
                </c:pt>
                <c:pt idx="26">
                  <c:v>16624.737900805001</c:v>
                </c:pt>
                <c:pt idx="27">
                  <c:v>16372.246161096535</c:v>
                </c:pt>
                <c:pt idx="28">
                  <c:v>16132.168090180669</c:v>
                </c:pt>
                <c:pt idx="29">
                  <c:v>15916.477700756313</c:v>
                </c:pt>
                <c:pt idx="30">
                  <c:v>15723.219439892457</c:v>
                </c:pt>
                <c:pt idx="31">
                  <c:v>15553.086617406272</c:v>
                </c:pt>
                <c:pt idx="32">
                  <c:v>15399.094875942112</c:v>
                </c:pt>
                <c:pt idx="33">
                  <c:v>15260.591854175062</c:v>
                </c:pt>
                <c:pt idx="34">
                  <c:v>15137.021588257558</c:v>
                </c:pt>
                <c:pt idx="35">
                  <c:v>15027.731154283723</c:v>
                </c:pt>
                <c:pt idx="36">
                  <c:v>14932.649145269697</c:v>
                </c:pt>
                <c:pt idx="37">
                  <c:v>14838.585295972836</c:v>
                </c:pt>
                <c:pt idx="38">
                  <c:v>14751.036840211003</c:v>
                </c:pt>
                <c:pt idx="39">
                  <c:v>14670.273752347275</c:v>
                </c:pt>
                <c:pt idx="40">
                  <c:v>14595.670788806132</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21591.681939278445</c:v>
                </c:pt>
                <c:pt idx="11">
                  <c:v>21344.423230156812</c:v>
                </c:pt>
                <c:pt idx="12">
                  <c:v>20873.867768351163</c:v>
                </c:pt>
                <c:pt idx="13">
                  <c:v>20446.066973767302</c:v>
                </c:pt>
                <c:pt idx="14">
                  <c:v>20046.260293764539</c:v>
                </c:pt>
                <c:pt idx="15">
                  <c:v>19672.158343789153</c:v>
                </c:pt>
                <c:pt idx="16">
                  <c:v>19317.266371529284</c:v>
                </c:pt>
                <c:pt idx="17">
                  <c:v>18980.176972998226</c:v>
                </c:pt>
                <c:pt idx="18">
                  <c:v>18660.038373858759</c:v>
                </c:pt>
                <c:pt idx="19">
                  <c:v>18356.441167307454</c:v>
                </c:pt>
                <c:pt idx="20">
                  <c:v>18062.128818090867</c:v>
                </c:pt>
                <c:pt idx="21">
                  <c:v>17682.689449202058</c:v>
                </c:pt>
                <c:pt idx="22">
                  <c:v>17311.572800975977</c:v>
                </c:pt>
                <c:pt idx="23">
                  <c:v>16963.563266744059</c:v>
                </c:pt>
                <c:pt idx="24">
                  <c:v>16635.522404217612</c:v>
                </c:pt>
                <c:pt idx="25">
                  <c:v>16323.999366845359</c:v>
                </c:pt>
                <c:pt idx="26">
                  <c:v>16030.095843781235</c:v>
                </c:pt>
                <c:pt idx="27">
                  <c:v>15772.616872614322</c:v>
                </c:pt>
                <c:pt idx="28">
                  <c:v>15527.667419184327</c:v>
                </c:pt>
                <c:pt idx="29">
                  <c:v>15306.748945704076</c:v>
                </c:pt>
                <c:pt idx="30">
                  <c:v>15108.242294768792</c:v>
                </c:pt>
                <c:pt idx="31">
                  <c:v>14932.198534700789</c:v>
                </c:pt>
                <c:pt idx="32">
                  <c:v>14772.199720528306</c:v>
                </c:pt>
                <c:pt idx="33">
                  <c:v>14627.53108539429</c:v>
                </c:pt>
                <c:pt idx="34">
                  <c:v>14497.55177353452</c:v>
                </c:pt>
                <c:pt idx="35">
                  <c:v>14381.577543986554</c:v>
                </c:pt>
                <c:pt idx="36">
                  <c:v>14279.343075063834</c:v>
                </c:pt>
                <c:pt idx="37">
                  <c:v>14180.853664015125</c:v>
                </c:pt>
                <c:pt idx="38">
                  <c:v>14089.183762006935</c:v>
                </c:pt>
                <c:pt idx="39">
                  <c:v>14004.312722459903</c:v>
                </c:pt>
                <c:pt idx="40">
                  <c:v>13925.692662659267</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0.36096877201846911</c:v>
                </c:pt>
                <c:pt idx="10">
                  <c:v>0.36851163031595591</c:v>
                </c:pt>
                <c:pt idx="11">
                  <c:v>0.38968655185697604</c:v>
                </c:pt>
                <c:pt idx="12">
                  <c:v>0.410454527056197</c:v>
                </c:pt>
                <c:pt idx="13">
                  <c:v>0.43049674501795965</c:v>
                </c:pt>
                <c:pt idx="14">
                  <c:v>0.45071056620718358</c:v>
                </c:pt>
                <c:pt idx="15">
                  <c:v>0.46857615691762733</c:v>
                </c:pt>
                <c:pt idx="16">
                  <c:v>0.48635498666824672</c:v>
                </c:pt>
                <c:pt idx="17">
                  <c:v>0.50482906183889453</c:v>
                </c:pt>
                <c:pt idx="18">
                  <c:v>0.52130033021865774</c:v>
                </c:pt>
                <c:pt idx="19">
                  <c:v>0.53951034440496126</c:v>
                </c:pt>
                <c:pt idx="20">
                  <c:v>0.55602533546003752</c:v>
                </c:pt>
                <c:pt idx="21">
                  <c:v>0.56752882019133377</c:v>
                </c:pt>
                <c:pt idx="22">
                  <c:v>0.57935960403172726</c:v>
                </c:pt>
                <c:pt idx="23">
                  <c:v>0.59341057462291869</c:v>
                </c:pt>
                <c:pt idx="24">
                  <c:v>0.60807557966603765</c:v>
                </c:pt>
                <c:pt idx="25">
                  <c:v>0.61402483557777365</c:v>
                </c:pt>
                <c:pt idx="26">
                  <c:v>0.62063714045256724</c:v>
                </c:pt>
                <c:pt idx="27">
                  <c:v>0.63321228577141619</c:v>
                </c:pt>
                <c:pt idx="28">
                  <c:v>0.64280252599509302</c:v>
                </c:pt>
                <c:pt idx="29">
                  <c:v>0.65257581309251167</c:v>
                </c:pt>
                <c:pt idx="30">
                  <c:v>0.66228028134442274</c:v>
                </c:pt>
                <c:pt idx="31">
                  <c:v>0.67739444637083923</c:v>
                </c:pt>
                <c:pt idx="32">
                  <c:v>0.69223719423566277</c:v>
                </c:pt>
                <c:pt idx="33">
                  <c:v>0.70682636646166752</c:v>
                </c:pt>
                <c:pt idx="34">
                  <c:v>0.72118866756506383</c:v>
                </c:pt>
                <c:pt idx="35">
                  <c:v>0.73531347048126527</c:v>
                </c:pt>
                <c:pt idx="36">
                  <c:v>0.75012126984365712</c:v>
                </c:pt>
                <c:pt idx="37">
                  <c:v>0.76301720030371301</c:v>
                </c:pt>
                <c:pt idx="38">
                  <c:v>0.77386716451883131</c:v>
                </c:pt>
                <c:pt idx="39">
                  <c:v>0.78426655772638909</c:v>
                </c:pt>
                <c:pt idx="40">
                  <c:v>0.79418799553728392</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0.36096877201846911</c:v>
                </c:pt>
                <c:pt idx="10">
                  <c:v>0.36851163031595591</c:v>
                </c:pt>
                <c:pt idx="11">
                  <c:v>0.38968655185697604</c:v>
                </c:pt>
                <c:pt idx="12">
                  <c:v>0.410454527056197</c:v>
                </c:pt>
                <c:pt idx="13">
                  <c:v>0.43049674501795965</c:v>
                </c:pt>
                <c:pt idx="14">
                  <c:v>0.45071056620718358</c:v>
                </c:pt>
                <c:pt idx="15">
                  <c:v>0.46857615691762733</c:v>
                </c:pt>
                <c:pt idx="16">
                  <c:v>0.48635498666824672</c:v>
                </c:pt>
                <c:pt idx="17">
                  <c:v>0.50482906183889453</c:v>
                </c:pt>
                <c:pt idx="18">
                  <c:v>0.52130033021865774</c:v>
                </c:pt>
                <c:pt idx="19">
                  <c:v>0.53951034440496126</c:v>
                </c:pt>
                <c:pt idx="20">
                  <c:v>0.55602533546003752</c:v>
                </c:pt>
                <c:pt idx="21">
                  <c:v>0.56752882019133377</c:v>
                </c:pt>
                <c:pt idx="22">
                  <c:v>0.57935960403172726</c:v>
                </c:pt>
                <c:pt idx="23">
                  <c:v>0.59341057462291869</c:v>
                </c:pt>
                <c:pt idx="24">
                  <c:v>0.60807557966603765</c:v>
                </c:pt>
                <c:pt idx="25">
                  <c:v>0.61402483557777365</c:v>
                </c:pt>
                <c:pt idx="26">
                  <c:v>0.62063714045256724</c:v>
                </c:pt>
                <c:pt idx="27">
                  <c:v>0.63321228577141619</c:v>
                </c:pt>
                <c:pt idx="28">
                  <c:v>0.64280252599509302</c:v>
                </c:pt>
                <c:pt idx="29">
                  <c:v>0.65257581309251167</c:v>
                </c:pt>
                <c:pt idx="30">
                  <c:v>0.66228028134442274</c:v>
                </c:pt>
                <c:pt idx="31">
                  <c:v>0.67739444637083923</c:v>
                </c:pt>
                <c:pt idx="32">
                  <c:v>0.69223719423566277</c:v>
                </c:pt>
                <c:pt idx="33">
                  <c:v>0.70682636646166752</c:v>
                </c:pt>
                <c:pt idx="34">
                  <c:v>0.72118866756506383</c:v>
                </c:pt>
                <c:pt idx="35">
                  <c:v>0.73531347048126527</c:v>
                </c:pt>
                <c:pt idx="36">
                  <c:v>0.75012126984365712</c:v>
                </c:pt>
                <c:pt idx="37">
                  <c:v>0.76301720030371301</c:v>
                </c:pt>
                <c:pt idx="38">
                  <c:v>0.77386716451883131</c:v>
                </c:pt>
                <c:pt idx="39">
                  <c:v>0.78426655772638909</c:v>
                </c:pt>
                <c:pt idx="40">
                  <c:v>0.79418799553728392</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0.37650882002073971</c:v>
                </c:pt>
                <c:pt idx="10">
                  <c:v>0.40188279751177231</c:v>
                </c:pt>
                <c:pt idx="11">
                  <c:v>0.47492724757155907</c:v>
                </c:pt>
                <c:pt idx="12">
                  <c:v>0.51519909812264109</c:v>
                </c:pt>
                <c:pt idx="13">
                  <c:v>0.53940726161435248</c:v>
                </c:pt>
                <c:pt idx="14">
                  <c:v>0.5644027417852433</c:v>
                </c:pt>
                <c:pt idx="15">
                  <c:v>0.60062536111064291</c:v>
                </c:pt>
                <c:pt idx="16">
                  <c:v>0.63365564336219404</c:v>
                </c:pt>
                <c:pt idx="17">
                  <c:v>0.65971565450245506</c:v>
                </c:pt>
                <c:pt idx="18">
                  <c:v>0.68260341092778454</c:v>
                </c:pt>
                <c:pt idx="19">
                  <c:v>0.70668115321330049</c:v>
                </c:pt>
                <c:pt idx="20">
                  <c:v>0.73177237505739356</c:v>
                </c:pt>
                <c:pt idx="21">
                  <c:v>0.74152762371672021</c:v>
                </c:pt>
                <c:pt idx="22">
                  <c:v>0.75061049755970777</c:v>
                </c:pt>
                <c:pt idx="23">
                  <c:v>0.7490668876422879</c:v>
                </c:pt>
                <c:pt idx="24">
                  <c:v>0.74572532563751104</c:v>
                </c:pt>
                <c:pt idx="25">
                  <c:v>0.78193334911277168</c:v>
                </c:pt>
                <c:pt idx="26">
                  <c:v>0.7796815232035218</c:v>
                </c:pt>
                <c:pt idx="27">
                  <c:v>0.7833529961364829</c:v>
                </c:pt>
                <c:pt idx="28">
                  <c:v>0.78258629961262127</c:v>
                </c:pt>
                <c:pt idx="29">
                  <c:v>0.78198504516125933</c:v>
                </c:pt>
                <c:pt idx="30">
                  <c:v>0.78138382052367561</c:v>
                </c:pt>
                <c:pt idx="31">
                  <c:v>0.78279480002766633</c:v>
                </c:pt>
                <c:pt idx="32">
                  <c:v>0.78422823877374948</c:v>
                </c:pt>
                <c:pt idx="33">
                  <c:v>0.78571275513353533</c:v>
                </c:pt>
                <c:pt idx="34">
                  <c:v>0.7872859341581101</c:v>
                </c:pt>
                <c:pt idx="35">
                  <c:v>0.78895791779004321</c:v>
                </c:pt>
                <c:pt idx="36">
                  <c:v>0.79224984532387766</c:v>
                </c:pt>
                <c:pt idx="37">
                  <c:v>0.79423427917286327</c:v>
                </c:pt>
                <c:pt idx="38">
                  <c:v>0.79604325892609074</c:v>
                </c:pt>
                <c:pt idx="39">
                  <c:v>0.797809293759564</c:v>
                </c:pt>
                <c:pt idx="40">
                  <c:v>0.79950116915105129</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0.37650882002073971</c:v>
                </c:pt>
                <c:pt idx="10">
                  <c:v>0.40188279751177231</c:v>
                </c:pt>
                <c:pt idx="11">
                  <c:v>0.47492724757155907</c:v>
                </c:pt>
                <c:pt idx="12">
                  <c:v>0.51519909812264109</c:v>
                </c:pt>
                <c:pt idx="13">
                  <c:v>0.53940726161435248</c:v>
                </c:pt>
                <c:pt idx="14">
                  <c:v>0.5644027417852433</c:v>
                </c:pt>
                <c:pt idx="15">
                  <c:v>0.60062536111064291</c:v>
                </c:pt>
                <c:pt idx="16">
                  <c:v>0.63365564336219404</c:v>
                </c:pt>
                <c:pt idx="17">
                  <c:v>0.65971565450245506</c:v>
                </c:pt>
                <c:pt idx="18">
                  <c:v>0.68260341092778454</c:v>
                </c:pt>
                <c:pt idx="19">
                  <c:v>0.70668115321330049</c:v>
                </c:pt>
                <c:pt idx="20">
                  <c:v>0.73177237505739356</c:v>
                </c:pt>
                <c:pt idx="21">
                  <c:v>0.74152762371672021</c:v>
                </c:pt>
                <c:pt idx="22">
                  <c:v>0.75061049755970777</c:v>
                </c:pt>
                <c:pt idx="23">
                  <c:v>0.7490668876422879</c:v>
                </c:pt>
                <c:pt idx="24">
                  <c:v>0.74572532563751104</c:v>
                </c:pt>
                <c:pt idx="25">
                  <c:v>0.78193334911277168</c:v>
                </c:pt>
                <c:pt idx="26">
                  <c:v>0.7796815232035218</c:v>
                </c:pt>
                <c:pt idx="27">
                  <c:v>0.7833529961364829</c:v>
                </c:pt>
                <c:pt idx="28">
                  <c:v>0.78258629961262127</c:v>
                </c:pt>
                <c:pt idx="29">
                  <c:v>0.78198504516125933</c:v>
                </c:pt>
                <c:pt idx="30">
                  <c:v>0.78138382052367561</c:v>
                </c:pt>
                <c:pt idx="31">
                  <c:v>0.78279480002766633</c:v>
                </c:pt>
                <c:pt idx="32">
                  <c:v>0.78422823877374948</c:v>
                </c:pt>
                <c:pt idx="33">
                  <c:v>0.78571275513353533</c:v>
                </c:pt>
                <c:pt idx="34">
                  <c:v>0.7872859341581101</c:v>
                </c:pt>
                <c:pt idx="35">
                  <c:v>0.78895791779004321</c:v>
                </c:pt>
                <c:pt idx="36">
                  <c:v>0.79224984532387766</c:v>
                </c:pt>
                <c:pt idx="37">
                  <c:v>0.79423427917286327</c:v>
                </c:pt>
                <c:pt idx="38">
                  <c:v>0.79604325892609074</c:v>
                </c:pt>
                <c:pt idx="39">
                  <c:v>0.797809293759564</c:v>
                </c:pt>
                <c:pt idx="40">
                  <c:v>0.79950116915105129</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0.37650882002073971</c:v>
                </c:pt>
                <c:pt idx="10">
                  <c:v>0.40188279751177231</c:v>
                </c:pt>
                <c:pt idx="11">
                  <c:v>0.47492724757155907</c:v>
                </c:pt>
                <c:pt idx="12">
                  <c:v>0.51519909812264109</c:v>
                </c:pt>
                <c:pt idx="13">
                  <c:v>0.53940726161435248</c:v>
                </c:pt>
                <c:pt idx="14">
                  <c:v>0.5644027417852433</c:v>
                </c:pt>
                <c:pt idx="15">
                  <c:v>0.60062536111064291</c:v>
                </c:pt>
                <c:pt idx="16">
                  <c:v>0.63365564336219404</c:v>
                </c:pt>
                <c:pt idx="17">
                  <c:v>0.65971565450245506</c:v>
                </c:pt>
                <c:pt idx="18">
                  <c:v>0.68260341092778454</c:v>
                </c:pt>
                <c:pt idx="19">
                  <c:v>0.70668115321330049</c:v>
                </c:pt>
                <c:pt idx="20">
                  <c:v>0.73177237505739356</c:v>
                </c:pt>
                <c:pt idx="21">
                  <c:v>0.74152762371672021</c:v>
                </c:pt>
                <c:pt idx="22">
                  <c:v>0.75061049755970777</c:v>
                </c:pt>
                <c:pt idx="23">
                  <c:v>0.7490668876422879</c:v>
                </c:pt>
                <c:pt idx="24">
                  <c:v>0.74572532563751104</c:v>
                </c:pt>
                <c:pt idx="25">
                  <c:v>0.78193334911277168</c:v>
                </c:pt>
                <c:pt idx="26">
                  <c:v>0.7796815232035218</c:v>
                </c:pt>
                <c:pt idx="27">
                  <c:v>0.7833529961364829</c:v>
                </c:pt>
                <c:pt idx="28">
                  <c:v>0.78258629961262127</c:v>
                </c:pt>
                <c:pt idx="29">
                  <c:v>0.78198504516125933</c:v>
                </c:pt>
                <c:pt idx="30">
                  <c:v>0.78138382052367561</c:v>
                </c:pt>
                <c:pt idx="31">
                  <c:v>0.78279480002766633</c:v>
                </c:pt>
                <c:pt idx="32">
                  <c:v>0.78422823877374948</c:v>
                </c:pt>
                <c:pt idx="33">
                  <c:v>0.78571275513353533</c:v>
                </c:pt>
                <c:pt idx="34">
                  <c:v>0.7872859341581101</c:v>
                </c:pt>
                <c:pt idx="35">
                  <c:v>0.78895791779004321</c:v>
                </c:pt>
                <c:pt idx="36">
                  <c:v>0.79224984532387766</c:v>
                </c:pt>
                <c:pt idx="37">
                  <c:v>0.79423427917286327</c:v>
                </c:pt>
                <c:pt idx="38">
                  <c:v>0.79604325892609074</c:v>
                </c:pt>
                <c:pt idx="39">
                  <c:v>0.797809293759564</c:v>
                </c:pt>
                <c:pt idx="40">
                  <c:v>0.79950116915105118</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0.37650882002073971</c:v>
                </c:pt>
                <c:pt idx="10">
                  <c:v>0.40188279751177231</c:v>
                </c:pt>
                <c:pt idx="11">
                  <c:v>0.47492724757155907</c:v>
                </c:pt>
                <c:pt idx="12">
                  <c:v>0.51519909812264109</c:v>
                </c:pt>
                <c:pt idx="13">
                  <c:v>0.53940726161435248</c:v>
                </c:pt>
                <c:pt idx="14">
                  <c:v>0.5644027417852433</c:v>
                </c:pt>
                <c:pt idx="15">
                  <c:v>0.60062536111064291</c:v>
                </c:pt>
                <c:pt idx="16">
                  <c:v>0.63365564336219404</c:v>
                </c:pt>
                <c:pt idx="17">
                  <c:v>0.65971565450245506</c:v>
                </c:pt>
                <c:pt idx="18">
                  <c:v>0.68260341092778454</c:v>
                </c:pt>
                <c:pt idx="19">
                  <c:v>0.70668115321330049</c:v>
                </c:pt>
                <c:pt idx="20">
                  <c:v>0.73177237505739356</c:v>
                </c:pt>
                <c:pt idx="21">
                  <c:v>0.74152762371672021</c:v>
                </c:pt>
                <c:pt idx="22">
                  <c:v>0.75061049755970777</c:v>
                </c:pt>
                <c:pt idx="23">
                  <c:v>0.7490668876422879</c:v>
                </c:pt>
                <c:pt idx="24">
                  <c:v>0.74572532563751104</c:v>
                </c:pt>
                <c:pt idx="25">
                  <c:v>0.78193334911277168</c:v>
                </c:pt>
                <c:pt idx="26">
                  <c:v>0.7796815232035218</c:v>
                </c:pt>
                <c:pt idx="27">
                  <c:v>0.7833529961364829</c:v>
                </c:pt>
                <c:pt idx="28">
                  <c:v>0.78258629961262127</c:v>
                </c:pt>
                <c:pt idx="29">
                  <c:v>0.78198504516125933</c:v>
                </c:pt>
                <c:pt idx="30">
                  <c:v>0.78138382052367561</c:v>
                </c:pt>
                <c:pt idx="31">
                  <c:v>0.78279480002766633</c:v>
                </c:pt>
                <c:pt idx="32">
                  <c:v>0.78422823877374948</c:v>
                </c:pt>
                <c:pt idx="33">
                  <c:v>0.78571275513353533</c:v>
                </c:pt>
                <c:pt idx="34">
                  <c:v>0.7872859341581101</c:v>
                </c:pt>
                <c:pt idx="35">
                  <c:v>0.78895791779004321</c:v>
                </c:pt>
                <c:pt idx="36">
                  <c:v>0.79224984532387766</c:v>
                </c:pt>
                <c:pt idx="37">
                  <c:v>0.79423427917286327</c:v>
                </c:pt>
                <c:pt idx="38">
                  <c:v>0.79604325892609074</c:v>
                </c:pt>
                <c:pt idx="39">
                  <c:v>0.797809293759564</c:v>
                </c:pt>
                <c:pt idx="40">
                  <c:v>0.79950116915105118</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21601.88516782827</c:v>
                </c:pt>
                <c:pt idx="11">
                  <c:v>21313.16496661069</c:v>
                </c:pt>
                <c:pt idx="12">
                  <c:v>21016.289002754023</c:v>
                </c:pt>
                <c:pt idx="13">
                  <c:v>20720.889569679872</c:v>
                </c:pt>
                <c:pt idx="14">
                  <c:v>20430.891611731691</c:v>
                </c:pt>
                <c:pt idx="15">
                  <c:v>20148.049975479818</c:v>
                </c:pt>
                <c:pt idx="16">
                  <c:v>19883.213155134894</c:v>
                </c:pt>
                <c:pt idx="17">
                  <c:v>19632.069566961178</c:v>
                </c:pt>
                <c:pt idx="18">
                  <c:v>19326.799922269267</c:v>
                </c:pt>
                <c:pt idx="19">
                  <c:v>19035.917267861983</c:v>
                </c:pt>
                <c:pt idx="20">
                  <c:v>18751.04325071058</c:v>
                </c:pt>
                <c:pt idx="21">
                  <c:v>18483.570845426279</c:v>
                </c:pt>
                <c:pt idx="22">
                  <c:v>18226.33250223818</c:v>
                </c:pt>
                <c:pt idx="23">
                  <c:v>17979.353446632918</c:v>
                </c:pt>
                <c:pt idx="24">
                  <c:v>17734.171340510933</c:v>
                </c:pt>
                <c:pt idx="25">
                  <c:v>17484.583709938099</c:v>
                </c:pt>
                <c:pt idx="26">
                  <c:v>17269.133381435771</c:v>
                </c:pt>
                <c:pt idx="27">
                  <c:v>17091.796118580693</c:v>
                </c:pt>
                <c:pt idx="28">
                  <c:v>16915.677390590063</c:v>
                </c:pt>
                <c:pt idx="29">
                  <c:v>16757.299900749531</c:v>
                </c:pt>
                <c:pt idx="30">
                  <c:v>16615.106020486644</c:v>
                </c:pt>
                <c:pt idx="31">
                  <c:v>16490.132992211285</c:v>
                </c:pt>
                <c:pt idx="32">
                  <c:v>16371.746688797379</c:v>
                </c:pt>
                <c:pt idx="33">
                  <c:v>16259.971138070207</c:v>
                </c:pt>
                <c:pt idx="34">
                  <c:v>16154.887157668478</c:v>
                </c:pt>
                <c:pt idx="35">
                  <c:v>16056.439471355494</c:v>
                </c:pt>
                <c:pt idx="36">
                  <c:v>15965.110487959488</c:v>
                </c:pt>
                <c:pt idx="37">
                  <c:v>15866.767067762532</c:v>
                </c:pt>
                <c:pt idx="38">
                  <c:v>15773.373850810864</c:v>
                </c:pt>
                <c:pt idx="39">
                  <c:v>15685.751925891584</c:v>
                </c:pt>
                <c:pt idx="40">
                  <c:v>15603.568664295413</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21835.614605464347</c:v>
                </c:pt>
                <c:pt idx="11">
                  <c:v>21741.695216224529</c:v>
                </c:pt>
                <c:pt idx="12">
                  <c:v>21416.766633199666</c:v>
                </c:pt>
                <c:pt idx="13">
                  <c:v>20992.108029454132</c:v>
                </c:pt>
                <c:pt idx="14">
                  <c:v>20595.669284751966</c:v>
                </c:pt>
                <c:pt idx="15">
                  <c:v>20224.746031888633</c:v>
                </c:pt>
                <c:pt idx="16">
                  <c:v>19872.603739512804</c:v>
                </c:pt>
                <c:pt idx="17">
                  <c:v>19538.237642662254</c:v>
                </c:pt>
                <c:pt idx="18">
                  <c:v>19220.87774498653</c:v>
                </c:pt>
                <c:pt idx="19">
                  <c:v>18920.988139337212</c:v>
                </c:pt>
                <c:pt idx="20">
                  <c:v>18629.997898380952</c:v>
                </c:pt>
                <c:pt idx="21">
                  <c:v>18254.50015886853</c:v>
                </c:pt>
                <c:pt idx="22">
                  <c:v>17887.515755052566</c:v>
                </c:pt>
                <c:pt idx="23">
                  <c:v>17544.384103430686</c:v>
                </c:pt>
                <c:pt idx="24">
                  <c:v>17221.673118315401</c:v>
                </c:pt>
                <c:pt idx="25">
                  <c:v>16914.391477862562</c:v>
                </c:pt>
                <c:pt idx="26">
                  <c:v>16624.737900805001</c:v>
                </c:pt>
                <c:pt idx="27">
                  <c:v>16372.246161096535</c:v>
                </c:pt>
                <c:pt idx="28">
                  <c:v>16132.168090180669</c:v>
                </c:pt>
                <c:pt idx="29">
                  <c:v>15916.477700756313</c:v>
                </c:pt>
                <c:pt idx="30">
                  <c:v>15723.219439892457</c:v>
                </c:pt>
                <c:pt idx="31">
                  <c:v>15553.086617406272</c:v>
                </c:pt>
                <c:pt idx="32">
                  <c:v>15399.094875942112</c:v>
                </c:pt>
                <c:pt idx="33">
                  <c:v>15260.591854175062</c:v>
                </c:pt>
                <c:pt idx="34">
                  <c:v>15137.021588257558</c:v>
                </c:pt>
                <c:pt idx="35">
                  <c:v>15027.731154283723</c:v>
                </c:pt>
                <c:pt idx="36">
                  <c:v>14932.649145269697</c:v>
                </c:pt>
                <c:pt idx="37">
                  <c:v>14838.585295972836</c:v>
                </c:pt>
                <c:pt idx="38">
                  <c:v>14751.036840211003</c:v>
                </c:pt>
                <c:pt idx="39">
                  <c:v>14670.273752347275</c:v>
                </c:pt>
                <c:pt idx="40">
                  <c:v>14595.670788806132</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21591.681939278445</c:v>
                </c:pt>
                <c:pt idx="11">
                  <c:v>21344.423230156812</c:v>
                </c:pt>
                <c:pt idx="12">
                  <c:v>20873.867768351163</c:v>
                </c:pt>
                <c:pt idx="13">
                  <c:v>20446.066973767302</c:v>
                </c:pt>
                <c:pt idx="14">
                  <c:v>20046.260293764539</c:v>
                </c:pt>
                <c:pt idx="15">
                  <c:v>19672.158343789153</c:v>
                </c:pt>
                <c:pt idx="16">
                  <c:v>19317.266371529284</c:v>
                </c:pt>
                <c:pt idx="17">
                  <c:v>18980.176972998226</c:v>
                </c:pt>
                <c:pt idx="18">
                  <c:v>18660.038373858759</c:v>
                </c:pt>
                <c:pt idx="19">
                  <c:v>18356.441167307454</c:v>
                </c:pt>
                <c:pt idx="20">
                  <c:v>18062.128818090867</c:v>
                </c:pt>
                <c:pt idx="21">
                  <c:v>17682.689449202058</c:v>
                </c:pt>
                <c:pt idx="22">
                  <c:v>17311.572800975977</c:v>
                </c:pt>
                <c:pt idx="23">
                  <c:v>16963.563266744059</c:v>
                </c:pt>
                <c:pt idx="24">
                  <c:v>16635.522404217612</c:v>
                </c:pt>
                <c:pt idx="25">
                  <c:v>16323.999366845359</c:v>
                </c:pt>
                <c:pt idx="26">
                  <c:v>16030.095843781235</c:v>
                </c:pt>
                <c:pt idx="27">
                  <c:v>15772.616872614322</c:v>
                </c:pt>
                <c:pt idx="28">
                  <c:v>15527.667419184327</c:v>
                </c:pt>
                <c:pt idx="29">
                  <c:v>15306.748945704076</c:v>
                </c:pt>
                <c:pt idx="30">
                  <c:v>15108.242294768792</c:v>
                </c:pt>
                <c:pt idx="31">
                  <c:v>14932.198534700789</c:v>
                </c:pt>
                <c:pt idx="32">
                  <c:v>14772.199720528306</c:v>
                </c:pt>
                <c:pt idx="33">
                  <c:v>14627.53108539429</c:v>
                </c:pt>
                <c:pt idx="34">
                  <c:v>14497.55177353452</c:v>
                </c:pt>
                <c:pt idx="35">
                  <c:v>14381.577543986554</c:v>
                </c:pt>
                <c:pt idx="36">
                  <c:v>14279.343075063834</c:v>
                </c:pt>
                <c:pt idx="37">
                  <c:v>14180.853664015125</c:v>
                </c:pt>
                <c:pt idx="38">
                  <c:v>14089.183762006935</c:v>
                </c:pt>
                <c:pt idx="39">
                  <c:v>14004.312722459903</c:v>
                </c:pt>
                <c:pt idx="40">
                  <c:v>13925.692662659267</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21925.781712542605</c:v>
                </c:pt>
                <c:pt idx="10">
                  <c:v>21601.88516782827</c:v>
                </c:pt>
                <c:pt idx="11">
                  <c:v>21313.16496661069</c:v>
                </c:pt>
                <c:pt idx="12">
                  <c:v>21016.289002754023</c:v>
                </c:pt>
                <c:pt idx="13">
                  <c:v>20720.889569679872</c:v>
                </c:pt>
                <c:pt idx="14">
                  <c:v>20430.891611731691</c:v>
                </c:pt>
                <c:pt idx="15">
                  <c:v>20148.049975479818</c:v>
                </c:pt>
                <c:pt idx="16">
                  <c:v>19883.213155134894</c:v>
                </c:pt>
                <c:pt idx="17">
                  <c:v>19632.069566961178</c:v>
                </c:pt>
                <c:pt idx="18">
                  <c:v>19326.799922269267</c:v>
                </c:pt>
                <c:pt idx="19">
                  <c:v>19035.917267861983</c:v>
                </c:pt>
                <c:pt idx="20">
                  <c:v>18751.04325071058</c:v>
                </c:pt>
                <c:pt idx="21">
                  <c:v>18483.570845426279</c:v>
                </c:pt>
                <c:pt idx="22">
                  <c:v>18226.33250223818</c:v>
                </c:pt>
                <c:pt idx="23">
                  <c:v>17979.353446632918</c:v>
                </c:pt>
                <c:pt idx="24">
                  <c:v>17734.171340510933</c:v>
                </c:pt>
                <c:pt idx="25">
                  <c:v>17484.583709938099</c:v>
                </c:pt>
                <c:pt idx="26">
                  <c:v>17269.133381435771</c:v>
                </c:pt>
                <c:pt idx="27">
                  <c:v>17091.796118580693</c:v>
                </c:pt>
                <c:pt idx="28">
                  <c:v>16915.677390590063</c:v>
                </c:pt>
                <c:pt idx="29">
                  <c:v>16757.299900749531</c:v>
                </c:pt>
                <c:pt idx="30">
                  <c:v>16615.106020486644</c:v>
                </c:pt>
                <c:pt idx="31">
                  <c:v>16490.132992211285</c:v>
                </c:pt>
                <c:pt idx="32">
                  <c:v>16371.746688797379</c:v>
                </c:pt>
                <c:pt idx="33">
                  <c:v>16259.971138070207</c:v>
                </c:pt>
                <c:pt idx="34">
                  <c:v>16154.887157668478</c:v>
                </c:pt>
                <c:pt idx="35">
                  <c:v>16056.439471355494</c:v>
                </c:pt>
                <c:pt idx="36">
                  <c:v>15965.110487959488</c:v>
                </c:pt>
                <c:pt idx="37">
                  <c:v>15866.767067762532</c:v>
                </c:pt>
                <c:pt idx="38">
                  <c:v>15773.373850810864</c:v>
                </c:pt>
                <c:pt idx="39">
                  <c:v>15685.751925891584</c:v>
                </c:pt>
                <c:pt idx="40">
                  <c:v>15603.568664295413</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22034.957948736708</c:v>
                </c:pt>
                <c:pt idx="10">
                  <c:v>21835.614605464347</c:v>
                </c:pt>
                <c:pt idx="11">
                  <c:v>21741.695216224529</c:v>
                </c:pt>
                <c:pt idx="12">
                  <c:v>21416.766633199666</c:v>
                </c:pt>
                <c:pt idx="13">
                  <c:v>20992.108029454132</c:v>
                </c:pt>
                <c:pt idx="14">
                  <c:v>20595.669284751966</c:v>
                </c:pt>
                <c:pt idx="15">
                  <c:v>20224.746031888633</c:v>
                </c:pt>
                <c:pt idx="16">
                  <c:v>19872.603739512804</c:v>
                </c:pt>
                <c:pt idx="17">
                  <c:v>19538.237642662254</c:v>
                </c:pt>
                <c:pt idx="18">
                  <c:v>19220.87774498653</c:v>
                </c:pt>
                <c:pt idx="19">
                  <c:v>18920.988139337212</c:v>
                </c:pt>
                <c:pt idx="20">
                  <c:v>18629.997898380952</c:v>
                </c:pt>
                <c:pt idx="21">
                  <c:v>18254.50015886853</c:v>
                </c:pt>
                <c:pt idx="22">
                  <c:v>17887.515755052566</c:v>
                </c:pt>
                <c:pt idx="23">
                  <c:v>17544.384103430686</c:v>
                </c:pt>
                <c:pt idx="24">
                  <c:v>17221.673118315401</c:v>
                </c:pt>
                <c:pt idx="25">
                  <c:v>16914.391477862562</c:v>
                </c:pt>
                <c:pt idx="26">
                  <c:v>16624.737900805001</c:v>
                </c:pt>
                <c:pt idx="27">
                  <c:v>16372.246161096535</c:v>
                </c:pt>
                <c:pt idx="28">
                  <c:v>16132.168090180669</c:v>
                </c:pt>
                <c:pt idx="29">
                  <c:v>15916.477700756313</c:v>
                </c:pt>
                <c:pt idx="30">
                  <c:v>15723.219439892457</c:v>
                </c:pt>
                <c:pt idx="31">
                  <c:v>15553.086617406272</c:v>
                </c:pt>
                <c:pt idx="32">
                  <c:v>15399.094875942112</c:v>
                </c:pt>
                <c:pt idx="33">
                  <c:v>15260.591854175062</c:v>
                </c:pt>
                <c:pt idx="34">
                  <c:v>15137.021588257558</c:v>
                </c:pt>
                <c:pt idx="35">
                  <c:v>15027.731154283723</c:v>
                </c:pt>
                <c:pt idx="36">
                  <c:v>14932.649145269697</c:v>
                </c:pt>
                <c:pt idx="37">
                  <c:v>14838.585295972836</c:v>
                </c:pt>
                <c:pt idx="38">
                  <c:v>14751.036840211003</c:v>
                </c:pt>
                <c:pt idx="39">
                  <c:v>14670.273752347275</c:v>
                </c:pt>
                <c:pt idx="40">
                  <c:v>14595.670788806132</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21886.038015074424</c:v>
                </c:pt>
                <c:pt idx="10">
                  <c:v>21591.681939278445</c:v>
                </c:pt>
                <c:pt idx="11">
                  <c:v>21344.423230156812</c:v>
                </c:pt>
                <c:pt idx="12">
                  <c:v>20873.867768351163</c:v>
                </c:pt>
                <c:pt idx="13">
                  <c:v>20446.066973767302</c:v>
                </c:pt>
                <c:pt idx="14">
                  <c:v>20046.260293764539</c:v>
                </c:pt>
                <c:pt idx="15">
                  <c:v>19672.158343789153</c:v>
                </c:pt>
                <c:pt idx="16">
                  <c:v>19317.266371529284</c:v>
                </c:pt>
                <c:pt idx="17">
                  <c:v>18980.176972998226</c:v>
                </c:pt>
                <c:pt idx="18">
                  <c:v>18660.038373858759</c:v>
                </c:pt>
                <c:pt idx="19">
                  <c:v>18356.441167307454</c:v>
                </c:pt>
                <c:pt idx="20">
                  <c:v>18062.128818090867</c:v>
                </c:pt>
                <c:pt idx="21">
                  <c:v>17682.689449202058</c:v>
                </c:pt>
                <c:pt idx="22">
                  <c:v>17311.572800975977</c:v>
                </c:pt>
                <c:pt idx="23">
                  <c:v>16963.563266744059</c:v>
                </c:pt>
                <c:pt idx="24">
                  <c:v>16635.522404217612</c:v>
                </c:pt>
                <c:pt idx="25">
                  <c:v>16323.999366845359</c:v>
                </c:pt>
                <c:pt idx="26">
                  <c:v>16030.095843781235</c:v>
                </c:pt>
                <c:pt idx="27">
                  <c:v>15772.616872614322</c:v>
                </c:pt>
                <c:pt idx="28">
                  <c:v>15527.667419184327</c:v>
                </c:pt>
                <c:pt idx="29">
                  <c:v>15306.748945704076</c:v>
                </c:pt>
                <c:pt idx="30">
                  <c:v>15108.242294768792</c:v>
                </c:pt>
                <c:pt idx="31">
                  <c:v>14932.198534700789</c:v>
                </c:pt>
                <c:pt idx="32">
                  <c:v>14772.199720528306</c:v>
                </c:pt>
                <c:pt idx="33">
                  <c:v>14627.53108539429</c:v>
                </c:pt>
                <c:pt idx="34">
                  <c:v>14497.55177353452</c:v>
                </c:pt>
                <c:pt idx="35">
                  <c:v>14381.577543986554</c:v>
                </c:pt>
                <c:pt idx="36">
                  <c:v>14279.343075063834</c:v>
                </c:pt>
                <c:pt idx="37">
                  <c:v>14180.853664015125</c:v>
                </c:pt>
                <c:pt idx="38">
                  <c:v>14089.183762006935</c:v>
                </c:pt>
                <c:pt idx="39">
                  <c:v>14004.312722459903</c:v>
                </c:pt>
                <c:pt idx="40">
                  <c:v>13925.692662659267</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53.464172913892831</c:v>
                </c:pt>
                <c:pt idx="10" formatCode="_(* #,##0_);_(* \(#,##0\);_(* &quot;-&quot;_);_(@_)">
                  <c:v>51.247282188414559</c:v>
                </c:pt>
                <c:pt idx="11" formatCode="_(* #,##0_);_(* \(#,##0\);_(* &quot;-&quot;_);_(@_)">
                  <c:v>50.719928257477683</c:v>
                </c:pt>
                <c:pt idx="12" formatCode="_(* #,##0_);_(* \(#,##0\);_(* &quot;-&quot;_);_(@_)">
                  <c:v>50.359792847133136</c:v>
                </c:pt>
                <c:pt idx="13" formatCode="_(* #,##0_);_(* \(#,##0\);_(* &quot;-&quot;_);_(@_)">
                  <c:v>48.748213106871191</c:v>
                </c:pt>
                <c:pt idx="14" formatCode="_(* #,##0_);_(* \(#,##0\);_(* &quot;-&quot;_);_(@_)">
                  <c:v>46.900203343432629</c:v>
                </c:pt>
                <c:pt idx="15" formatCode="_(* #,##0_);_(* \(#,##0\);_(* &quot;-&quot;_);_(@_)">
                  <c:v>41.859241005426526</c:v>
                </c:pt>
                <c:pt idx="16" formatCode="_(* #,##0_);_(* \(#,##0\);_(* &quot;-&quot;_);_(@_)">
                  <c:v>37.757514205797321</c:v>
                </c:pt>
                <c:pt idx="17" formatCode="_(* #,##0_);_(* \(#,##0\);_(* &quot;-&quot;_);_(@_)">
                  <c:v>35.019614880897869</c:v>
                </c:pt>
                <c:pt idx="18" formatCode="_(* #,##0_);_(* \(#,##0\);_(* &quot;-&quot;_);_(@_)">
                  <c:v>32.897025730580332</c:v>
                </c:pt>
                <c:pt idx="19" formatCode="_(* #,##0_);_(* \(#,##0\);_(* &quot;-&quot;_);_(@_)">
                  <c:v>31.986451408819647</c:v>
                </c:pt>
                <c:pt idx="20" formatCode="_(* #,##0_);_(* \(#,##0\);_(* &quot;-&quot;_);_(@_)">
                  <c:v>29.783743542171866</c:v>
                </c:pt>
                <c:pt idx="21" formatCode="_(* #,##0_);_(* \(#,##0\);_(* &quot;-&quot;_);_(@_)">
                  <c:v>28.782558928955986</c:v>
                </c:pt>
                <c:pt idx="22" formatCode="_(* #,##0_);_(* \(#,##0\);_(* &quot;-&quot;_);_(@_)">
                  <c:v>27.987384812012181</c:v>
                </c:pt>
                <c:pt idx="23" formatCode="_(* #,##0_);_(* \(#,##0\);_(* &quot;-&quot;_);_(@_)">
                  <c:v>28.989172151095854</c:v>
                </c:pt>
                <c:pt idx="24" formatCode="_(* #,##0_);_(* \(#,##0\);_(* &quot;-&quot;_);_(@_)">
                  <c:v>30.478258098855207</c:v>
                </c:pt>
                <c:pt idx="25" formatCode="_(* #,##0_);_(* \(#,##0\);_(* &quot;-&quot;_);_(@_)">
                  <c:v>23.293526984521989</c:v>
                </c:pt>
                <c:pt idx="26" formatCode="_(* #,##0_);_(* \(#,##0\);_(* &quot;-&quot;_);_(@_)">
                  <c:v>16.814169506355952</c:v>
                </c:pt>
                <c:pt idx="27" formatCode="_(* #,##0_);_(* \(#,##0\);_(* &quot;-&quot;_);_(@_)">
                  <c:v>17.54232249040458</c:v>
                </c:pt>
                <c:pt idx="28" formatCode="_(* #,##0_);_(* \(#,##0\);_(* &quot;-&quot;_);_(@_)">
                  <c:v>14.615640739395873</c:v>
                </c:pt>
                <c:pt idx="29" formatCode="_(* #,##0_);_(* \(#,##0\);_(* &quot;-&quot;_);_(@_)">
                  <c:v>11.688958988387169</c:v>
                </c:pt>
                <c:pt idx="30" formatCode="_(* #,##0_);_(* \(#,##0\);_(* &quot;-&quot;_);_(@_)">
                  <c:v>8.7622772373784628</c:v>
                </c:pt>
                <c:pt idx="31" formatCode="_(* #,##0_);_(* \(#,##0\);_(* &quot;-&quot;_);_(@_)">
                  <c:v>7.2493975356904441</c:v>
                </c:pt>
                <c:pt idx="32" formatCode="_(* #,##0_);_(* \(#,##0\);_(* &quot;-&quot;_);_(@_)">
                  <c:v>5.7365178340024281</c:v>
                </c:pt>
                <c:pt idx="33" formatCode="_(* #,##0_);_(* \(#,##0\);_(* &quot;-&quot;_);_(@_)">
                  <c:v>4.2236381323144112</c:v>
                </c:pt>
                <c:pt idx="34" formatCode="_(* #,##0_);_(* \(#,##0\);_(* &quot;-&quot;_);_(@_)">
                  <c:v>2.7107584306263939</c:v>
                </c:pt>
                <c:pt idx="35" formatCode="_(* #,##0_);_(* \(#,##0\);_(* &quot;-&quot;_);_(@_)">
                  <c:v>1.1978787289383768</c:v>
                </c:pt>
                <c:pt idx="36" formatCode="_(* #,##0_);_(* \(#,##0\);_(* &quot;-&quot;_);_(@_)">
                  <c:v>1.0007674916723419</c:v>
                </c:pt>
                <c:pt idx="37" formatCode="_(* #,##0_);_(* \(#,##0\);_(* &quot;-&quot;_);_(@_)">
                  <c:v>0.80365625440630728</c:v>
                </c:pt>
                <c:pt idx="38" formatCode="_(* #,##0_);_(* \(#,##0\);_(* &quot;-&quot;_);_(@_)">
                  <c:v>0.60654501714027242</c:v>
                </c:pt>
                <c:pt idx="39" formatCode="_(* #,##0_);_(* \(#,##0\);_(* &quot;-&quot;_);_(@_)">
                  <c:v>0.40943377987423757</c:v>
                </c:pt>
                <c:pt idx="40" formatCode="_(* #,##0_);_(* \(#,##0\);_(* &quot;-&quot;_);_(@_)">
                  <c:v>0.2123225426082028</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53.464172913892831</c:v>
                </c:pt>
                <c:pt idx="10" formatCode="_(* #,##0_);_(* \(#,##0\);_(* &quot;-&quot;_);_(@_)">
                  <c:v>51.247282188414559</c:v>
                </c:pt>
                <c:pt idx="11" formatCode="_(* #,##0_);_(* \(#,##0\);_(* &quot;-&quot;_);_(@_)">
                  <c:v>50.719928257477683</c:v>
                </c:pt>
                <c:pt idx="12" formatCode="_(* #,##0_);_(* \(#,##0\);_(* &quot;-&quot;_);_(@_)">
                  <c:v>50.359792847133136</c:v>
                </c:pt>
                <c:pt idx="13" formatCode="_(* #,##0_);_(* \(#,##0\);_(* &quot;-&quot;_);_(@_)">
                  <c:v>48.748213106871191</c:v>
                </c:pt>
                <c:pt idx="14" formatCode="_(* #,##0_);_(* \(#,##0\);_(* &quot;-&quot;_);_(@_)">
                  <c:v>46.900203343432629</c:v>
                </c:pt>
                <c:pt idx="15" formatCode="_(* #,##0_);_(* \(#,##0\);_(* &quot;-&quot;_);_(@_)">
                  <c:v>41.859241005426526</c:v>
                </c:pt>
                <c:pt idx="16" formatCode="_(* #,##0_);_(* \(#,##0\);_(* &quot;-&quot;_);_(@_)">
                  <c:v>37.757514205797321</c:v>
                </c:pt>
                <c:pt idx="17" formatCode="_(* #,##0_);_(* \(#,##0\);_(* &quot;-&quot;_);_(@_)">
                  <c:v>35.019614880897869</c:v>
                </c:pt>
                <c:pt idx="18" formatCode="_(* #,##0_);_(* \(#,##0\);_(* &quot;-&quot;_);_(@_)">
                  <c:v>32.897025730580332</c:v>
                </c:pt>
                <c:pt idx="19" formatCode="_(* #,##0_);_(* \(#,##0\);_(* &quot;-&quot;_);_(@_)">
                  <c:v>31.986451408819647</c:v>
                </c:pt>
                <c:pt idx="20" formatCode="_(* #,##0_);_(* \(#,##0\);_(* &quot;-&quot;_);_(@_)">
                  <c:v>29.783743542171866</c:v>
                </c:pt>
                <c:pt idx="21" formatCode="_(* #,##0_);_(* \(#,##0\);_(* &quot;-&quot;_);_(@_)">
                  <c:v>28.782558928955986</c:v>
                </c:pt>
                <c:pt idx="22" formatCode="_(* #,##0_);_(* \(#,##0\);_(* &quot;-&quot;_);_(@_)">
                  <c:v>27.987384812012181</c:v>
                </c:pt>
                <c:pt idx="23" formatCode="_(* #,##0_);_(* \(#,##0\);_(* &quot;-&quot;_);_(@_)">
                  <c:v>28.989172151095854</c:v>
                </c:pt>
                <c:pt idx="24" formatCode="_(* #,##0_);_(* \(#,##0\);_(* &quot;-&quot;_);_(@_)">
                  <c:v>30.478258098855207</c:v>
                </c:pt>
                <c:pt idx="25" formatCode="_(* #,##0_);_(* \(#,##0\);_(* &quot;-&quot;_);_(@_)">
                  <c:v>23.293526984521989</c:v>
                </c:pt>
                <c:pt idx="26" formatCode="_(* #,##0_);_(* \(#,##0\);_(* &quot;-&quot;_);_(@_)">
                  <c:v>16.814169506355952</c:v>
                </c:pt>
                <c:pt idx="27" formatCode="_(* #,##0_);_(* \(#,##0\);_(* &quot;-&quot;_);_(@_)">
                  <c:v>17.54232249040458</c:v>
                </c:pt>
                <c:pt idx="28" formatCode="_(* #,##0_);_(* \(#,##0\);_(* &quot;-&quot;_);_(@_)">
                  <c:v>14.615640739395873</c:v>
                </c:pt>
                <c:pt idx="29" formatCode="_(* #,##0_);_(* \(#,##0\);_(* &quot;-&quot;_);_(@_)">
                  <c:v>11.688958988387169</c:v>
                </c:pt>
                <c:pt idx="30" formatCode="_(* #,##0_);_(* \(#,##0\);_(* &quot;-&quot;_);_(@_)">
                  <c:v>8.7622772373784628</c:v>
                </c:pt>
                <c:pt idx="31" formatCode="_(* #,##0_);_(* \(#,##0\);_(* &quot;-&quot;_);_(@_)">
                  <c:v>7.2493975356904441</c:v>
                </c:pt>
                <c:pt idx="32" formatCode="_(* #,##0_);_(* \(#,##0\);_(* &quot;-&quot;_);_(@_)">
                  <c:v>5.7365178340024281</c:v>
                </c:pt>
                <c:pt idx="33" formatCode="_(* #,##0_);_(* \(#,##0\);_(* &quot;-&quot;_);_(@_)">
                  <c:v>4.2236381323144112</c:v>
                </c:pt>
                <c:pt idx="34" formatCode="_(* #,##0_);_(* \(#,##0\);_(* &quot;-&quot;_);_(@_)">
                  <c:v>2.7107584306263939</c:v>
                </c:pt>
                <c:pt idx="35" formatCode="_(* #,##0_);_(* \(#,##0\);_(* &quot;-&quot;_);_(@_)">
                  <c:v>1.1978787289383768</c:v>
                </c:pt>
                <c:pt idx="36" formatCode="_(* #,##0_);_(* \(#,##0\);_(* &quot;-&quot;_);_(@_)">
                  <c:v>1.0007674916723419</c:v>
                </c:pt>
                <c:pt idx="37" formatCode="_(* #,##0_);_(* \(#,##0\);_(* &quot;-&quot;_);_(@_)">
                  <c:v>0.80365625440630728</c:v>
                </c:pt>
                <c:pt idx="38" formatCode="_(* #,##0_);_(* \(#,##0\);_(* &quot;-&quot;_);_(@_)">
                  <c:v>0.60654501714027242</c:v>
                </c:pt>
                <c:pt idx="39" formatCode="_(* #,##0_);_(* \(#,##0\);_(* &quot;-&quot;_);_(@_)">
                  <c:v>0.40943377987423757</c:v>
                </c:pt>
                <c:pt idx="40" formatCode="_(* #,##0_);_(* \(#,##0\);_(* &quot;-&quot;_);_(@_)">
                  <c:v>0.2123225426082028</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53.464172913892831</c:v>
                </c:pt>
                <c:pt idx="10" formatCode="_(* #,##0_);_(* \(#,##0\);_(* &quot;-&quot;_);_(@_)">
                  <c:v>51.247282188414559</c:v>
                </c:pt>
                <c:pt idx="11" formatCode="_(* #,##0_);_(* \(#,##0\);_(* &quot;-&quot;_);_(@_)">
                  <c:v>50.719928257477683</c:v>
                </c:pt>
                <c:pt idx="12" formatCode="_(* #,##0_);_(* \(#,##0\);_(* &quot;-&quot;_);_(@_)">
                  <c:v>50.359792847133136</c:v>
                </c:pt>
                <c:pt idx="13" formatCode="_(* #,##0_);_(* \(#,##0\);_(* &quot;-&quot;_);_(@_)">
                  <c:v>48.748213106871191</c:v>
                </c:pt>
                <c:pt idx="14" formatCode="_(* #,##0_);_(* \(#,##0\);_(* &quot;-&quot;_);_(@_)">
                  <c:v>46.900203343432629</c:v>
                </c:pt>
                <c:pt idx="15" formatCode="_(* #,##0_);_(* \(#,##0\);_(* &quot;-&quot;_);_(@_)">
                  <c:v>41.859241005426526</c:v>
                </c:pt>
                <c:pt idx="16" formatCode="_(* #,##0_);_(* \(#,##0\);_(* &quot;-&quot;_);_(@_)">
                  <c:v>37.757514205797321</c:v>
                </c:pt>
                <c:pt idx="17" formatCode="_(* #,##0_);_(* \(#,##0\);_(* &quot;-&quot;_);_(@_)">
                  <c:v>35.019614880897869</c:v>
                </c:pt>
                <c:pt idx="18" formatCode="_(* #,##0_);_(* \(#,##0\);_(* &quot;-&quot;_);_(@_)">
                  <c:v>32.897025730580332</c:v>
                </c:pt>
                <c:pt idx="19" formatCode="_(* #,##0_);_(* \(#,##0\);_(* &quot;-&quot;_);_(@_)">
                  <c:v>31.986451408819647</c:v>
                </c:pt>
                <c:pt idx="20" formatCode="_(* #,##0_);_(* \(#,##0\);_(* &quot;-&quot;_);_(@_)">
                  <c:v>29.783743542171866</c:v>
                </c:pt>
                <c:pt idx="21" formatCode="_(* #,##0_);_(* \(#,##0\);_(* &quot;-&quot;_);_(@_)">
                  <c:v>28.782558928955986</c:v>
                </c:pt>
                <c:pt idx="22" formatCode="_(* #,##0_);_(* \(#,##0\);_(* &quot;-&quot;_);_(@_)">
                  <c:v>27.987384812012181</c:v>
                </c:pt>
                <c:pt idx="23" formatCode="_(* #,##0_);_(* \(#,##0\);_(* &quot;-&quot;_);_(@_)">
                  <c:v>28.989172151095854</c:v>
                </c:pt>
                <c:pt idx="24" formatCode="_(* #,##0_);_(* \(#,##0\);_(* &quot;-&quot;_);_(@_)">
                  <c:v>30.478258098855207</c:v>
                </c:pt>
                <c:pt idx="25" formatCode="_(* #,##0_);_(* \(#,##0\);_(* &quot;-&quot;_);_(@_)">
                  <c:v>23.293526984521989</c:v>
                </c:pt>
                <c:pt idx="26" formatCode="_(* #,##0_);_(* \(#,##0\);_(* &quot;-&quot;_);_(@_)">
                  <c:v>16.814169506355952</c:v>
                </c:pt>
                <c:pt idx="27" formatCode="_(* #,##0_);_(* \(#,##0\);_(* &quot;-&quot;_);_(@_)">
                  <c:v>17.54232249040458</c:v>
                </c:pt>
                <c:pt idx="28" formatCode="_(* #,##0_);_(* \(#,##0\);_(* &quot;-&quot;_);_(@_)">
                  <c:v>14.615640739395873</c:v>
                </c:pt>
                <c:pt idx="29" formatCode="_(* #,##0_);_(* \(#,##0\);_(* &quot;-&quot;_);_(@_)">
                  <c:v>11.688958988387169</c:v>
                </c:pt>
                <c:pt idx="30" formatCode="_(* #,##0_);_(* \(#,##0\);_(* &quot;-&quot;_);_(@_)">
                  <c:v>8.7622772373784628</c:v>
                </c:pt>
                <c:pt idx="31" formatCode="_(* #,##0_);_(* \(#,##0\);_(* &quot;-&quot;_);_(@_)">
                  <c:v>7.2493975356904441</c:v>
                </c:pt>
                <c:pt idx="32" formatCode="_(* #,##0_);_(* \(#,##0\);_(* &quot;-&quot;_);_(@_)">
                  <c:v>5.7365178340024281</c:v>
                </c:pt>
                <c:pt idx="33" formatCode="_(* #,##0_);_(* \(#,##0\);_(* &quot;-&quot;_);_(@_)">
                  <c:v>4.2236381323144112</c:v>
                </c:pt>
                <c:pt idx="34" formatCode="_(* #,##0_);_(* \(#,##0\);_(* &quot;-&quot;_);_(@_)">
                  <c:v>2.7107584306263939</c:v>
                </c:pt>
                <c:pt idx="35" formatCode="_(* #,##0_);_(* \(#,##0\);_(* &quot;-&quot;_);_(@_)">
                  <c:v>1.1978787289383768</c:v>
                </c:pt>
                <c:pt idx="36" formatCode="_(* #,##0_);_(* \(#,##0\);_(* &quot;-&quot;_);_(@_)">
                  <c:v>1.0007674916723419</c:v>
                </c:pt>
                <c:pt idx="37" formatCode="_(* #,##0_);_(* \(#,##0\);_(* &quot;-&quot;_);_(@_)">
                  <c:v>0.80365625440630728</c:v>
                </c:pt>
                <c:pt idx="38" formatCode="_(* #,##0_);_(* \(#,##0\);_(* &quot;-&quot;_);_(@_)">
                  <c:v>0.60654501714027242</c:v>
                </c:pt>
                <c:pt idx="39" formatCode="_(* #,##0_);_(* \(#,##0\);_(* &quot;-&quot;_);_(@_)">
                  <c:v>0.40943377987423757</c:v>
                </c:pt>
                <c:pt idx="40" formatCode="_(* #,##0_);_(* \(#,##0\);_(* &quot;-&quot;_);_(@_)">
                  <c:v>0.2123225426082028</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53.464172913892831</c:v>
                </c:pt>
                <c:pt idx="10" formatCode="_(* #,##0_);_(* \(#,##0\);_(* &quot;-&quot;_);_(@_)">
                  <c:v>51.247282188414559</c:v>
                </c:pt>
                <c:pt idx="11" formatCode="_(* #,##0_);_(* \(#,##0\);_(* &quot;-&quot;_);_(@_)">
                  <c:v>50.719928257477683</c:v>
                </c:pt>
                <c:pt idx="12" formatCode="_(* #,##0_);_(* \(#,##0\);_(* &quot;-&quot;_);_(@_)">
                  <c:v>50.359792847133136</c:v>
                </c:pt>
                <c:pt idx="13" formatCode="_(* #,##0_);_(* \(#,##0\);_(* &quot;-&quot;_);_(@_)">
                  <c:v>48.748213106871191</c:v>
                </c:pt>
                <c:pt idx="14" formatCode="_(* #,##0_);_(* \(#,##0\);_(* &quot;-&quot;_);_(@_)">
                  <c:v>46.900203343432629</c:v>
                </c:pt>
                <c:pt idx="15" formatCode="_(* #,##0_);_(* \(#,##0\);_(* &quot;-&quot;_);_(@_)">
                  <c:v>41.859241005426526</c:v>
                </c:pt>
                <c:pt idx="16" formatCode="_(* #,##0_);_(* \(#,##0\);_(* &quot;-&quot;_);_(@_)">
                  <c:v>37.757514205797321</c:v>
                </c:pt>
                <c:pt idx="17" formatCode="_(* #,##0_);_(* \(#,##0\);_(* &quot;-&quot;_);_(@_)">
                  <c:v>35.019614880897869</c:v>
                </c:pt>
                <c:pt idx="18" formatCode="_(* #,##0_);_(* \(#,##0\);_(* &quot;-&quot;_);_(@_)">
                  <c:v>32.897025730580332</c:v>
                </c:pt>
                <c:pt idx="19" formatCode="_(* #,##0_);_(* \(#,##0\);_(* &quot;-&quot;_);_(@_)">
                  <c:v>31.986451408819647</c:v>
                </c:pt>
                <c:pt idx="20" formatCode="_(* #,##0_);_(* \(#,##0\);_(* &quot;-&quot;_);_(@_)">
                  <c:v>29.783743542171866</c:v>
                </c:pt>
                <c:pt idx="21" formatCode="_(* #,##0_);_(* \(#,##0\);_(* &quot;-&quot;_);_(@_)">
                  <c:v>28.782558928955986</c:v>
                </c:pt>
                <c:pt idx="22" formatCode="_(* #,##0_);_(* \(#,##0\);_(* &quot;-&quot;_);_(@_)">
                  <c:v>27.987384812012181</c:v>
                </c:pt>
                <c:pt idx="23" formatCode="_(* #,##0_);_(* \(#,##0\);_(* &quot;-&quot;_);_(@_)">
                  <c:v>28.989172151095854</c:v>
                </c:pt>
                <c:pt idx="24" formatCode="_(* #,##0_);_(* \(#,##0\);_(* &quot;-&quot;_);_(@_)">
                  <c:v>30.478258098855207</c:v>
                </c:pt>
                <c:pt idx="25" formatCode="_(* #,##0_);_(* \(#,##0\);_(* &quot;-&quot;_);_(@_)">
                  <c:v>23.293526984521989</c:v>
                </c:pt>
                <c:pt idx="26" formatCode="_(* #,##0_);_(* \(#,##0\);_(* &quot;-&quot;_);_(@_)">
                  <c:v>16.814169506355952</c:v>
                </c:pt>
                <c:pt idx="27" formatCode="_(* #,##0_);_(* \(#,##0\);_(* &quot;-&quot;_);_(@_)">
                  <c:v>17.54232249040458</c:v>
                </c:pt>
                <c:pt idx="28" formatCode="_(* #,##0_);_(* \(#,##0\);_(* &quot;-&quot;_);_(@_)">
                  <c:v>14.615640739395873</c:v>
                </c:pt>
                <c:pt idx="29" formatCode="_(* #,##0_);_(* \(#,##0\);_(* &quot;-&quot;_);_(@_)">
                  <c:v>11.688958988387169</c:v>
                </c:pt>
                <c:pt idx="30" formatCode="_(* #,##0_);_(* \(#,##0\);_(* &quot;-&quot;_);_(@_)">
                  <c:v>8.7622772373784628</c:v>
                </c:pt>
                <c:pt idx="31" formatCode="_(* #,##0_);_(* \(#,##0\);_(* &quot;-&quot;_);_(@_)">
                  <c:v>7.2493975356904441</c:v>
                </c:pt>
                <c:pt idx="32" formatCode="_(* #,##0_);_(* \(#,##0\);_(* &quot;-&quot;_);_(@_)">
                  <c:v>5.7365178340024281</c:v>
                </c:pt>
                <c:pt idx="33" formatCode="_(* #,##0_);_(* \(#,##0\);_(* &quot;-&quot;_);_(@_)">
                  <c:v>4.2236381323144112</c:v>
                </c:pt>
                <c:pt idx="34" formatCode="_(* #,##0_);_(* \(#,##0\);_(* &quot;-&quot;_);_(@_)">
                  <c:v>2.7107584306263939</c:v>
                </c:pt>
                <c:pt idx="35" formatCode="_(* #,##0_);_(* \(#,##0\);_(* &quot;-&quot;_);_(@_)">
                  <c:v>1.1978787289383768</c:v>
                </c:pt>
                <c:pt idx="36" formatCode="_(* #,##0_);_(* \(#,##0\);_(* &quot;-&quot;_);_(@_)">
                  <c:v>1.0007674916723419</c:v>
                </c:pt>
                <c:pt idx="37" formatCode="_(* #,##0_);_(* \(#,##0\);_(* &quot;-&quot;_);_(@_)">
                  <c:v>0.80365625440630728</c:v>
                </c:pt>
                <c:pt idx="38" formatCode="_(* #,##0_);_(* \(#,##0\);_(* &quot;-&quot;_);_(@_)">
                  <c:v>0.60654501714027242</c:v>
                </c:pt>
                <c:pt idx="39" formatCode="_(* #,##0_);_(* \(#,##0\);_(* &quot;-&quot;_);_(@_)">
                  <c:v>0.40943377987423757</c:v>
                </c:pt>
                <c:pt idx="40" formatCode="_(* #,##0_);_(* \(#,##0\);_(* &quot;-&quot;_);_(@_)">
                  <c:v>0.2123225426082028</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53.464172913892831</c:v>
                </c:pt>
                <c:pt idx="10" formatCode="_(* #,##0_);_(* \(#,##0\);_(* &quot;-&quot;_);_(@_)">
                  <c:v>51.247282188414559</c:v>
                </c:pt>
                <c:pt idx="11" formatCode="_(* #,##0_);_(* \(#,##0\);_(* &quot;-&quot;_);_(@_)">
                  <c:v>50.719928257477683</c:v>
                </c:pt>
                <c:pt idx="12" formatCode="_(* #,##0_);_(* \(#,##0\);_(* &quot;-&quot;_);_(@_)">
                  <c:v>50.359792847133136</c:v>
                </c:pt>
                <c:pt idx="13" formatCode="_(* #,##0_);_(* \(#,##0\);_(* &quot;-&quot;_);_(@_)">
                  <c:v>48.748213106871191</c:v>
                </c:pt>
                <c:pt idx="14" formatCode="_(* #,##0_);_(* \(#,##0\);_(* &quot;-&quot;_);_(@_)">
                  <c:v>46.900203343432629</c:v>
                </c:pt>
                <c:pt idx="15" formatCode="_(* #,##0_);_(* \(#,##0\);_(* &quot;-&quot;_);_(@_)">
                  <c:v>41.859241005426526</c:v>
                </c:pt>
                <c:pt idx="16" formatCode="_(* #,##0_);_(* \(#,##0\);_(* &quot;-&quot;_);_(@_)">
                  <c:v>37.757514205797321</c:v>
                </c:pt>
                <c:pt idx="17" formatCode="_(* #,##0_);_(* \(#,##0\);_(* &quot;-&quot;_);_(@_)">
                  <c:v>35.019614880897869</c:v>
                </c:pt>
                <c:pt idx="18" formatCode="_(* #,##0_);_(* \(#,##0\);_(* &quot;-&quot;_);_(@_)">
                  <c:v>32.897025730580332</c:v>
                </c:pt>
                <c:pt idx="19" formatCode="_(* #,##0_);_(* \(#,##0\);_(* &quot;-&quot;_);_(@_)">
                  <c:v>31.986451408819647</c:v>
                </c:pt>
                <c:pt idx="20" formatCode="_(* #,##0_);_(* \(#,##0\);_(* &quot;-&quot;_);_(@_)">
                  <c:v>29.783743542171866</c:v>
                </c:pt>
                <c:pt idx="21" formatCode="_(* #,##0_);_(* \(#,##0\);_(* &quot;-&quot;_);_(@_)">
                  <c:v>28.782558928955986</c:v>
                </c:pt>
                <c:pt idx="22" formatCode="_(* #,##0_);_(* \(#,##0\);_(* &quot;-&quot;_);_(@_)">
                  <c:v>27.987384812012181</c:v>
                </c:pt>
                <c:pt idx="23" formatCode="_(* #,##0_);_(* \(#,##0\);_(* &quot;-&quot;_);_(@_)">
                  <c:v>28.989172151095854</c:v>
                </c:pt>
                <c:pt idx="24" formatCode="_(* #,##0_);_(* \(#,##0\);_(* &quot;-&quot;_);_(@_)">
                  <c:v>30.478258098855207</c:v>
                </c:pt>
                <c:pt idx="25" formatCode="_(* #,##0_);_(* \(#,##0\);_(* &quot;-&quot;_);_(@_)">
                  <c:v>23.293526984521989</c:v>
                </c:pt>
                <c:pt idx="26" formatCode="_(* #,##0_);_(* \(#,##0\);_(* &quot;-&quot;_);_(@_)">
                  <c:v>16.814169506355952</c:v>
                </c:pt>
                <c:pt idx="27" formatCode="_(* #,##0_);_(* \(#,##0\);_(* &quot;-&quot;_);_(@_)">
                  <c:v>17.54232249040458</c:v>
                </c:pt>
                <c:pt idx="28" formatCode="_(* #,##0_);_(* \(#,##0\);_(* &quot;-&quot;_);_(@_)">
                  <c:v>14.615640739395873</c:v>
                </c:pt>
                <c:pt idx="29" formatCode="_(* #,##0_);_(* \(#,##0\);_(* &quot;-&quot;_);_(@_)">
                  <c:v>11.688958988387169</c:v>
                </c:pt>
                <c:pt idx="30" formatCode="_(* #,##0_);_(* \(#,##0\);_(* &quot;-&quot;_);_(@_)">
                  <c:v>8.7622772373784628</c:v>
                </c:pt>
                <c:pt idx="31" formatCode="_(* #,##0_);_(* \(#,##0\);_(* &quot;-&quot;_);_(@_)">
                  <c:v>7.2493975356904441</c:v>
                </c:pt>
                <c:pt idx="32" formatCode="_(* #,##0_);_(* \(#,##0\);_(* &quot;-&quot;_);_(@_)">
                  <c:v>5.7365178340024281</c:v>
                </c:pt>
                <c:pt idx="33" formatCode="_(* #,##0_);_(* \(#,##0\);_(* &quot;-&quot;_);_(@_)">
                  <c:v>4.2236381323144112</c:v>
                </c:pt>
                <c:pt idx="34" formatCode="_(* #,##0_);_(* \(#,##0\);_(* &quot;-&quot;_);_(@_)">
                  <c:v>2.7107584306263939</c:v>
                </c:pt>
                <c:pt idx="35" formatCode="_(* #,##0_);_(* \(#,##0\);_(* &quot;-&quot;_);_(@_)">
                  <c:v>1.1978787289383768</c:v>
                </c:pt>
                <c:pt idx="36" formatCode="_(* #,##0_);_(* \(#,##0\);_(* &quot;-&quot;_);_(@_)">
                  <c:v>1.0007674916723419</c:v>
                </c:pt>
                <c:pt idx="37" formatCode="_(* #,##0_);_(* \(#,##0\);_(* &quot;-&quot;_);_(@_)">
                  <c:v>0.80365625440630728</c:v>
                </c:pt>
                <c:pt idx="38" formatCode="_(* #,##0_);_(* \(#,##0\);_(* &quot;-&quot;_);_(@_)">
                  <c:v>0.60654501714027242</c:v>
                </c:pt>
                <c:pt idx="39" formatCode="_(* #,##0_);_(* \(#,##0\);_(* &quot;-&quot;_);_(@_)">
                  <c:v>0.40943377987423757</c:v>
                </c:pt>
                <c:pt idx="40" formatCode="_(* #,##0_);_(* \(#,##0\);_(* &quot;-&quot;_);_(@_)">
                  <c:v>0.2123225426082028</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53.464172913892831</c:v>
                </c:pt>
                <c:pt idx="10" formatCode="_(* #,##0_);_(* \(#,##0\);_(* &quot;-&quot;_);_(@_)">
                  <c:v>51.247282188414559</c:v>
                </c:pt>
                <c:pt idx="11" formatCode="_(* #,##0_);_(* \(#,##0\);_(* &quot;-&quot;_);_(@_)">
                  <c:v>50.719928257477683</c:v>
                </c:pt>
                <c:pt idx="12" formatCode="_(* #,##0_);_(* \(#,##0\);_(* &quot;-&quot;_);_(@_)">
                  <c:v>50.359792847133136</c:v>
                </c:pt>
                <c:pt idx="13" formatCode="_(* #,##0_);_(* \(#,##0\);_(* &quot;-&quot;_);_(@_)">
                  <c:v>48.748213106871191</c:v>
                </c:pt>
                <c:pt idx="14" formatCode="_(* #,##0_);_(* \(#,##0\);_(* &quot;-&quot;_);_(@_)">
                  <c:v>46.900203343432629</c:v>
                </c:pt>
                <c:pt idx="15" formatCode="_(* #,##0_);_(* \(#,##0\);_(* &quot;-&quot;_);_(@_)">
                  <c:v>41.859241005426526</c:v>
                </c:pt>
                <c:pt idx="16" formatCode="_(* #,##0_);_(* \(#,##0\);_(* &quot;-&quot;_);_(@_)">
                  <c:v>37.757514205797321</c:v>
                </c:pt>
                <c:pt idx="17" formatCode="_(* #,##0_);_(* \(#,##0\);_(* &quot;-&quot;_);_(@_)">
                  <c:v>35.019614880897869</c:v>
                </c:pt>
                <c:pt idx="18" formatCode="_(* #,##0_);_(* \(#,##0\);_(* &quot;-&quot;_);_(@_)">
                  <c:v>32.897025730580332</c:v>
                </c:pt>
                <c:pt idx="19" formatCode="_(* #,##0_);_(* \(#,##0\);_(* &quot;-&quot;_);_(@_)">
                  <c:v>31.986451408819647</c:v>
                </c:pt>
                <c:pt idx="20" formatCode="_(* #,##0_);_(* \(#,##0\);_(* &quot;-&quot;_);_(@_)">
                  <c:v>29.783743542171866</c:v>
                </c:pt>
                <c:pt idx="21" formatCode="_(* #,##0_);_(* \(#,##0\);_(* &quot;-&quot;_);_(@_)">
                  <c:v>28.782558928955986</c:v>
                </c:pt>
                <c:pt idx="22" formatCode="_(* #,##0_);_(* \(#,##0\);_(* &quot;-&quot;_);_(@_)">
                  <c:v>27.987384812012181</c:v>
                </c:pt>
                <c:pt idx="23" formatCode="_(* #,##0_);_(* \(#,##0\);_(* &quot;-&quot;_);_(@_)">
                  <c:v>28.989172151095854</c:v>
                </c:pt>
                <c:pt idx="24" formatCode="_(* #,##0_);_(* \(#,##0\);_(* &quot;-&quot;_);_(@_)">
                  <c:v>30.478258098855207</c:v>
                </c:pt>
                <c:pt idx="25" formatCode="_(* #,##0_);_(* \(#,##0\);_(* &quot;-&quot;_);_(@_)">
                  <c:v>23.293526984521989</c:v>
                </c:pt>
                <c:pt idx="26" formatCode="_(* #,##0_);_(* \(#,##0\);_(* &quot;-&quot;_);_(@_)">
                  <c:v>16.814169506355952</c:v>
                </c:pt>
                <c:pt idx="27" formatCode="_(* #,##0_);_(* \(#,##0\);_(* &quot;-&quot;_);_(@_)">
                  <c:v>17.54232249040458</c:v>
                </c:pt>
                <c:pt idx="28" formatCode="_(* #,##0_);_(* \(#,##0\);_(* &quot;-&quot;_);_(@_)">
                  <c:v>14.615640739395873</c:v>
                </c:pt>
                <c:pt idx="29" formatCode="_(* #,##0_);_(* \(#,##0\);_(* &quot;-&quot;_);_(@_)">
                  <c:v>11.688958988387169</c:v>
                </c:pt>
                <c:pt idx="30" formatCode="_(* #,##0_);_(* \(#,##0\);_(* &quot;-&quot;_);_(@_)">
                  <c:v>8.7622772373784628</c:v>
                </c:pt>
                <c:pt idx="31" formatCode="_(* #,##0_);_(* \(#,##0\);_(* &quot;-&quot;_);_(@_)">
                  <c:v>7.2493975356904441</c:v>
                </c:pt>
                <c:pt idx="32" formatCode="_(* #,##0_);_(* \(#,##0\);_(* &quot;-&quot;_);_(@_)">
                  <c:v>5.7365178340024281</c:v>
                </c:pt>
                <c:pt idx="33" formatCode="_(* #,##0_);_(* \(#,##0\);_(* &quot;-&quot;_);_(@_)">
                  <c:v>4.2236381323144112</c:v>
                </c:pt>
                <c:pt idx="34" formatCode="_(* #,##0_);_(* \(#,##0\);_(* &quot;-&quot;_);_(@_)">
                  <c:v>2.7107584306263939</c:v>
                </c:pt>
                <c:pt idx="35" formatCode="_(* #,##0_);_(* \(#,##0\);_(* &quot;-&quot;_);_(@_)">
                  <c:v>1.1978787289383768</c:v>
                </c:pt>
                <c:pt idx="36" formatCode="_(* #,##0_);_(* \(#,##0\);_(* &quot;-&quot;_);_(@_)">
                  <c:v>1.0007674916723419</c:v>
                </c:pt>
                <c:pt idx="37" formatCode="_(* #,##0_);_(* \(#,##0\);_(* &quot;-&quot;_);_(@_)">
                  <c:v>0.80365625440630728</c:v>
                </c:pt>
                <c:pt idx="38" formatCode="_(* #,##0_);_(* \(#,##0\);_(* &quot;-&quot;_);_(@_)">
                  <c:v>0.60654501714027242</c:v>
                </c:pt>
                <c:pt idx="39" formatCode="_(* #,##0_);_(* \(#,##0\);_(* &quot;-&quot;_);_(@_)">
                  <c:v>0.40943377987423757</c:v>
                </c:pt>
                <c:pt idx="40" formatCode="_(* #,##0_);_(* \(#,##0\);_(* &quot;-&quot;_);_(@_)">
                  <c:v>0.2123225426082028</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6.9198846415845283E-2</c:v>
                </c:pt>
                <c:pt idx="21">
                  <c:v>8.961457279319629E-2</c:v>
                </c:pt>
                <c:pt idx="22">
                  <c:v>0.10871988423705314</c:v>
                </c:pt>
                <c:pt idx="23">
                  <c:v>0.12637817597931233</c:v>
                </c:pt>
                <c:pt idx="24">
                  <c:v>0.14272272578160961</c:v>
                </c:pt>
                <c:pt idx="25">
                  <c:v>0.15785046840139405</c:v>
                </c:pt>
                <c:pt idx="26">
                  <c:v>0.17132277452637046</c:v>
                </c:pt>
                <c:pt idx="27">
                  <c:v>0.18325265493865428</c:v>
                </c:pt>
                <c:pt idx="28">
                  <c:v>0.20670588419197256</c:v>
                </c:pt>
                <c:pt idx="29">
                  <c:v>0.22830313984315176</c:v>
                </c:pt>
                <c:pt idx="30">
                  <c:v>0.24819358924646606</c:v>
                </c:pt>
                <c:pt idx="31">
                  <c:v>0.26563496051422275</c:v>
                </c:pt>
                <c:pt idx="32">
                  <c:v>0.28257711248716522</c:v>
                </c:pt>
                <c:pt idx="33">
                  <c:v>0.29904399838876228</c:v>
                </c:pt>
                <c:pt idx="34">
                  <c:v>0.3150585480493896</c:v>
                </c:pt>
                <c:pt idx="35">
                  <c:v>0.3306427300073066</c:v>
                </c:pt>
                <c:pt idx="36">
                  <c:v>0.34584518582565693</c:v>
                </c:pt>
                <c:pt idx="37">
                  <c:v>0.35321623019832382</c:v>
                </c:pt>
                <c:pt idx="38">
                  <c:v>0.36369345508761963</c:v>
                </c:pt>
                <c:pt idx="39">
                  <c:v>0.37391019275039494</c:v>
                </c:pt>
                <c:pt idx="40">
                  <c:v>0.38387717210459582</c:v>
                </c:pt>
                <c:pt idx="41">
                  <c:v>0.39361142515162528</c:v>
                </c:pt>
                <c:pt idx="42">
                  <c:v>0.40312233108467022</c:v>
                </c:pt>
                <c:pt idx="43">
                  <c:v>0.41241894752737041</c:v>
                </c:pt>
                <c:pt idx="44">
                  <c:v>0.42151002677394489</c:v>
                </c:pt>
                <c:pt idx="45">
                  <c:v>0.43040403124349413</c:v>
                </c:pt>
                <c:pt idx="46">
                  <c:v>0.43911512246870943</c:v>
                </c:pt>
                <c:pt idx="47">
                  <c:v>0.44765067706899153</c:v>
                </c:pt>
                <c:pt idx="48">
                  <c:v>0.44950409890217113</c:v>
                </c:pt>
                <c:pt idx="49">
                  <c:v>0.45128319188420341</c:v>
                </c:pt>
                <c:pt idx="50">
                  <c:v>0.45298925543142243</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0.17297515448432232</c:v>
                </c:pt>
                <c:pt idx="20">
                  <c:v>0.17042995723914101</c:v>
                </c:pt>
                <c:pt idx="21">
                  <c:v>0.19821732838659767</c:v>
                </c:pt>
                <c:pt idx="22">
                  <c:v>0.2235747660326316</c:v>
                </c:pt>
                <c:pt idx="23">
                  <c:v>0.23850745277517538</c:v>
                </c:pt>
                <c:pt idx="24">
                  <c:v>0.25088701283073711</c:v>
                </c:pt>
                <c:pt idx="25">
                  <c:v>0.24204066501819499</c:v>
                </c:pt>
                <c:pt idx="26">
                  <c:v>0.23749755008140383</c:v>
                </c:pt>
                <c:pt idx="27">
                  <c:v>0.24090857049577374</c:v>
                </c:pt>
                <c:pt idx="28">
                  <c:v>0.24834211320139787</c:v>
                </c:pt>
                <c:pt idx="29">
                  <c:v>0.26349389145448554</c:v>
                </c:pt>
                <c:pt idx="30">
                  <c:v>0.26942727422419854</c:v>
                </c:pt>
                <c:pt idx="31">
                  <c:v>0.28171404968398939</c:v>
                </c:pt>
                <c:pt idx="32">
                  <c:v>0.29472914697206964</c:v>
                </c:pt>
                <c:pt idx="33">
                  <c:v>0.31700051021938846</c:v>
                </c:pt>
                <c:pt idx="34">
                  <c:v>0.34022123371815327</c:v>
                </c:pt>
                <c:pt idx="35">
                  <c:v>0.3205824091328664</c:v>
                </c:pt>
                <c:pt idx="36">
                  <c:v>0.3020513705538056</c:v>
                </c:pt>
                <c:pt idx="37">
                  <c:v>0.32209907548062378</c:v>
                </c:pt>
                <c:pt idx="38">
                  <c:v>0.32232440850963928</c:v>
                </c:pt>
                <c:pt idx="39">
                  <c:v>0.32257694556985639</c:v>
                </c:pt>
                <c:pt idx="40">
                  <c:v>0.32250437601692827</c:v>
                </c:pt>
                <c:pt idx="41">
                  <c:v>0.3352962762563686</c:v>
                </c:pt>
                <c:pt idx="42">
                  <c:v>0.34718034110662843</c:v>
                </c:pt>
                <c:pt idx="43">
                  <c:v>0.35826568561329475</c:v>
                </c:pt>
                <c:pt idx="44">
                  <c:v>0.36866536601167343</c:v>
                </c:pt>
                <c:pt idx="45">
                  <c:v>0.37843179801240712</c:v>
                </c:pt>
                <c:pt idx="46">
                  <c:v>0.39328372106321474</c:v>
                </c:pt>
                <c:pt idx="47">
                  <c:v>0.40503475374428999</c:v>
                </c:pt>
                <c:pt idx="48">
                  <c:v>0.41573465984150493</c:v>
                </c:pt>
                <c:pt idx="49">
                  <c:v>0.42565713463836508</c:v>
                </c:pt>
                <c:pt idx="50">
                  <c:v>0.43482061258431981</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0.17297515448432232</c:v>
                </c:pt>
                <c:pt idx="20">
                  <c:v>0.17042995723914101</c:v>
                </c:pt>
                <c:pt idx="21">
                  <c:v>0.19821732838659767</c:v>
                </c:pt>
                <c:pt idx="22">
                  <c:v>0.2235747660326316</c:v>
                </c:pt>
                <c:pt idx="23">
                  <c:v>0.23850745277517538</c:v>
                </c:pt>
                <c:pt idx="24">
                  <c:v>0.25088701283073711</c:v>
                </c:pt>
                <c:pt idx="25">
                  <c:v>0.24204066501819499</c:v>
                </c:pt>
                <c:pt idx="26">
                  <c:v>0.23749755008140383</c:v>
                </c:pt>
                <c:pt idx="27">
                  <c:v>0.24090857049577374</c:v>
                </c:pt>
                <c:pt idx="28">
                  <c:v>0.24834211320139787</c:v>
                </c:pt>
                <c:pt idx="29">
                  <c:v>0.26349389145448554</c:v>
                </c:pt>
                <c:pt idx="30">
                  <c:v>0.26942727422419854</c:v>
                </c:pt>
                <c:pt idx="31">
                  <c:v>0.28171404968398939</c:v>
                </c:pt>
                <c:pt idx="32">
                  <c:v>0.29472914697206964</c:v>
                </c:pt>
                <c:pt idx="33">
                  <c:v>0.31700051021938846</c:v>
                </c:pt>
                <c:pt idx="34">
                  <c:v>0.34022123371815327</c:v>
                </c:pt>
                <c:pt idx="35">
                  <c:v>0.3205824091328664</c:v>
                </c:pt>
                <c:pt idx="36">
                  <c:v>0.3020513705538056</c:v>
                </c:pt>
                <c:pt idx="37">
                  <c:v>0.32209907548062378</c:v>
                </c:pt>
                <c:pt idx="38">
                  <c:v>0.32232440850963928</c:v>
                </c:pt>
                <c:pt idx="39">
                  <c:v>0.32257694556985639</c:v>
                </c:pt>
                <c:pt idx="40">
                  <c:v>0.32250437601692827</c:v>
                </c:pt>
                <c:pt idx="41">
                  <c:v>0.3352962762563686</c:v>
                </c:pt>
                <c:pt idx="42">
                  <c:v>0.34718034110662843</c:v>
                </c:pt>
                <c:pt idx="43">
                  <c:v>0.35826568561329475</c:v>
                </c:pt>
                <c:pt idx="44">
                  <c:v>0.36866536601167343</c:v>
                </c:pt>
                <c:pt idx="45">
                  <c:v>0.37843179801240712</c:v>
                </c:pt>
                <c:pt idx="46">
                  <c:v>0.39328372106321474</c:v>
                </c:pt>
                <c:pt idx="47">
                  <c:v>0.40503475374428999</c:v>
                </c:pt>
                <c:pt idx="48">
                  <c:v>0.41573465984150493</c:v>
                </c:pt>
                <c:pt idx="49">
                  <c:v>0.42565713463836508</c:v>
                </c:pt>
                <c:pt idx="50">
                  <c:v>0.43482061258431981</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6.225793333678542E-2</c:v>
                </c:pt>
                <c:pt idx="21">
                  <c:v>9.9162220196375661E-2</c:v>
                </c:pt>
                <c:pt idx="22">
                  <c:v>0.16197085374599185</c:v>
                </c:pt>
                <c:pt idx="23">
                  <c:v>0.18321939450095748</c:v>
                </c:pt>
                <c:pt idx="24">
                  <c:v>0.20385129219747689</c:v>
                </c:pt>
                <c:pt idx="25">
                  <c:v>0.22388125627716271</c:v>
                </c:pt>
                <c:pt idx="26">
                  <c:v>0.24289710140574805</c:v>
                </c:pt>
                <c:pt idx="27">
                  <c:v>0.26098012918869418</c:v>
                </c:pt>
                <c:pt idx="28">
                  <c:v>0.27820714876718022</c:v>
                </c:pt>
                <c:pt idx="29">
                  <c:v>0.29465096067231977</c:v>
                </c:pt>
                <c:pt idx="30">
                  <c:v>0.31038080902495269</c:v>
                </c:pt>
                <c:pt idx="31">
                  <c:v>0.33036774602210461</c:v>
                </c:pt>
                <c:pt idx="32">
                  <c:v>0.34981432630700493</c:v>
                </c:pt>
                <c:pt idx="33">
                  <c:v>0.35323480765047022</c:v>
                </c:pt>
                <c:pt idx="34">
                  <c:v>0.35651031341358341</c:v>
                </c:pt>
                <c:pt idx="35">
                  <c:v>0.35964473479152448</c:v>
                </c:pt>
                <c:pt idx="36">
                  <c:v>0.36266411035080748</c:v>
                </c:pt>
                <c:pt idx="37">
                  <c:v>0.36557129745283368</c:v>
                </c:pt>
                <c:pt idx="38">
                  <c:v>0.36836902471937161</c:v>
                </c:pt>
                <c:pt idx="39">
                  <c:v>0.37105989712936271</c:v>
                </c:pt>
                <c:pt idx="40">
                  <c:v>0.37364640081421818</c:v>
                </c:pt>
                <c:pt idx="41">
                  <c:v>0.37613685839795552</c:v>
                </c:pt>
                <c:pt idx="42">
                  <c:v>0.37853338416272353</c:v>
                </c:pt>
                <c:pt idx="43">
                  <c:v>0.38083799838405907</c:v>
                </c:pt>
                <c:pt idx="44">
                  <c:v>0.38305263063283224</c:v>
                </c:pt>
                <c:pt idx="45">
                  <c:v>0.38517912289168765</c:v>
                </c:pt>
                <c:pt idx="46">
                  <c:v>0.3872251791757082</c:v>
                </c:pt>
                <c:pt idx="47">
                  <c:v>0.38919234989754214</c:v>
                </c:pt>
                <c:pt idx="48">
                  <c:v>0.39108211677109073</c:v>
                </c:pt>
                <c:pt idx="49">
                  <c:v>0.39289589493308541</c:v>
                </c:pt>
                <c:pt idx="50">
                  <c:v>0.39463503494975127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0.15871146115466328</c:v>
                </c:pt>
                <c:pt idx="20">
                  <c:v>0.16840334018565795</c:v>
                </c:pt>
                <c:pt idx="21">
                  <c:v>0.26257112936202054</c:v>
                </c:pt>
                <c:pt idx="22">
                  <c:v>0.28706558067926824</c:v>
                </c:pt>
                <c:pt idx="23">
                  <c:v>0.29501172793092756</c:v>
                </c:pt>
                <c:pt idx="24">
                  <c:v>0.30395392590951709</c:v>
                </c:pt>
                <c:pt idx="25">
                  <c:v>0.3229197158617535</c:v>
                </c:pt>
                <c:pt idx="26">
                  <c:v>0.33962889078288261</c:v>
                </c:pt>
                <c:pt idx="27">
                  <c:v>0.35002220753292401</c:v>
                </c:pt>
                <c:pt idx="28">
                  <c:v>0.35807302697893617</c:v>
                </c:pt>
                <c:pt idx="29">
                  <c:v>0.36976079216659063</c:v>
                </c:pt>
                <c:pt idx="30">
                  <c:v>0.38146510228185027</c:v>
                </c:pt>
                <c:pt idx="31">
                  <c:v>0.38879974895291702</c:v>
                </c:pt>
                <c:pt idx="32">
                  <c:v>0.39531655758213946</c:v>
                </c:pt>
                <c:pt idx="33">
                  <c:v>0.39479791092534633</c:v>
                </c:pt>
                <c:pt idx="34">
                  <c:v>0.39271446917828801</c:v>
                </c:pt>
                <c:pt idx="35">
                  <c:v>0.42554960402631026</c:v>
                </c:pt>
                <c:pt idx="36">
                  <c:v>0.41900369056731934</c:v>
                </c:pt>
                <c:pt idx="37">
                  <c:v>0.4237004558706301</c:v>
                </c:pt>
                <c:pt idx="38">
                  <c:v>0.42124160638990238</c:v>
                </c:pt>
                <c:pt idx="39">
                  <c:v>0.41896394034163265</c:v>
                </c:pt>
                <c:pt idx="40">
                  <c:v>0.41665506317915713</c:v>
                </c:pt>
                <c:pt idx="41">
                  <c:v>0.41763050235619459</c:v>
                </c:pt>
                <c:pt idx="42">
                  <c:v>0.41865044062267498</c:v>
                </c:pt>
                <c:pt idx="43">
                  <c:v>0.41975290393317</c:v>
                </c:pt>
                <c:pt idx="44">
                  <c:v>0.42098731680845014</c:v>
                </c:pt>
                <c:pt idx="45">
                  <c:v>0.42236533788496167</c:v>
                </c:pt>
                <c:pt idx="46">
                  <c:v>0.4263641724859798</c:v>
                </c:pt>
                <c:pt idx="47">
                  <c:v>0.42861248580170164</c:v>
                </c:pt>
                <c:pt idx="48">
                  <c:v>0.43062211484013102</c:v>
                </c:pt>
                <c:pt idx="49">
                  <c:v>0.43256734345557357</c:v>
                </c:pt>
                <c:pt idx="50">
                  <c:v>0.43441051931889274</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0.15871146115466328</c:v>
                </c:pt>
                <c:pt idx="20">
                  <c:v>0.16840334018565795</c:v>
                </c:pt>
                <c:pt idx="21">
                  <c:v>0.26257112936202054</c:v>
                </c:pt>
                <c:pt idx="22">
                  <c:v>0.28706558067926824</c:v>
                </c:pt>
                <c:pt idx="23">
                  <c:v>0.29501172793092756</c:v>
                </c:pt>
                <c:pt idx="24">
                  <c:v>0.30395392590951709</c:v>
                </c:pt>
                <c:pt idx="25">
                  <c:v>0.3229197158617535</c:v>
                </c:pt>
                <c:pt idx="26">
                  <c:v>0.33962889078288261</c:v>
                </c:pt>
                <c:pt idx="27">
                  <c:v>0.35002220753292401</c:v>
                </c:pt>
                <c:pt idx="28">
                  <c:v>0.35807302697893617</c:v>
                </c:pt>
                <c:pt idx="29">
                  <c:v>0.36976079216659063</c:v>
                </c:pt>
                <c:pt idx="30">
                  <c:v>0.38146510228185027</c:v>
                </c:pt>
                <c:pt idx="31">
                  <c:v>0.38879974895291702</c:v>
                </c:pt>
                <c:pt idx="32">
                  <c:v>0.39531655758213946</c:v>
                </c:pt>
                <c:pt idx="33">
                  <c:v>0.39479791092534633</c:v>
                </c:pt>
                <c:pt idx="34">
                  <c:v>0.39271446917828801</c:v>
                </c:pt>
                <c:pt idx="35">
                  <c:v>0.42554960402631026</c:v>
                </c:pt>
                <c:pt idx="36">
                  <c:v>0.41900369056731934</c:v>
                </c:pt>
                <c:pt idx="37">
                  <c:v>0.4237004558706301</c:v>
                </c:pt>
                <c:pt idx="38">
                  <c:v>0.42124160638990238</c:v>
                </c:pt>
                <c:pt idx="39">
                  <c:v>0.41896394034163265</c:v>
                </c:pt>
                <c:pt idx="40">
                  <c:v>0.41665506317915713</c:v>
                </c:pt>
                <c:pt idx="41">
                  <c:v>0.41763050235619459</c:v>
                </c:pt>
                <c:pt idx="42">
                  <c:v>0.41865044062267498</c:v>
                </c:pt>
                <c:pt idx="43">
                  <c:v>0.41975290393317</c:v>
                </c:pt>
                <c:pt idx="44">
                  <c:v>0.42098731680845014</c:v>
                </c:pt>
                <c:pt idx="45">
                  <c:v>0.42236533788496167</c:v>
                </c:pt>
                <c:pt idx="46">
                  <c:v>0.4263641724859798</c:v>
                </c:pt>
                <c:pt idx="47">
                  <c:v>0.42861248580170164</c:v>
                </c:pt>
                <c:pt idx="48">
                  <c:v>0.43062211484013102</c:v>
                </c:pt>
                <c:pt idx="49">
                  <c:v>0.43256734345557357</c:v>
                </c:pt>
                <c:pt idx="50">
                  <c:v>0.43441051931889274</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6.225793333678542E-2</c:v>
                </c:pt>
                <c:pt idx="21">
                  <c:v>9.9162220196375661E-2</c:v>
                </c:pt>
                <c:pt idx="22">
                  <c:v>0.16197085374599185</c:v>
                </c:pt>
                <c:pt idx="23">
                  <c:v>0.18321939450095748</c:v>
                </c:pt>
                <c:pt idx="24">
                  <c:v>0.20385129219747689</c:v>
                </c:pt>
                <c:pt idx="25">
                  <c:v>0.22388125627716271</c:v>
                </c:pt>
                <c:pt idx="26">
                  <c:v>0.24289710140574805</c:v>
                </c:pt>
                <c:pt idx="27">
                  <c:v>0.26098012918869418</c:v>
                </c:pt>
                <c:pt idx="28">
                  <c:v>0.27820714876718022</c:v>
                </c:pt>
                <c:pt idx="29">
                  <c:v>0.29465096067231977</c:v>
                </c:pt>
                <c:pt idx="30">
                  <c:v>0.31038080902495269</c:v>
                </c:pt>
                <c:pt idx="31">
                  <c:v>0.33036774602210461</c:v>
                </c:pt>
                <c:pt idx="32">
                  <c:v>0.34981432630700504</c:v>
                </c:pt>
                <c:pt idx="33">
                  <c:v>0.35323480765047022</c:v>
                </c:pt>
                <c:pt idx="34">
                  <c:v>0.35651031341358341</c:v>
                </c:pt>
                <c:pt idx="35">
                  <c:v>0.35964473479152448</c:v>
                </c:pt>
                <c:pt idx="36">
                  <c:v>0.36266411035080748</c:v>
                </c:pt>
                <c:pt idx="37">
                  <c:v>0.36557129745283368</c:v>
                </c:pt>
                <c:pt idx="38">
                  <c:v>0.36836902471937161</c:v>
                </c:pt>
                <c:pt idx="39">
                  <c:v>0.37105989712936271</c:v>
                </c:pt>
                <c:pt idx="40">
                  <c:v>0.37364640081421818</c:v>
                </c:pt>
                <c:pt idx="41">
                  <c:v>0.37613685839795552</c:v>
                </c:pt>
                <c:pt idx="42">
                  <c:v>0.37853338416272353</c:v>
                </c:pt>
                <c:pt idx="43">
                  <c:v>0.38083799838405907</c:v>
                </c:pt>
                <c:pt idx="44">
                  <c:v>0.38305263063283224</c:v>
                </c:pt>
                <c:pt idx="45">
                  <c:v>0.38517912289168765</c:v>
                </c:pt>
                <c:pt idx="46">
                  <c:v>0.3872251791757082</c:v>
                </c:pt>
                <c:pt idx="47">
                  <c:v>0.38919234989754214</c:v>
                </c:pt>
                <c:pt idx="48">
                  <c:v>0.39108211677109073</c:v>
                </c:pt>
                <c:pt idx="49">
                  <c:v>0.39289589493308541</c:v>
                </c:pt>
                <c:pt idx="50">
                  <c:v>0.39463503494975138</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0.15871146115466328</c:v>
                </c:pt>
                <c:pt idx="20">
                  <c:v>0.16840334018565795</c:v>
                </c:pt>
                <c:pt idx="21">
                  <c:v>0.26257112936202054</c:v>
                </c:pt>
                <c:pt idx="22">
                  <c:v>0.28706558067926824</c:v>
                </c:pt>
                <c:pt idx="23">
                  <c:v>0.29501172793092756</c:v>
                </c:pt>
                <c:pt idx="24">
                  <c:v>0.30395392590951709</c:v>
                </c:pt>
                <c:pt idx="25">
                  <c:v>0.3229197158617535</c:v>
                </c:pt>
                <c:pt idx="26">
                  <c:v>0.33962889078288261</c:v>
                </c:pt>
                <c:pt idx="27">
                  <c:v>0.35002220753292401</c:v>
                </c:pt>
                <c:pt idx="28">
                  <c:v>0.35807302697893617</c:v>
                </c:pt>
                <c:pt idx="29">
                  <c:v>0.36976079216659063</c:v>
                </c:pt>
                <c:pt idx="30">
                  <c:v>0.38146510228185027</c:v>
                </c:pt>
                <c:pt idx="31">
                  <c:v>0.38879974895291702</c:v>
                </c:pt>
                <c:pt idx="32">
                  <c:v>0.39531655758213946</c:v>
                </c:pt>
                <c:pt idx="33">
                  <c:v>0.39479791092534633</c:v>
                </c:pt>
                <c:pt idx="34">
                  <c:v>0.39271446917828801</c:v>
                </c:pt>
                <c:pt idx="35">
                  <c:v>0.42554960402631026</c:v>
                </c:pt>
                <c:pt idx="36">
                  <c:v>0.41900369056731934</c:v>
                </c:pt>
                <c:pt idx="37">
                  <c:v>0.4237004558706301</c:v>
                </c:pt>
                <c:pt idx="38">
                  <c:v>0.42124160638990238</c:v>
                </c:pt>
                <c:pt idx="39">
                  <c:v>0.41896394034163265</c:v>
                </c:pt>
                <c:pt idx="40">
                  <c:v>0.41665506317915713</c:v>
                </c:pt>
                <c:pt idx="41">
                  <c:v>0.41763050235619459</c:v>
                </c:pt>
                <c:pt idx="42">
                  <c:v>0.41865044062267498</c:v>
                </c:pt>
                <c:pt idx="43">
                  <c:v>0.41975290393317</c:v>
                </c:pt>
                <c:pt idx="44">
                  <c:v>0.42098731680845014</c:v>
                </c:pt>
                <c:pt idx="45">
                  <c:v>0.42236533788496167</c:v>
                </c:pt>
                <c:pt idx="46">
                  <c:v>0.4263641724859798</c:v>
                </c:pt>
                <c:pt idx="47">
                  <c:v>0.42861248580170164</c:v>
                </c:pt>
                <c:pt idx="48">
                  <c:v>0.43062211484013102</c:v>
                </c:pt>
                <c:pt idx="49">
                  <c:v>0.43256734345557357</c:v>
                </c:pt>
                <c:pt idx="50">
                  <c:v>0.43441051931889274</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0.15871146115466328</c:v>
                </c:pt>
                <c:pt idx="20">
                  <c:v>0.16840334018565795</c:v>
                </c:pt>
                <c:pt idx="21">
                  <c:v>0.26257112936202054</c:v>
                </c:pt>
                <c:pt idx="22">
                  <c:v>0.28706558067926824</c:v>
                </c:pt>
                <c:pt idx="23">
                  <c:v>0.29501172793092756</c:v>
                </c:pt>
                <c:pt idx="24">
                  <c:v>0.30395392590951709</c:v>
                </c:pt>
                <c:pt idx="25">
                  <c:v>0.3229197158617535</c:v>
                </c:pt>
                <c:pt idx="26">
                  <c:v>0.33962889078288261</c:v>
                </c:pt>
                <c:pt idx="27">
                  <c:v>0.35002220753292401</c:v>
                </c:pt>
                <c:pt idx="28">
                  <c:v>0.35807302697893617</c:v>
                </c:pt>
                <c:pt idx="29">
                  <c:v>0.36976079216659063</c:v>
                </c:pt>
                <c:pt idx="30">
                  <c:v>0.38146510228185027</c:v>
                </c:pt>
                <c:pt idx="31">
                  <c:v>0.38879974895291702</c:v>
                </c:pt>
                <c:pt idx="32">
                  <c:v>0.39531655758213946</c:v>
                </c:pt>
                <c:pt idx="33">
                  <c:v>0.39479791092534633</c:v>
                </c:pt>
                <c:pt idx="34">
                  <c:v>0.39271446917828801</c:v>
                </c:pt>
                <c:pt idx="35">
                  <c:v>0.42554960402631026</c:v>
                </c:pt>
                <c:pt idx="36">
                  <c:v>0.41900369056731934</c:v>
                </c:pt>
                <c:pt idx="37">
                  <c:v>0.4237004558706301</c:v>
                </c:pt>
                <c:pt idx="38">
                  <c:v>0.42124160638990238</c:v>
                </c:pt>
                <c:pt idx="39">
                  <c:v>0.41896394034163265</c:v>
                </c:pt>
                <c:pt idx="40">
                  <c:v>0.41665506317915713</c:v>
                </c:pt>
                <c:pt idx="41">
                  <c:v>0.41763050235619459</c:v>
                </c:pt>
                <c:pt idx="42">
                  <c:v>0.41865044062267498</c:v>
                </c:pt>
                <c:pt idx="43">
                  <c:v>0.41975290393317</c:v>
                </c:pt>
                <c:pt idx="44">
                  <c:v>0.42098731680845014</c:v>
                </c:pt>
                <c:pt idx="45">
                  <c:v>0.42236533788496167</c:v>
                </c:pt>
                <c:pt idx="46">
                  <c:v>0.4263641724859798</c:v>
                </c:pt>
                <c:pt idx="47">
                  <c:v>0.42861248580170164</c:v>
                </c:pt>
                <c:pt idx="48">
                  <c:v>0.43062211484013102</c:v>
                </c:pt>
                <c:pt idx="49">
                  <c:v>0.43256734345557357</c:v>
                </c:pt>
                <c:pt idx="50">
                  <c:v>0.43441051931889274</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811</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5"/>
  <sheetData>
    <row r="6" spans="1:39">
      <c r="A6" t="s">
        <v>218</v>
      </c>
    </row>
    <row r="7" spans="1:39">
      <c r="A7" s="1165" t="s">
        <v>687</v>
      </c>
      <c r="B7" s="1165" t="s">
        <v>688</v>
      </c>
      <c r="C7" s="1165" t="s">
        <v>689</v>
      </c>
      <c r="D7" s="1165" t="s">
        <v>690</v>
      </c>
      <c r="E7" s="1165" t="s">
        <v>691</v>
      </c>
      <c r="F7" s="1165" t="s">
        <v>692</v>
      </c>
      <c r="G7" s="1165" t="s">
        <v>693</v>
      </c>
      <c r="H7" s="1165" t="s">
        <v>694</v>
      </c>
      <c r="I7" s="1165" t="s">
        <v>695</v>
      </c>
      <c r="J7" s="1165" t="s">
        <v>696</v>
      </c>
      <c r="K7" s="1165" t="s">
        <v>697</v>
      </c>
      <c r="L7" s="1165" t="s">
        <v>698</v>
      </c>
      <c r="M7" s="1165" t="s">
        <v>699</v>
      </c>
      <c r="N7" s="1165" t="s">
        <v>700</v>
      </c>
      <c r="O7" s="1165" t="s">
        <v>701</v>
      </c>
      <c r="P7" s="1165" t="s">
        <v>702</v>
      </c>
      <c r="Q7" s="1165" t="s">
        <v>703</v>
      </c>
      <c r="R7" s="1165" t="s">
        <v>704</v>
      </c>
      <c r="S7" s="1165" t="s">
        <v>705</v>
      </c>
      <c r="T7" s="1165" t="s">
        <v>706</v>
      </c>
      <c r="U7" s="1165" t="s">
        <v>707</v>
      </c>
      <c r="V7" s="1165" t="s">
        <v>708</v>
      </c>
      <c r="W7" s="1165" t="s">
        <v>709</v>
      </c>
      <c r="X7" s="1165" t="s">
        <v>710</v>
      </c>
      <c r="Y7" s="1165" t="s">
        <v>711</v>
      </c>
      <c r="Z7" s="1165" t="s">
        <v>712</v>
      </c>
      <c r="AA7" s="1165" t="s">
        <v>713</v>
      </c>
      <c r="AB7" s="1165" t="s">
        <v>714</v>
      </c>
      <c r="AC7" s="1165" t="s">
        <v>715</v>
      </c>
      <c r="AD7" s="1165" t="s">
        <v>716</v>
      </c>
      <c r="AE7" s="1165" t="s">
        <v>717</v>
      </c>
      <c r="AF7" s="1165" t="s">
        <v>718</v>
      </c>
      <c r="AG7" s="1165"/>
      <c r="AH7" s="1165"/>
      <c r="AI7" s="1165"/>
      <c r="AJ7" s="1165"/>
      <c r="AK7" s="1165"/>
      <c r="AL7" s="1165"/>
      <c r="AM7" s="1165"/>
    </row>
    <row r="8" spans="1:39">
      <c r="A8">
        <v>58364.834921819442</v>
      </c>
      <c r="B8">
        <v>59233.695328537608</v>
      </c>
      <c r="C8">
        <v>60170.135702880638</v>
      </c>
      <c r="D8">
        <v>61141.664651048479</v>
      </c>
      <c r="E8">
        <v>62126.086164056695</v>
      </c>
      <c r="F8">
        <v>63126.357518916688</v>
      </c>
      <c r="G8">
        <v>64142.733908636139</v>
      </c>
      <c r="H8">
        <v>65115.73026470167</v>
      </c>
      <c r="I8">
        <v>66042.835586617308</v>
      </c>
      <c r="J8">
        <v>66921.626677758162</v>
      </c>
      <c r="K8">
        <v>67749.778587208697</v>
      </c>
      <c r="L8">
        <v>68525.074762177479</v>
      </c>
      <c r="M8">
        <v>69286.388472916427</v>
      </c>
      <c r="N8">
        <v>70033.051881823092</v>
      </c>
      <c r="O8">
        <v>70764.404167450688</v>
      </c>
      <c r="P8">
        <v>71479.792486390259</v>
      </c>
      <c r="Q8">
        <v>72178.572932855866</v>
      </c>
      <c r="R8">
        <v>72865.243718484664</v>
      </c>
      <c r="S8">
        <v>73539.326072165728</v>
      </c>
      <c r="T8">
        <v>74200.346452615137</v>
      </c>
      <c r="U8">
        <v>74847.837096563293</v>
      </c>
      <c r="V8">
        <v>75481.33656472007</v>
      </c>
      <c r="W8">
        <v>76101.885632753023</v>
      </c>
      <c r="X8">
        <v>76709.073592680114</v>
      </c>
      <c r="Y8">
        <v>77302.495984815265</v>
      </c>
      <c r="Z8">
        <v>77881.755043150377</v>
      </c>
      <c r="AA8">
        <v>78446.460136387468</v>
      </c>
      <c r="AB8">
        <v>78997.842335977519</v>
      </c>
      <c r="AC8">
        <v>79535.560193629761</v>
      </c>
      <c r="AD8">
        <v>80059.278886956381</v>
      </c>
      <c r="AE8">
        <v>80568.670564877786</v>
      </c>
      <c r="AF8">
        <v>81063.414687793367</v>
      </c>
    </row>
    <row r="14" spans="1:39">
      <c r="A14" t="s">
        <v>390</v>
      </c>
    </row>
    <row r="15" spans="1:39">
      <c r="A15" s="1165" t="s">
        <v>687</v>
      </c>
      <c r="B15" s="1165" t="s">
        <v>688</v>
      </c>
      <c r="C15" s="1165" t="s">
        <v>689</v>
      </c>
      <c r="D15" s="1165" t="s">
        <v>690</v>
      </c>
      <c r="E15" s="1165" t="s">
        <v>691</v>
      </c>
      <c r="F15" s="1165" t="s">
        <v>692</v>
      </c>
      <c r="G15" s="1165" t="s">
        <v>693</v>
      </c>
      <c r="H15" s="1165" t="s">
        <v>694</v>
      </c>
      <c r="I15" s="1165" t="s">
        <v>695</v>
      </c>
      <c r="J15" s="1165" t="s">
        <v>696</v>
      </c>
      <c r="K15" s="1165" t="s">
        <v>697</v>
      </c>
      <c r="L15" s="1165" t="s">
        <v>698</v>
      </c>
      <c r="M15" s="1165" t="s">
        <v>699</v>
      </c>
      <c r="N15" s="1165" t="s">
        <v>700</v>
      </c>
      <c r="O15" s="1165" t="s">
        <v>701</v>
      </c>
      <c r="P15" s="1165" t="s">
        <v>702</v>
      </c>
      <c r="Q15" s="1165" t="s">
        <v>703</v>
      </c>
      <c r="R15" s="1165" t="s">
        <v>704</v>
      </c>
      <c r="S15" s="1165" t="s">
        <v>705</v>
      </c>
      <c r="T15" s="1165" t="s">
        <v>706</v>
      </c>
      <c r="U15" s="1165" t="s">
        <v>707</v>
      </c>
      <c r="V15" s="1165" t="s">
        <v>708</v>
      </c>
      <c r="W15" s="1165" t="s">
        <v>709</v>
      </c>
      <c r="X15" s="1165" t="s">
        <v>710</v>
      </c>
      <c r="Y15" s="1165" t="s">
        <v>711</v>
      </c>
      <c r="Z15" s="1165" t="s">
        <v>712</v>
      </c>
      <c r="AA15" s="1165" t="s">
        <v>713</v>
      </c>
      <c r="AB15" s="1165" t="s">
        <v>714</v>
      </c>
      <c r="AC15" s="1165" t="s">
        <v>715</v>
      </c>
      <c r="AD15" s="1165" t="s">
        <v>716</v>
      </c>
      <c r="AE15" s="1165" t="s">
        <v>717</v>
      </c>
      <c r="AF15" s="1165" t="s">
        <v>718</v>
      </c>
      <c r="AG15" s="1165"/>
      <c r="AH15" s="1165"/>
      <c r="AI15" s="1165"/>
      <c r="AJ15" s="1165"/>
      <c r="AK15" s="1165"/>
      <c r="AL15" s="1165"/>
      <c r="AM15" s="1165"/>
    </row>
    <row r="16" spans="1:39">
      <c r="A16">
        <v>4436.7699999999986</v>
      </c>
      <c r="B16">
        <v>4157.24</v>
      </c>
      <c r="C16">
        <v>4296.6100000000006</v>
      </c>
      <c r="D16">
        <v>4408.5100000000011</v>
      </c>
      <c r="E16">
        <v>4511.7199999999984</v>
      </c>
      <c r="F16">
        <v>4622.4800000000005</v>
      </c>
      <c r="G16">
        <v>4727.3100000000004</v>
      </c>
      <c r="H16">
        <v>4818.42</v>
      </c>
      <c r="I16">
        <v>4908.8799999999992</v>
      </c>
      <c r="J16">
        <v>5001.3400000000011</v>
      </c>
      <c r="K16">
        <v>5124.16</v>
      </c>
      <c r="L16">
        <v>5234.6499999999996</v>
      </c>
      <c r="M16">
        <v>5365.4400000000005</v>
      </c>
      <c r="N16">
        <v>5502.3</v>
      </c>
      <c r="O16">
        <v>5663.260000000002</v>
      </c>
      <c r="P16">
        <v>5838.79</v>
      </c>
      <c r="Q16">
        <v>5978.8699999999981</v>
      </c>
      <c r="R16">
        <v>6119.1299999999983</v>
      </c>
      <c r="S16">
        <v>6283.2400000000007</v>
      </c>
      <c r="T16">
        <v>6443.4999999999982</v>
      </c>
      <c r="U16">
        <v>6615.260000000002</v>
      </c>
      <c r="V16">
        <v>6787.6000000000013</v>
      </c>
      <c r="W16">
        <v>6981.3799999999992</v>
      </c>
      <c r="X16">
        <v>7178.2100000000019</v>
      </c>
      <c r="Y16">
        <v>7380.12</v>
      </c>
      <c r="Z16">
        <v>7589.87</v>
      </c>
      <c r="AA16">
        <v>7808.4800000000005</v>
      </c>
      <c r="AB16">
        <v>8042.25</v>
      </c>
      <c r="AC16">
        <v>8187.4100000000008</v>
      </c>
      <c r="AD16">
        <v>8322.6399999999976</v>
      </c>
      <c r="AE16">
        <v>8457.3799999999992</v>
      </c>
      <c r="AF16">
        <v>8589.119999999999</v>
      </c>
    </row>
    <row r="23" spans="1:39">
      <c r="A23" t="s">
        <v>685</v>
      </c>
    </row>
    <row r="24" spans="1:39">
      <c r="A24" s="1165" t="s">
        <v>687</v>
      </c>
      <c r="B24" s="1165" t="s">
        <v>688</v>
      </c>
      <c r="C24" s="1165" t="s">
        <v>689</v>
      </c>
      <c r="D24" s="1165" t="s">
        <v>690</v>
      </c>
      <c r="E24" s="1165" t="s">
        <v>691</v>
      </c>
      <c r="F24" s="1165" t="s">
        <v>692</v>
      </c>
      <c r="G24" s="1165" t="s">
        <v>693</v>
      </c>
      <c r="H24" s="1165" t="s">
        <v>694</v>
      </c>
      <c r="I24" s="1165" t="s">
        <v>695</v>
      </c>
      <c r="J24" s="1165" t="s">
        <v>696</v>
      </c>
      <c r="K24" s="1165" t="s">
        <v>697</v>
      </c>
      <c r="L24" s="1165" t="s">
        <v>698</v>
      </c>
      <c r="M24" s="1165" t="s">
        <v>699</v>
      </c>
      <c r="N24" s="1165" t="s">
        <v>700</v>
      </c>
      <c r="O24" s="1165" t="s">
        <v>701</v>
      </c>
      <c r="P24" s="1165" t="s">
        <v>702</v>
      </c>
      <c r="Q24" s="1165" t="s">
        <v>703</v>
      </c>
      <c r="R24" s="1165" t="s">
        <v>704</v>
      </c>
      <c r="S24" s="1165" t="s">
        <v>705</v>
      </c>
      <c r="T24" s="1165" t="s">
        <v>706</v>
      </c>
      <c r="U24" s="1165" t="s">
        <v>707</v>
      </c>
      <c r="V24" s="1165" t="s">
        <v>708</v>
      </c>
      <c r="W24" s="1165" t="s">
        <v>709</v>
      </c>
      <c r="X24" s="1165" t="s">
        <v>710</v>
      </c>
      <c r="Y24" s="1165" t="s">
        <v>711</v>
      </c>
      <c r="Z24" s="1165" t="s">
        <v>712</v>
      </c>
      <c r="AA24" s="1165" t="s">
        <v>713</v>
      </c>
      <c r="AB24" s="1165" t="s">
        <v>714</v>
      </c>
      <c r="AC24" s="1165" t="s">
        <v>715</v>
      </c>
      <c r="AD24" s="1165" t="s">
        <v>716</v>
      </c>
      <c r="AE24" s="1165" t="s">
        <v>717</v>
      </c>
      <c r="AF24" s="1165" t="s">
        <v>718</v>
      </c>
      <c r="AG24" s="1165"/>
      <c r="AH24" s="1165"/>
      <c r="AI24" s="1165"/>
      <c r="AJ24" s="1165"/>
      <c r="AK24" s="1165"/>
      <c r="AL24" s="1165"/>
      <c r="AM24" s="1165"/>
    </row>
    <row r="25" spans="1:39">
      <c r="A25">
        <v>3080.976465348328</v>
      </c>
      <c r="B25">
        <v>2953.2238456183277</v>
      </c>
      <c r="C25">
        <v>2922.8340544446719</v>
      </c>
      <c r="D25">
        <v>2902.0805542381477</v>
      </c>
      <c r="E25">
        <v>2809.2101518515615</v>
      </c>
      <c r="F25">
        <v>2702.7150116750149</v>
      </c>
      <c r="G25">
        <v>2412.2197981585205</v>
      </c>
      <c r="H25">
        <v>2175.8498508051921</v>
      </c>
      <c r="I25">
        <v>2018.0731019140421</v>
      </c>
      <c r="J25">
        <v>1895.7547930109095</v>
      </c>
      <c r="K25">
        <v>1843.2811849404443</v>
      </c>
      <c r="L25">
        <v>1716.3458799071191</v>
      </c>
      <c r="M25">
        <v>1658.6506783792668</v>
      </c>
      <c r="N25">
        <v>1612.8272305143998</v>
      </c>
      <c r="O25">
        <v>1670.5571652871995</v>
      </c>
      <c r="P25">
        <v>1756.368625745336</v>
      </c>
      <c r="Q25">
        <v>1342.3345863753113</v>
      </c>
      <c r="R25">
        <v>968.94906832082984</v>
      </c>
      <c r="S25">
        <v>1010.9102936565353</v>
      </c>
      <c r="T25">
        <v>842.25459199731904</v>
      </c>
      <c r="U25">
        <v>673.59889033810293</v>
      </c>
      <c r="V25">
        <v>504.94318867888666</v>
      </c>
      <c r="W25">
        <v>417.76056708833045</v>
      </c>
      <c r="X25">
        <v>330.57794549777429</v>
      </c>
      <c r="Y25">
        <v>243.39532390721817</v>
      </c>
      <c r="Z25">
        <v>156.21270231666202</v>
      </c>
      <c r="AA25">
        <v>69.030080726105908</v>
      </c>
      <c r="AB25">
        <v>57.671164091401252</v>
      </c>
      <c r="AC25">
        <v>46.312247456696596</v>
      </c>
      <c r="AD25">
        <v>34.953330821991941</v>
      </c>
      <c r="AE25">
        <v>23.594414187287281</v>
      </c>
      <c r="AF25">
        <v>12.235497552582627</v>
      </c>
    </row>
    <row r="40" spans="1:5">
      <c r="A40" s="1165" t="s">
        <v>812</v>
      </c>
      <c r="B40" s="1165" t="s">
        <v>813</v>
      </c>
      <c r="C40" s="1165" t="s">
        <v>814</v>
      </c>
      <c r="D40" s="1165" t="s">
        <v>815</v>
      </c>
      <c r="E40" s="1165" t="s">
        <v>819</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5"/>
  <cols>
    <col min="1" max="1" width="37.7109375" bestFit="1" customWidth="1"/>
  </cols>
  <sheetData>
    <row r="1" spans="1:45">
      <c r="A1" t="s">
        <v>671</v>
      </c>
      <c r="B1" s="1164">
        <f>Drivers!D41</f>
        <v>1</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17484.583709938099</v>
      </c>
      <c r="AR3">
        <v>16842.875377232984</v>
      </c>
      <c r="AS3" s="1694">
        <f ca="1">AQ3/AR3</f>
        <v>1.038099690126101</v>
      </c>
    </row>
    <row r="4" spans="1:45">
      <c r="H4">
        <v>3</v>
      </c>
      <c r="I4">
        <f>I3-I2+I3</f>
        <v>137</v>
      </c>
      <c r="J4" t="str">
        <f t="shared" si="0"/>
        <v>W4BCH4</v>
      </c>
      <c r="K4" t="s">
        <v>678</v>
      </c>
      <c r="L4" t="s">
        <v>188</v>
      </c>
      <c r="M4">
        <v>2</v>
      </c>
      <c r="N4">
        <v>2</v>
      </c>
      <c r="AM4" s="10" t="s">
        <v>674</v>
      </c>
      <c r="AN4" t="s">
        <v>679</v>
      </c>
      <c r="AO4" t="s">
        <v>190</v>
      </c>
      <c r="AP4">
        <v>1</v>
      </c>
      <c r="AQ4">
        <f ca="1">AP4*AA16</f>
        <v>16.375581296598956</v>
      </c>
    </row>
    <row r="5" spans="1:45">
      <c r="J5" t="str">
        <f t="shared" si="0"/>
        <v>W4C2CH4</v>
      </c>
      <c r="K5" t="s">
        <v>679</v>
      </c>
      <c r="L5" t="s">
        <v>188</v>
      </c>
      <c r="M5">
        <v>6</v>
      </c>
      <c r="N5">
        <v>1</v>
      </c>
      <c r="AM5" s="10" t="s">
        <v>673</v>
      </c>
      <c r="AN5" t="s">
        <v>677</v>
      </c>
      <c r="AO5" t="s">
        <v>188</v>
      </c>
      <c r="AP5">
        <v>21</v>
      </c>
      <c r="AQ5">
        <f t="shared" ref="AQ5:AQ11" ca="1" si="1">AP5*AA17</f>
        <v>10451.053451272361</v>
      </c>
    </row>
    <row r="6" spans="1:45">
      <c r="J6" t="str">
        <f t="shared" si="0"/>
        <v>W4D1CH4</v>
      </c>
      <c r="K6" t="s">
        <v>680</v>
      </c>
      <c r="L6" t="s">
        <v>188</v>
      </c>
      <c r="M6">
        <v>8</v>
      </c>
      <c r="N6">
        <v>1</v>
      </c>
      <c r="AM6" s="10" t="s">
        <v>676</v>
      </c>
      <c r="AN6" t="s">
        <v>678</v>
      </c>
      <c r="AO6" t="s">
        <v>188</v>
      </c>
      <c r="AP6">
        <v>21</v>
      </c>
      <c r="AQ6">
        <f t="shared" ca="1" si="1"/>
        <v>806.81486702954498</v>
      </c>
    </row>
    <row r="7" spans="1:45">
      <c r="J7" t="str">
        <f t="shared" si="0"/>
        <v>W4BN2O</v>
      </c>
      <c r="K7" t="s">
        <v>678</v>
      </c>
      <c r="L7" t="s">
        <v>191</v>
      </c>
      <c r="M7">
        <v>4</v>
      </c>
      <c r="N7">
        <v>1</v>
      </c>
      <c r="AM7" s="10" t="s">
        <v>674</v>
      </c>
      <c r="AN7" t="s">
        <v>679</v>
      </c>
      <c r="AO7" t="s">
        <v>188</v>
      </c>
      <c r="AP7">
        <v>21</v>
      </c>
      <c r="AQ7">
        <f t="shared" ca="1" si="1"/>
        <v>115.70751699744082</v>
      </c>
    </row>
    <row r="8" spans="1:45">
      <c r="J8" t="str">
        <f t="shared" si="0"/>
        <v>W4C2N2O</v>
      </c>
      <c r="K8" t="s">
        <v>679</v>
      </c>
      <c r="L8" t="s">
        <v>191</v>
      </c>
      <c r="M8">
        <v>7</v>
      </c>
      <c r="N8">
        <v>1</v>
      </c>
      <c r="AM8" s="10" t="s">
        <v>675</v>
      </c>
      <c r="AN8" t="s">
        <v>680</v>
      </c>
      <c r="AO8" t="s">
        <v>188</v>
      </c>
      <c r="AP8">
        <v>21</v>
      </c>
      <c r="AQ8">
        <f t="shared" ca="1" si="1"/>
        <v>4243.584144055566</v>
      </c>
    </row>
    <row r="9" spans="1:45">
      <c r="J9" t="str">
        <f t="shared" si="0"/>
        <v>W4D1N2O</v>
      </c>
      <c r="K9" t="s">
        <v>680</v>
      </c>
      <c r="L9" t="s">
        <v>191</v>
      </c>
      <c r="M9">
        <v>9</v>
      </c>
      <c r="N9">
        <v>1</v>
      </c>
      <c r="AM9" s="10" t="s">
        <v>676</v>
      </c>
      <c r="AN9" t="s">
        <v>678</v>
      </c>
      <c r="AO9" t="s">
        <v>191</v>
      </c>
      <c r="AP9">
        <v>310</v>
      </c>
      <c r="AQ9">
        <f t="shared" ca="1" si="1"/>
        <v>699.0725090100716</v>
      </c>
    </row>
    <row r="10" spans="1:45">
      <c r="AM10" s="10" t="s">
        <v>674</v>
      </c>
      <c r="AN10" t="s">
        <v>679</v>
      </c>
      <c r="AO10" t="s">
        <v>191</v>
      </c>
      <c r="AP10">
        <v>310</v>
      </c>
      <c r="AQ10">
        <f t="shared" ca="1" si="1"/>
        <v>23.779124668763995</v>
      </c>
    </row>
    <row r="11" spans="1:45">
      <c r="AM11" s="10" t="s">
        <v>675</v>
      </c>
      <c r="AN11" t="s">
        <v>680</v>
      </c>
      <c r="AO11" t="s">
        <v>191</v>
      </c>
      <c r="AP11">
        <v>310</v>
      </c>
      <c r="AQ11">
        <f t="shared" ca="1" si="1"/>
        <v>1128.1965156077515</v>
      </c>
    </row>
    <row r="15" spans="1:45">
      <c r="B15" s="1165"/>
      <c r="C15" s="1165"/>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s="10" t="s">
        <v>674</v>
      </c>
      <c r="B16" t="s">
        <v>679</v>
      </c>
      <c r="C16" t="s">
        <v>190</v>
      </c>
      <c r="D16" s="1163">
        <f ca="1">SUM(OFFSET('Output data (results)'!$B$10,D$15-2000,INDEX($M$2:$M$9,MATCH($B16&amp;$C16,$J$2:$J$9,0)),1,INDEX($N$2:$N$9,MATCH($B16&amp;$C16,$J$2:$J$9,0))))</f>
        <v>32.155652457135474</v>
      </c>
      <c r="E16" s="1163">
        <f ca="1">SUM(OFFSET('Output data (results)'!$B$10,E$15-2000,INDEX($M$2:$M$9,MATCH($B16&amp;$C16,$J$2:$J$9,0)),1,INDEX($N$2:$N$9,MATCH($B16&amp;$C16,$J$2:$J$9,0))))</f>
        <v>32.638684941922989</v>
      </c>
      <c r="F16" s="1163">
        <f ca="1">SUM(OFFSET('Output data (results)'!$B$10,F$15-2000,INDEX($M$2:$M$9,MATCH($B16&amp;$C16,$J$2:$J$9,0)),1,INDEX($N$2:$N$9,MATCH($B16&amp;$C16,$J$2:$J$9,0))))</f>
        <v>33.044764937208711</v>
      </c>
      <c r="G16" s="1163">
        <f ca="1">SUM(OFFSET('Output data (results)'!$B$10,G$15-2000,INDEX($M$2:$M$9,MATCH($B16&amp;$C16,$J$2:$J$9,0)),1,INDEX($N$2:$N$9,MATCH($B16&amp;$C16,$J$2:$J$9,0))))</f>
        <v>33.370161666347876</v>
      </c>
      <c r="H16" s="1163">
        <f ca="1">SUM(OFFSET('Output data (results)'!$B$10,H$15-2000,INDEX($M$2:$M$9,MATCH($B16&amp;$C16,$J$2:$J$9,0)),1,INDEX($N$2:$N$9,MATCH($B16&amp;$C16,$J$2:$J$9,0))))</f>
        <v>33.610848152350449</v>
      </c>
      <c r="I16" s="1163">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31.203190244355365</v>
      </c>
      <c r="M16" s="561">
        <f ca="1">SUM(OFFSET('Output data (results)'!$B$10,M$15-2000+INDEX($I$2:$I$4,MATCH($B$1,$H$2:$H$4,0)),INDEX($M$2:$M$9,MATCH($B16&amp;$C16,$J$2:$J$9,0)),1,INDEX($N$2:$N$9,MATCH($B16&amp;$C16,$J$2:$J$9,0))))</f>
        <v>30.385711429426816</v>
      </c>
      <c r="N16" s="561">
        <f ca="1">SUM(OFFSET('Output data (results)'!$B$10,N$15-2000+INDEX($I$2:$I$4,MATCH($B$1,$H$2:$H$4,0)),INDEX($M$2:$M$9,MATCH($B16&amp;$C16,$J$2:$J$9,0)),1,INDEX($N$2:$N$9,MATCH($B16&amp;$C16,$J$2:$J$9,0))))</f>
        <v>29.583713575257967</v>
      </c>
      <c r="O16" s="561">
        <f ca="1">SUM(OFFSET('Output data (results)'!$B$10,O$15-2000+INDEX($I$2:$I$4,MATCH($B$1,$H$2:$H$4,0)),INDEX($M$2:$M$9,MATCH($B16&amp;$C16,$J$2:$J$9,0)),1,INDEX($N$2:$N$9,MATCH($B16&amp;$C16,$J$2:$J$9,0))))</f>
        <v>28.797809360586477</v>
      </c>
      <c r="P16" s="561">
        <f ca="1">SUM(OFFSET('Output data (results)'!$B$10,P$15-2000+INDEX($I$2:$I$4,MATCH($B$1,$H$2:$H$4,0)),INDEX($M$2:$M$9,MATCH($B16&amp;$C16,$J$2:$J$9,0)),1,INDEX($N$2:$N$9,MATCH($B16&amp;$C16,$J$2:$J$9,0))))</f>
        <v>28.027372822868667</v>
      </c>
      <c r="Q16" s="561">
        <f ca="1">SUM(OFFSET('Output data (results)'!$B$10,Q$15-2000+INDEX($I$2:$I$4,MATCH($B$1,$H$2:$H$4,0)),INDEX($M$2:$M$9,MATCH($B16&amp;$C16,$J$2:$J$9,0)),1,INDEX($N$2:$N$9,MATCH($B16&amp;$C16,$J$2:$J$9,0))))</f>
        <v>27.271955633067535</v>
      </c>
      <c r="R16" s="561">
        <f ca="1">SUM(OFFSET('Output data (results)'!$B$10,R$15-2000+INDEX($I$2:$I$4,MATCH($B$1,$H$2:$H$4,0)),INDEX($M$2:$M$9,MATCH($B16&amp;$C16,$J$2:$J$9,0)),1,INDEX($N$2:$N$9,MATCH($B16&amp;$C16,$J$2:$J$9,0))))</f>
        <v>26.537699993648094</v>
      </c>
      <c r="S16" s="561">
        <f ca="1">SUM(OFFSET('Output data (results)'!$B$10,S$15-2000+INDEX($I$2:$I$4,MATCH($B$1,$H$2:$H$4,0)),INDEX($M$2:$M$9,MATCH($B16&amp;$C16,$J$2:$J$9,0)),1,INDEX($N$2:$N$9,MATCH($B16&amp;$C16,$J$2:$J$9,0))))</f>
        <v>25.826035037473154</v>
      </c>
      <c r="T16" s="561">
        <f ca="1">SUM(OFFSET('Output data (results)'!$B$10,T$15-2000+INDEX($I$2:$I$4,MATCH($B$1,$H$2:$H$4,0)),INDEX($M$2:$M$9,MATCH($B16&amp;$C16,$J$2:$J$9,0)),1,INDEX($N$2:$N$9,MATCH($B16&amp;$C16,$J$2:$J$9,0))))</f>
        <v>24.38781555446878</v>
      </c>
      <c r="U16" s="561">
        <f ca="1">SUM(OFFSET('Output data (results)'!$B$10,U$15-2000+INDEX($I$2:$I$4,MATCH($B$1,$H$2:$H$4,0)),INDEX($M$2:$M$9,MATCH($B16&amp;$C16,$J$2:$J$9,0)),1,INDEX($N$2:$N$9,MATCH($B16&amp;$C16,$J$2:$J$9,0))))</f>
        <v>23.037469105366707</v>
      </c>
      <c r="V16" s="561">
        <f ca="1">SUM(OFFSET('Output data (results)'!$B$10,V$15-2000+INDEX($I$2:$I$4,MATCH($B$1,$H$2:$H$4,0)),INDEX($M$2:$M$9,MATCH($B16&amp;$C16,$J$2:$J$9,0)),1,INDEX($N$2:$N$9,MATCH($B16&amp;$C16,$J$2:$J$9,0))))</f>
        <v>21.768939793479273</v>
      </c>
      <c r="W16" s="561">
        <f ca="1">SUM(OFFSET('Output data (results)'!$B$10,W$15-2000+INDEX($I$2:$I$4,MATCH($B$1,$H$2:$H$4,0)),INDEX($M$2:$M$9,MATCH($B16&amp;$C16,$J$2:$J$9,0)),1,INDEX($N$2:$N$9,MATCH($B16&amp;$C16,$J$2:$J$9,0))))</f>
        <v>20.672499448251845</v>
      </c>
      <c r="X16" s="561">
        <f ca="1">SUM(OFFSET('Output data (results)'!$B$10,X$15-2000+INDEX($I$2:$I$4,MATCH($B$1,$H$2:$H$4,0)),INDEX($M$2:$M$9,MATCH($B16&amp;$C16,$J$2:$J$9,0)),1,INDEX($N$2:$N$9,MATCH($B16&amp;$C16,$J$2:$J$9,0))))</f>
        <v>19.585490364663187</v>
      </c>
      <c r="Y16" s="561">
        <f ca="1">SUM(OFFSET('Output data (results)'!$B$10,Y$15-2000+INDEX($I$2:$I$4,MATCH($B$1,$H$2:$H$4,0)),INDEX($M$2:$M$9,MATCH($B16&amp;$C16,$J$2:$J$9,0)),1,INDEX($N$2:$N$9,MATCH($B16&amp;$C16,$J$2:$J$9,0))))</f>
        <v>18.507350714618365</v>
      </c>
      <c r="Z16" s="561">
        <f ca="1">SUM(OFFSET('Output data (results)'!$B$10,Z$15-2000+INDEX($I$2:$I$4,MATCH($B$1,$H$2:$H$4,0)),INDEX($M$2:$M$9,MATCH($B16&amp;$C16,$J$2:$J$9,0)),1,INDEX($N$2:$N$9,MATCH($B16&amp;$C16,$J$2:$J$9,0))))</f>
        <v>17.437548905279943</v>
      </c>
      <c r="AA16" s="561">
        <f ca="1">SUM(OFFSET('Output data (results)'!$B$10,AA$15-2000+INDEX($I$2:$I$4,MATCH($B$1,$H$2:$H$4,0)),INDEX($M$2:$M$9,MATCH($B16&amp;$C16,$J$2:$J$9,0)),1,INDEX($N$2:$N$9,MATCH($B16&amp;$C16,$J$2:$J$9,0))))</f>
        <v>16.375581296598956</v>
      </c>
      <c r="AB16" s="561">
        <f ca="1">SUM(OFFSET('Output data (results)'!$B$10,AB$15-2000+INDEX($I$2:$I$4,MATCH($B$1,$H$2:$H$4,0)),INDEX($M$2:$M$9,MATCH($B16&amp;$C16,$J$2:$J$9,0)),1,INDEX($N$2:$N$9,MATCH($B16&amp;$C16,$J$2:$J$9,0))))</f>
        <v>15.320681227072075</v>
      </c>
      <c r="AC16" s="561">
        <f ca="1">SUM(OFFSET('Output data (results)'!$B$10,AC$15-2000+INDEX($I$2:$I$4,MATCH($B$1,$H$2:$H$4,0)),INDEX($M$2:$M$9,MATCH($B16&amp;$C16,$J$2:$J$9,0)),1,INDEX($N$2:$N$9,MATCH($B16&amp;$C16,$J$2:$J$9,0))))</f>
        <v>14.943251303116956</v>
      </c>
      <c r="AD16" s="561">
        <f ca="1">SUM(OFFSET('Output data (results)'!$B$10,AD$15-2000+INDEX($I$2:$I$4,MATCH($B$1,$H$2:$H$4,0)),INDEX($M$2:$M$9,MATCH($B16&amp;$C16,$J$2:$J$9,0)),1,INDEX($N$2:$N$9,MATCH($B16&amp;$C16,$J$2:$J$9,0))))</f>
        <v>14.269194599745768</v>
      </c>
      <c r="AE16" s="561">
        <f ca="1">SUM(OFFSET('Output data (results)'!$B$10,AE$15-2000+INDEX($I$2:$I$4,MATCH($B$1,$H$2:$H$4,0)),INDEX($M$2:$M$9,MATCH($B16&amp;$C16,$J$2:$J$9,0)),1,INDEX($N$2:$N$9,MATCH($B16&amp;$C16,$J$2:$J$9,0))))</f>
        <v>13.599499716545076</v>
      </c>
      <c r="AF16" s="561">
        <f ca="1">SUM(OFFSET('Output data (results)'!$B$10,AF$15-2000+INDEX($I$2:$I$4,MATCH($B$1,$H$2:$H$4,0)),INDEX($M$2:$M$9,MATCH($B16&amp;$C16,$J$2:$J$9,0)),1,INDEX($N$2:$N$9,MATCH($B16&amp;$C16,$J$2:$J$9,0))))</f>
        <v>12.933935645512737</v>
      </c>
      <c r="AG16" s="561">
        <f ca="1">SUM(OFFSET('Output data (results)'!$B$10,AG$15-2000+INDEX($I$2:$I$4,MATCH($B$1,$H$2:$H$4,0)),INDEX($M$2:$M$9,MATCH($B16&amp;$C16,$J$2:$J$9,0)),1,INDEX($N$2:$N$9,MATCH($B16&amp;$C16,$J$2:$J$9,0))))</f>
        <v>12.272220546238646</v>
      </c>
      <c r="AH16" s="561">
        <f ca="1">SUM(OFFSET('Output data (results)'!$B$10,AH$15-2000+INDEX($I$2:$I$4,MATCH($B$1,$H$2:$H$4,0)),INDEX($M$2:$M$9,MATCH($B16&amp;$C16,$J$2:$J$9,0)),1,INDEX($N$2:$N$9,MATCH($B16&amp;$C16,$J$2:$J$9,0))))</f>
        <v>11.614154799229141</v>
      </c>
      <c r="AI16" s="561">
        <f ca="1">SUM(OFFSET('Output data (results)'!$B$10,AI$15-2000+INDEX($I$2:$I$4,MATCH($B$1,$H$2:$H$4,0)),INDEX($M$2:$M$9,MATCH($B16&amp;$C16,$J$2:$J$9,0)),1,INDEX($N$2:$N$9,MATCH($B16&amp;$C16,$J$2:$J$9,0))))</f>
        <v>10.95954713208757</v>
      </c>
      <c r="AJ16" s="561">
        <f ca="1">SUM(OFFSET('Output data (results)'!$B$10,AJ$15-2000+INDEX($I$2:$I$4,MATCH($B$1,$H$2:$H$4,0)),INDEX($M$2:$M$9,MATCH($B16&amp;$C16,$J$2:$J$9,0)),1,INDEX($N$2:$N$9,MATCH($B16&amp;$C16,$J$2:$J$9,0))))</f>
        <v>10.308214090554937</v>
      </c>
      <c r="AK16" s="561">
        <f ca="1">SUM(OFFSET('Output data (results)'!$B$10,AK$15-2000+INDEX($I$2:$I$4,MATCH($B$1,$H$2:$H$4,0)),INDEX($M$2:$M$9,MATCH($B16&amp;$C16,$J$2:$J$9,0)),1,INDEX($N$2:$N$9,MATCH($B16&amp;$C16,$J$2:$J$9,0))))</f>
        <v>9.6599795424753427</v>
      </c>
      <c r="AL16" s="561">
        <f ca="1">SUM(OFFSET('Output data (results)'!$B$10,AL$15-2000+INDEX($I$2:$I$4,MATCH($B$1,$H$2:$H$4,0)),INDEX($M$2:$M$9,MATCH($B16&amp;$C16,$J$2:$J$9,0)),1,INDEX($N$2:$N$9,MATCH($B16&amp;$C16,$J$2:$J$9,0))))</f>
        <v>9.01462966087586</v>
      </c>
      <c r="AM16" s="561">
        <f ca="1">SUM(OFFSET('Output data (results)'!$B$10,AM$15-2000+INDEX($I$2:$I$4,MATCH($B$1,$H$2:$H$4,0)),INDEX($M$2:$M$9,MATCH($B16&amp;$C16,$J$2:$J$9,0)),1,INDEX($N$2:$N$9,MATCH($B16&amp;$C16,$J$2:$J$9,0))))</f>
        <v>8.3720121339471554</v>
      </c>
      <c r="AN16" s="561">
        <f ca="1">SUM(OFFSET('Output data (results)'!$B$10,AN$15-2000+INDEX($I$2:$I$4,MATCH($B$1,$H$2:$H$4,0)),INDEX($M$2:$M$9,MATCH($B16&amp;$C16,$J$2:$J$9,0)),1,INDEX($N$2:$N$9,MATCH($B16&amp;$C16,$J$2:$J$9,0))))</f>
        <v>8.3588974972110091</v>
      </c>
      <c r="AO16" s="561">
        <f ca="1">SUM(OFFSET('Output data (results)'!$B$10,AO$15-2000+INDEX($I$2:$I$4,MATCH($B$1,$H$2:$H$4,0)),INDEX($M$2:$M$9,MATCH($B16&amp;$C16,$J$2:$J$9,0)),1,INDEX($N$2:$N$9,MATCH($B16&amp;$C16,$J$2:$J$9,0))))</f>
        <v>8.3463438013398843</v>
      </c>
      <c r="AP16" s="561">
        <f ca="1">SUM(OFFSET('Output data (results)'!$B$10,AP$15-2000+INDEX($I$2:$I$4,MATCH($B$1,$H$2:$H$4,0)),INDEX($M$2:$M$9,MATCH($B16&amp;$C16,$J$2:$J$9,0)),1,INDEX($N$2:$N$9,MATCH($B16&amp;$C16,$J$2:$J$9,0))))</f>
        <v>8.3343374992814816</v>
      </c>
    </row>
    <row r="17" spans="1:42">
      <c r="A17" s="10" t="s">
        <v>673</v>
      </c>
      <c r="B17" t="s">
        <v>677</v>
      </c>
      <c r="C17" t="s">
        <v>188</v>
      </c>
      <c r="D17" s="1163">
        <f ca="1">SUM(OFFSET('Output data (results)'!$B$10,D$15-2000,INDEX($M$2:$M$9,MATCH($B17&amp;$C17,$J$2:$J$9,0)),1,INDEX($N$2:$N$9,MATCH($B17&amp;$C17,$J$2:$J$9,0))))</f>
        <v>907.20403046494505</v>
      </c>
      <c r="E17" s="1163">
        <f ca="1">SUM(OFFSET('Output data (results)'!$B$10,E$15-2000,INDEX($M$2:$M$9,MATCH($B17&amp;$C17,$J$2:$J$9,0)),1,INDEX($N$2:$N$9,MATCH($B17&amp;$C17,$J$2:$J$9,0))))</f>
        <v>896.16711186314876</v>
      </c>
      <c r="F17" s="1163">
        <f ca="1">SUM(OFFSET('Output data (results)'!$B$10,F$15-2000,INDEX($M$2:$M$9,MATCH($B17&amp;$C17,$J$2:$J$9,0)),1,INDEX($N$2:$N$9,MATCH($B17&amp;$C17,$J$2:$J$9,0))))</f>
        <v>883.64256829584781</v>
      </c>
      <c r="G17" s="1163">
        <f ca="1">SUM(OFFSET('Output data (results)'!$B$10,G$15-2000,INDEX($M$2:$M$9,MATCH($B17&amp;$C17,$J$2:$J$9,0)),1,INDEX($N$2:$N$9,MATCH($B17&amp;$C17,$J$2:$J$9,0))))</f>
        <v>869.71305919348606</v>
      </c>
      <c r="H17" s="1163">
        <f ca="1">SUM(OFFSET('Output data (results)'!$B$10,H$15-2000,INDEX($M$2:$M$9,MATCH($B17&amp;$C17,$J$2:$J$9,0)),1,INDEX($N$2:$N$9,MATCH($B17&amp;$C17,$J$2:$J$9,0))))</f>
        <v>854.47623809287529</v>
      </c>
      <c r="I17" s="1163">
        <f ca="1">SUM(OFFSET('Output data (results)'!$B$10,I$15-2000,INDEX($M$2:$M$9,MATCH($B17&amp;$C17,$J$2:$J$9,0)),1,INDEX($N$2:$N$9,MATCH($B17&amp;$C17,$J$2:$J$9,0))))</f>
        <v>838.02636536804357</v>
      </c>
      <c r="J17" s="561">
        <f ca="1">SUM(OFFSET('Output data (results)'!$B$10,J$15-2000+INDEX($I$2:$I$4,MATCH($B$1,$H$2:$H$4,0)),INDEX($M$2:$M$9,MATCH($B17&amp;$C17,$J$2:$J$9,0)),1,INDEX($N$2:$N$9,MATCH($B17&amp;$C17,$J$2:$J$9,0))))</f>
        <v>820.5169947820342</v>
      </c>
      <c r="K17" s="561">
        <f ca="1">SUM(OFFSET('Output data (results)'!$B$10,K$15-2000+INDEX($I$2:$I$4,MATCH($B$1,$H$2:$H$4,0)),INDEX($M$2:$M$9,MATCH($B17&amp;$C17,$J$2:$J$9,0)),1,INDEX($N$2:$N$9,MATCH($B17&amp;$C17,$J$2:$J$9,0))))</f>
        <v>801.61949135232783</v>
      </c>
      <c r="L17" s="561">
        <f ca="1">SUM(OFFSET('Output data (results)'!$B$10,L$15-2000+INDEX($I$2:$I$4,MATCH($B$1,$H$2:$H$4,0)),INDEX($M$2:$M$9,MATCH($B17&amp;$C17,$J$2:$J$9,0)),1,INDEX($N$2:$N$9,MATCH($B17&amp;$C17,$J$2:$J$9,0))))</f>
        <v>780.96087601033639</v>
      </c>
      <c r="M17" s="561">
        <f ca="1">SUM(OFFSET('Output data (results)'!$B$10,M$15-2000+INDEX($I$2:$I$4,MATCH($B$1,$H$2:$H$4,0)),INDEX($M$2:$M$9,MATCH($B17&amp;$C17,$J$2:$J$9,0)),1,INDEX($N$2:$N$9,MATCH($B17&amp;$C17,$J$2:$J$9,0))))</f>
        <v>760.18620080693688</v>
      </c>
      <c r="N17" s="561">
        <f ca="1">SUM(OFFSET('Output data (results)'!$B$10,N$15-2000+INDEX($I$2:$I$4,MATCH($B$1,$H$2:$H$4,0)),INDEX($M$2:$M$9,MATCH($B17&amp;$C17,$J$2:$J$9,0)),1,INDEX($N$2:$N$9,MATCH($B17&amp;$C17,$J$2:$J$9,0))))</f>
        <v>738.99756115214404</v>
      </c>
      <c r="O17" s="561">
        <f ca="1">SUM(OFFSET('Output data (results)'!$B$10,O$15-2000+INDEX($I$2:$I$4,MATCH($B$1,$H$2:$H$4,0)),INDEX($M$2:$M$9,MATCH($B17&amp;$C17,$J$2:$J$9,0)),1,INDEX($N$2:$N$9,MATCH($B17&amp;$C17,$J$2:$J$9,0))))</f>
        <v>717.49973461652189</v>
      </c>
      <c r="P17" s="561">
        <f ca="1">SUM(OFFSET('Output data (results)'!$B$10,P$15-2000+INDEX($I$2:$I$4,MATCH($B$1,$H$2:$H$4,0)),INDEX($M$2:$M$9,MATCH($B17&amp;$C17,$J$2:$J$9,0)),1,INDEX($N$2:$N$9,MATCH($B17&amp;$C17,$J$2:$J$9,0))))</f>
        <v>696.11997417521229</v>
      </c>
      <c r="Q17" s="561">
        <f ca="1">SUM(OFFSET('Output data (results)'!$B$10,Q$15-2000+INDEX($I$2:$I$4,MATCH($B$1,$H$2:$H$4,0)),INDEX($M$2:$M$9,MATCH($B17&amp;$C17,$J$2:$J$9,0)),1,INDEX($N$2:$N$9,MATCH($B17&amp;$C17,$J$2:$J$9,0))))</f>
        <v>674.99028301524129</v>
      </c>
      <c r="R17" s="561">
        <f ca="1">SUM(OFFSET('Output data (results)'!$B$10,R$15-2000+INDEX($I$2:$I$4,MATCH($B$1,$H$2:$H$4,0)),INDEX($M$2:$M$9,MATCH($B17&amp;$C17,$J$2:$J$9,0)),1,INDEX($N$2:$N$9,MATCH($B17&amp;$C17,$J$2:$J$9,0))))</f>
        <v>654.84883776069364</v>
      </c>
      <c r="S17" s="561">
        <f ca="1">SUM(OFFSET('Output data (results)'!$B$10,S$15-2000+INDEX($I$2:$I$4,MATCH($B$1,$H$2:$H$4,0)),INDEX($M$2:$M$9,MATCH($B17&amp;$C17,$J$2:$J$9,0)),1,INDEX($N$2:$N$9,MATCH($B17&amp;$C17,$J$2:$J$9,0))))</f>
        <v>635.45269869627418</v>
      </c>
      <c r="T17" s="561">
        <f ca="1">SUM(OFFSET('Output data (results)'!$B$10,T$15-2000+INDEX($I$2:$I$4,MATCH($B$1,$H$2:$H$4,0)),INDEX($M$2:$M$9,MATCH($B17&amp;$C17,$J$2:$J$9,0)),1,INDEX($N$2:$N$9,MATCH($B17&amp;$C17,$J$2:$J$9,0))))</f>
        <v>616.51385187297433</v>
      </c>
      <c r="U17" s="561">
        <f ca="1">SUM(OFFSET('Output data (results)'!$B$10,U$15-2000+INDEX($I$2:$I$4,MATCH($B$1,$H$2:$H$4,0)),INDEX($M$2:$M$9,MATCH($B17&amp;$C17,$J$2:$J$9,0)),1,INDEX($N$2:$N$9,MATCH($B17&amp;$C17,$J$2:$J$9,0))))</f>
        <v>598.2314867795194</v>
      </c>
      <c r="V17" s="561">
        <f ca="1">SUM(OFFSET('Output data (results)'!$B$10,V$15-2000+INDEX($I$2:$I$4,MATCH($B$1,$H$2:$H$4,0)),INDEX($M$2:$M$9,MATCH($B17&amp;$C17,$J$2:$J$9,0)),1,INDEX($N$2:$N$9,MATCH($B17&amp;$C17,$J$2:$J$9,0))))</f>
        <v>580.38040011268686</v>
      </c>
      <c r="W17" s="561">
        <f ca="1">SUM(OFFSET('Output data (results)'!$B$10,W$15-2000+INDEX($I$2:$I$4,MATCH($B$1,$H$2:$H$4,0)),INDEX($M$2:$M$9,MATCH($B17&amp;$C17,$J$2:$J$9,0)),1,INDEX($N$2:$N$9,MATCH($B17&amp;$C17,$J$2:$J$9,0))))</f>
        <v>563.21094499552055</v>
      </c>
      <c r="X17" s="561">
        <f ca="1">SUM(OFFSET('Output data (results)'!$B$10,X$15-2000+INDEX($I$2:$I$4,MATCH($B$1,$H$2:$H$4,0)),INDEX($M$2:$M$9,MATCH($B17&amp;$C17,$J$2:$J$9,0)),1,INDEX($N$2:$N$9,MATCH($B17&amp;$C17,$J$2:$J$9,0))))</f>
        <v>546.51210093871998</v>
      </c>
      <c r="Y17" s="561">
        <f ca="1">SUM(OFFSET('Output data (results)'!$B$10,Y$15-2000+INDEX($I$2:$I$4,MATCH($B$1,$H$2:$H$4,0)),INDEX($M$2:$M$9,MATCH($B17&amp;$C17,$J$2:$J$9,0)),1,INDEX($N$2:$N$9,MATCH($B17&amp;$C17,$J$2:$J$9,0))))</f>
        <v>530.22147143071822</v>
      </c>
      <c r="Z17" s="561">
        <f ca="1">SUM(OFFSET('Output data (results)'!$B$10,Z$15-2000+INDEX($I$2:$I$4,MATCH($B$1,$H$2:$H$4,0)),INDEX($M$2:$M$9,MATCH($B17&amp;$C17,$J$2:$J$9,0)),1,INDEX($N$2:$N$9,MATCH($B17&amp;$C17,$J$2:$J$9,0))))</f>
        <v>513.97543572346467</v>
      </c>
      <c r="AA17" s="561">
        <f ca="1">SUM(OFFSET('Output data (results)'!$B$10,AA$15-2000+INDEX($I$2:$I$4,MATCH($B$1,$H$2:$H$4,0)),INDEX($M$2:$M$9,MATCH($B17&amp;$C17,$J$2:$J$9,0)),1,INDEX($N$2:$N$9,MATCH($B17&amp;$C17,$J$2:$J$9,0))))</f>
        <v>497.66921196535048</v>
      </c>
      <c r="AB17" s="561">
        <f ca="1">SUM(OFFSET('Output data (results)'!$B$10,AB$15-2000+INDEX($I$2:$I$4,MATCH($B$1,$H$2:$H$4,0)),INDEX($M$2:$M$9,MATCH($B17&amp;$C17,$J$2:$J$9,0)),1,INDEX($N$2:$N$9,MATCH($B17&amp;$C17,$J$2:$J$9,0))))</f>
        <v>482.99073285710563</v>
      </c>
      <c r="AC17" s="561">
        <f ca="1">SUM(OFFSET('Output data (results)'!$B$10,AC$15-2000+INDEX($I$2:$I$4,MATCH($B$1,$H$2:$H$4,0)),INDEX($M$2:$M$9,MATCH($B17&amp;$C17,$J$2:$J$9,0)),1,INDEX($N$2:$N$9,MATCH($B17&amp;$C17,$J$2:$J$9,0))))</f>
        <v>469.73976842819309</v>
      </c>
      <c r="AD17" s="561">
        <f ca="1">SUM(OFFSET('Output data (results)'!$B$10,AD$15-2000+INDEX($I$2:$I$4,MATCH($B$1,$H$2:$H$4,0)),INDEX($M$2:$M$9,MATCH($B17&amp;$C17,$J$2:$J$9,0)),1,INDEX($N$2:$N$9,MATCH($B17&amp;$C17,$J$2:$J$9,0))))</f>
        <v>456.70709355180628</v>
      </c>
      <c r="AE17" s="561">
        <f ca="1">SUM(OFFSET('Output data (results)'!$B$10,AE$15-2000+INDEX($I$2:$I$4,MATCH($B$1,$H$2:$H$4,0)),INDEX($M$2:$M$9,MATCH($B17&amp;$C17,$J$2:$J$9,0)),1,INDEX($N$2:$N$9,MATCH($B17&amp;$C17,$J$2:$J$9,0))))</f>
        <v>444.48851407752181</v>
      </c>
      <c r="AF17" s="561">
        <f ca="1">SUM(OFFSET('Output data (results)'!$B$10,AF$15-2000+INDEX($I$2:$I$4,MATCH($B$1,$H$2:$H$4,0)),INDEX($M$2:$M$9,MATCH($B17&amp;$C17,$J$2:$J$9,0)),1,INDEX($N$2:$N$9,MATCH($B17&amp;$C17,$J$2:$J$9,0))))</f>
        <v>433.05351756819698</v>
      </c>
      <c r="AG17" s="561">
        <f ca="1">SUM(OFFSET('Output data (results)'!$B$10,AG$15-2000+INDEX($I$2:$I$4,MATCH($B$1,$H$2:$H$4,0)),INDEX($M$2:$M$9,MATCH($B17&amp;$C17,$J$2:$J$9,0)),1,INDEX($N$2:$N$9,MATCH($B17&amp;$C17,$J$2:$J$9,0))))</f>
        <v>422.37098975782499</v>
      </c>
      <c r="AH17" s="561">
        <f ca="1">SUM(OFFSET('Output data (results)'!$B$10,AH$15-2000+INDEX($I$2:$I$4,MATCH($B$1,$H$2:$H$4,0)),INDEX($M$2:$M$9,MATCH($B17&amp;$C17,$J$2:$J$9,0)),1,INDEX($N$2:$N$9,MATCH($B17&amp;$C17,$J$2:$J$9,0))))</f>
        <v>412.00587392095355</v>
      </c>
      <c r="AI17" s="561">
        <f ca="1">SUM(OFFSET('Output data (results)'!$B$10,AI$15-2000+INDEX($I$2:$I$4,MATCH($B$1,$H$2:$H$4,0)),INDEX($M$2:$M$9,MATCH($B17&amp;$C17,$J$2:$J$9,0)),1,INDEX($N$2:$N$9,MATCH($B17&amp;$C17,$J$2:$J$9,0))))</f>
        <v>401.95440692486619</v>
      </c>
      <c r="AJ17" s="561">
        <f ca="1">SUM(OFFSET('Output data (results)'!$B$10,AJ$15-2000+INDEX($I$2:$I$4,MATCH($B$1,$H$2:$H$4,0)),INDEX($M$2:$M$9,MATCH($B17&amp;$C17,$J$2:$J$9,0)),1,INDEX($N$2:$N$9,MATCH($B17&amp;$C17,$J$2:$J$9,0))))</f>
        <v>392.21281808565607</v>
      </c>
      <c r="AK17" s="561">
        <f ca="1">SUM(OFFSET('Output data (results)'!$B$10,AK$15-2000+INDEX($I$2:$I$4,MATCH($B$1,$H$2:$H$4,0)),INDEX($M$2:$M$9,MATCH($B17&amp;$C17,$J$2:$J$9,0)),1,INDEX($N$2:$N$9,MATCH($B17&amp;$C17,$J$2:$J$9,0))))</f>
        <v>382.77736556464885</v>
      </c>
      <c r="AL17" s="561">
        <f ca="1">SUM(OFFSET('Output data (results)'!$B$10,AL$15-2000+INDEX($I$2:$I$4,MATCH($B$1,$H$2:$H$4,0)),INDEX($M$2:$M$9,MATCH($B17&amp;$C17,$J$2:$J$9,0)),1,INDEX($N$2:$N$9,MATCH($B17&amp;$C17,$J$2:$J$9,0))))</f>
        <v>373.64403107809568</v>
      </c>
      <c r="AM17" s="561">
        <f ca="1">SUM(OFFSET('Output data (results)'!$B$10,AM$15-2000+INDEX($I$2:$I$4,MATCH($B$1,$H$2:$H$4,0)),INDEX($M$2:$M$9,MATCH($B17&amp;$C17,$J$2:$J$9,0)),1,INDEX($N$2:$N$9,MATCH($B17&amp;$C17,$J$2:$J$9,0))))</f>
        <v>364.5297667830859</v>
      </c>
      <c r="AN17" s="561">
        <f ca="1">SUM(OFFSET('Output data (results)'!$B$10,AN$15-2000+INDEX($I$2:$I$4,MATCH($B$1,$H$2:$H$4,0)),INDEX($M$2:$M$9,MATCH($B17&amp;$C17,$J$2:$J$9,0)),1,INDEX($N$2:$N$9,MATCH($B17&amp;$C17,$J$2:$J$9,0))))</f>
        <v>355.42882249471086</v>
      </c>
      <c r="AO17" s="561">
        <f ca="1">SUM(OFFSET('Output data (results)'!$B$10,AO$15-2000+INDEX($I$2:$I$4,MATCH($B$1,$H$2:$H$4,0)),INDEX($M$2:$M$9,MATCH($B17&amp;$C17,$J$2:$J$9,0)),1,INDEX($N$2:$N$9,MATCH($B17&amp;$C17,$J$2:$J$9,0))))</f>
        <v>346.63250756732691</v>
      </c>
      <c r="AP17" s="561">
        <f ca="1">SUM(OFFSET('Output data (results)'!$B$10,AP$15-2000+INDEX($I$2:$I$4,MATCH($B$1,$H$2:$H$4,0)),INDEX($M$2:$M$9,MATCH($B17&amp;$C17,$J$2:$J$9,0)),1,INDEX($N$2:$N$9,MATCH($B17&amp;$C17,$J$2:$J$9,0))))</f>
        <v>338.13676990847972</v>
      </c>
    </row>
    <row r="18" spans="1:42">
      <c r="A18" s="10" t="s">
        <v>676</v>
      </c>
      <c r="B18" t="s">
        <v>678</v>
      </c>
      <c r="C18" t="s">
        <v>188</v>
      </c>
      <c r="D18" s="1163">
        <f ca="1">SUM(OFFSET('Output data (results)'!$B$10,D$15-2000,INDEX($M$2:$M$9,MATCH($B18&amp;$C18,$J$2:$J$9,0)),1,INDEX($N$2:$N$9,MATCH($B18&amp;$C18,$J$2:$J$9,0))))</f>
        <v>13.700025909920411</v>
      </c>
      <c r="E18" s="1163">
        <f ca="1">SUM(OFFSET('Output data (results)'!$B$10,E$15-2000,INDEX($M$2:$M$9,MATCH($B18&amp;$C18,$J$2:$J$9,0)),1,INDEX($N$2:$N$9,MATCH($B18&amp;$C18,$J$2:$J$9,0))))</f>
        <v>14.982553884448116</v>
      </c>
      <c r="F18" s="1163">
        <f ca="1">SUM(OFFSET('Output data (results)'!$B$10,F$15-2000,INDEX($M$2:$M$9,MATCH($B18&amp;$C18,$J$2:$J$9,0)),1,INDEX($N$2:$N$9,MATCH($B18&amp;$C18,$J$2:$J$9,0))))</f>
        <v>16.152577730562747</v>
      </c>
      <c r="G18" s="1163">
        <f ca="1">SUM(OFFSET('Output data (results)'!$B$10,G$15-2000,INDEX($M$2:$M$9,MATCH($B18&amp;$C18,$J$2:$J$9,0)),1,INDEX($N$2:$N$9,MATCH($B18&amp;$C18,$J$2:$J$9,0))))</f>
        <v>17.222425195133638</v>
      </c>
      <c r="H18" s="1163">
        <f ca="1">SUM(OFFSET('Output data (results)'!$B$10,H$15-2000,INDEX($M$2:$M$9,MATCH($B18&amp;$C18,$J$2:$J$9,0)),1,INDEX($N$2:$N$9,MATCH($B18&amp;$C18,$J$2:$J$9,0))))</f>
        <v>18.188205756638162</v>
      </c>
      <c r="I18" s="1163">
        <f ca="1">SUM(OFFSET('Output data (results)'!$B$10,I$15-2000,INDEX($M$2:$M$9,MATCH($B18&amp;$C18,$J$2:$J$9,0)),1,INDEX($N$2:$N$9,MATCH($B18&amp;$C18,$J$2:$J$9,0))))</f>
        <v>19.101301929478819</v>
      </c>
      <c r="J18" s="561">
        <f ca="1">SUM(OFFSET('Output data (results)'!$B$10,J$15-2000+INDEX($I$2:$I$4,MATCH($B$1,$H$2:$H$4,0)),INDEX($M$2:$M$9,MATCH($B18&amp;$C18,$J$2:$J$9,0)),1,INDEX($N$2:$N$9,MATCH($B18&amp;$C18,$J$2:$J$9,0))))</f>
        <v>20.705334688035602</v>
      </c>
      <c r="K18" s="561">
        <f ca="1">SUM(OFFSET('Output data (results)'!$B$10,K$15-2000+INDEX($I$2:$I$4,MATCH($B$1,$H$2:$H$4,0)),INDEX($M$2:$M$9,MATCH($B18&amp;$C18,$J$2:$J$9,0)),1,INDEX($N$2:$N$9,MATCH($B18&amp;$C18,$J$2:$J$9,0))))</f>
        <v>24.575247159827704</v>
      </c>
      <c r="L18" s="561">
        <f ca="1">SUM(OFFSET('Output data (results)'!$B$10,L$15-2000+INDEX($I$2:$I$4,MATCH($B$1,$H$2:$H$4,0)),INDEX($M$2:$M$9,MATCH($B18&amp;$C18,$J$2:$J$9,0)),1,INDEX($N$2:$N$9,MATCH($B18&amp;$C18,$J$2:$J$9,0))))</f>
        <v>25.300077335171402</v>
      </c>
      <c r="M18" s="561">
        <f ca="1">SUM(OFFSET('Output data (results)'!$B$10,M$15-2000+INDEX($I$2:$I$4,MATCH($B$1,$H$2:$H$4,0)),INDEX($M$2:$M$9,MATCH($B18&amp;$C18,$J$2:$J$9,0)),1,INDEX($N$2:$N$9,MATCH($B18&amp;$C18,$J$2:$J$9,0))))</f>
        <v>26.843599415579973</v>
      </c>
      <c r="N18" s="561">
        <f ca="1">SUM(OFFSET('Output data (results)'!$B$10,N$15-2000+INDEX($I$2:$I$4,MATCH($B$1,$H$2:$H$4,0)),INDEX($M$2:$M$9,MATCH($B18&amp;$C18,$J$2:$J$9,0)),1,INDEX($N$2:$N$9,MATCH($B18&amp;$C18,$J$2:$J$9,0))))</f>
        <v>28.312747108659448</v>
      </c>
      <c r="O18" s="561">
        <f ca="1">SUM(OFFSET('Output data (results)'!$B$10,O$15-2000+INDEX($I$2:$I$4,MATCH($B$1,$H$2:$H$4,0)),INDEX($M$2:$M$9,MATCH($B18&amp;$C18,$J$2:$J$9,0)),1,INDEX($N$2:$N$9,MATCH($B18&amp;$C18,$J$2:$J$9,0))))</f>
        <v>29.912270663298141</v>
      </c>
      <c r="P18" s="561">
        <f ca="1">SUM(OFFSET('Output data (results)'!$B$10,P$15-2000+INDEX($I$2:$I$4,MATCH($B$1,$H$2:$H$4,0)),INDEX($M$2:$M$9,MATCH($B18&amp;$C18,$J$2:$J$9,0)),1,INDEX($N$2:$N$9,MATCH($B18&amp;$C18,$J$2:$J$9,0))))</f>
        <v>31.526899736917898</v>
      </c>
      <c r="Q18" s="561">
        <f ca="1">SUM(OFFSET('Output data (results)'!$B$10,Q$15-2000+INDEX($I$2:$I$4,MATCH($B$1,$H$2:$H$4,0)),INDEX($M$2:$M$9,MATCH($B18&amp;$C18,$J$2:$J$9,0)),1,INDEX($N$2:$N$9,MATCH($B18&amp;$C18,$J$2:$J$9,0))))</f>
        <v>33.129664475761814</v>
      </c>
      <c r="R18" s="561">
        <f ca="1">SUM(OFFSET('Output data (results)'!$B$10,R$15-2000+INDEX($I$2:$I$4,MATCH($B$1,$H$2:$H$4,0)),INDEX($M$2:$M$9,MATCH($B18&amp;$C18,$J$2:$J$9,0)),1,INDEX($N$2:$N$9,MATCH($B18&amp;$C18,$J$2:$J$9,0))))</f>
        <v>34.704979185410991</v>
      </c>
      <c r="S18" s="561">
        <f ca="1">SUM(OFFSET('Output data (results)'!$B$10,S$15-2000+INDEX($I$2:$I$4,MATCH($B$1,$H$2:$H$4,0)),INDEX($M$2:$M$9,MATCH($B18&amp;$C18,$J$2:$J$9,0)),1,INDEX($N$2:$N$9,MATCH($B18&amp;$C18,$J$2:$J$9,0))))</f>
        <v>36.278993419916119</v>
      </c>
      <c r="T18" s="561">
        <f ca="1">SUM(OFFSET('Output data (results)'!$B$10,T$15-2000+INDEX($I$2:$I$4,MATCH($B$1,$H$2:$H$4,0)),INDEX($M$2:$M$9,MATCH($B18&amp;$C18,$J$2:$J$9,0)),1,INDEX($N$2:$N$9,MATCH($B18&amp;$C18,$J$2:$J$9,0))))</f>
        <v>36.463981007331817</v>
      </c>
      <c r="U18" s="561">
        <f ca="1">SUM(OFFSET('Output data (results)'!$B$10,U$15-2000+INDEX($I$2:$I$4,MATCH($B$1,$H$2:$H$4,0)),INDEX($M$2:$M$9,MATCH($B18&amp;$C18,$J$2:$J$9,0)),1,INDEX($N$2:$N$9,MATCH($B18&amp;$C18,$J$2:$J$9,0))))</f>
        <v>36.709710787630286</v>
      </c>
      <c r="V18" s="561">
        <f ca="1">SUM(OFFSET('Output data (results)'!$B$10,V$15-2000+INDEX($I$2:$I$4,MATCH($B$1,$H$2:$H$4,0)),INDEX($M$2:$M$9,MATCH($B18&amp;$C18,$J$2:$J$9,0)),1,INDEX($N$2:$N$9,MATCH($B18&amp;$C18,$J$2:$J$9,0))))</f>
        <v>36.930771554811344</v>
      </c>
      <c r="W18" s="561">
        <f ca="1">SUM(OFFSET('Output data (results)'!$B$10,W$15-2000+INDEX($I$2:$I$4,MATCH($B$1,$H$2:$H$4,0)),INDEX($M$2:$M$9,MATCH($B18&amp;$C18,$J$2:$J$9,0)),1,INDEX($N$2:$N$9,MATCH($B18&amp;$C18,$J$2:$J$9,0))))</f>
        <v>37.192447161107026</v>
      </c>
      <c r="X18" s="561">
        <f ca="1">SUM(OFFSET('Output data (results)'!$B$10,X$15-2000+INDEX($I$2:$I$4,MATCH($B$1,$H$2:$H$4,0)),INDEX($M$2:$M$9,MATCH($B18&amp;$C18,$J$2:$J$9,0)),1,INDEX($N$2:$N$9,MATCH($B18&amp;$C18,$J$2:$J$9,0))))</f>
        <v>37.466267204517294</v>
      </c>
      <c r="Y18" s="561">
        <f ca="1">SUM(OFFSET('Output data (results)'!$B$10,Y$15-2000+INDEX($I$2:$I$4,MATCH($B$1,$H$2:$H$4,0)),INDEX($M$2:$M$9,MATCH($B18&amp;$C18,$J$2:$J$9,0)),1,INDEX($N$2:$N$9,MATCH($B18&amp;$C18,$J$2:$J$9,0))))</f>
        <v>37.788304864807486</v>
      </c>
      <c r="Z18" s="561">
        <f ca="1">SUM(OFFSET('Output data (results)'!$B$10,Z$15-2000+INDEX($I$2:$I$4,MATCH($B$1,$H$2:$H$4,0)),INDEX($M$2:$M$9,MATCH($B18&amp;$C18,$J$2:$J$9,0)),1,INDEX($N$2:$N$9,MATCH($B18&amp;$C18,$J$2:$J$9,0))))</f>
        <v>38.139493175634627</v>
      </c>
      <c r="AA18" s="561">
        <f ca="1">SUM(OFFSET('Output data (results)'!$B$10,AA$15-2000+INDEX($I$2:$I$4,MATCH($B$1,$H$2:$H$4,0)),INDEX($M$2:$M$9,MATCH($B18&amp;$C18,$J$2:$J$9,0)),1,INDEX($N$2:$N$9,MATCH($B18&amp;$C18,$J$2:$J$9,0))))</f>
        <v>38.419755572835477</v>
      </c>
      <c r="AB18" s="561">
        <f ca="1">SUM(OFFSET('Output data (results)'!$B$10,AB$15-2000+INDEX($I$2:$I$4,MATCH($B$1,$H$2:$H$4,0)),INDEX($M$2:$M$9,MATCH($B18&amp;$C18,$J$2:$J$9,0)),1,INDEX($N$2:$N$9,MATCH($B18&amp;$C18,$J$2:$J$9,0))))</f>
        <v>38.700378101614689</v>
      </c>
      <c r="AC18" s="561">
        <f ca="1">SUM(OFFSET('Output data (results)'!$B$10,AC$15-2000+INDEX($I$2:$I$4,MATCH($B$1,$H$2:$H$4,0)),INDEX($M$2:$M$9,MATCH($B18&amp;$C18,$J$2:$J$9,0)),1,INDEX($N$2:$N$9,MATCH($B18&amp;$C18,$J$2:$J$9,0))))</f>
        <v>39.028718064526117</v>
      </c>
      <c r="AD18" s="561">
        <f ca="1">SUM(OFFSET('Output data (results)'!$B$10,AD$15-2000+INDEX($I$2:$I$4,MATCH($B$1,$H$2:$H$4,0)),INDEX($M$2:$M$9,MATCH($B18&amp;$C18,$J$2:$J$9,0)),1,INDEX($N$2:$N$9,MATCH($B18&amp;$C18,$J$2:$J$9,0))))</f>
        <v>39.349355213122692</v>
      </c>
      <c r="AE18" s="561">
        <f ca="1">SUM(OFFSET('Output data (results)'!$B$10,AE$15-2000+INDEX($I$2:$I$4,MATCH($B$1,$H$2:$H$4,0)),INDEX($M$2:$M$9,MATCH($B18&amp;$C18,$J$2:$J$9,0)),1,INDEX($N$2:$N$9,MATCH($B18&amp;$C18,$J$2:$J$9,0))))</f>
        <v>39.693000768114281</v>
      </c>
      <c r="AF18" s="561">
        <f ca="1">SUM(OFFSET('Output data (results)'!$B$10,AF$15-2000+INDEX($I$2:$I$4,MATCH($B$1,$H$2:$H$4,0)),INDEX($M$2:$M$9,MATCH($B18&amp;$C18,$J$2:$J$9,0)),1,INDEX($N$2:$N$9,MATCH($B18&amp;$C18,$J$2:$J$9,0))))</f>
        <v>40.037806747080545</v>
      </c>
      <c r="AG18" s="561">
        <f ca="1">SUM(OFFSET('Output data (results)'!$B$10,AG$15-2000+INDEX($I$2:$I$4,MATCH($B$1,$H$2:$H$4,0)),INDEX($M$2:$M$9,MATCH($B18&amp;$C18,$J$2:$J$9,0)),1,INDEX($N$2:$N$9,MATCH($B18&amp;$C18,$J$2:$J$9,0))))</f>
        <v>40.42550839849104</v>
      </c>
      <c r="AH18" s="561">
        <f ca="1">SUM(OFFSET('Output data (results)'!$B$10,AH$15-2000+INDEX($I$2:$I$4,MATCH($B$1,$H$2:$H$4,0)),INDEX($M$2:$M$9,MATCH($B18&amp;$C18,$J$2:$J$9,0)),1,INDEX($N$2:$N$9,MATCH($B18&amp;$C18,$J$2:$J$9,0))))</f>
        <v>40.819312279423684</v>
      </c>
      <c r="AI18" s="561">
        <f ca="1">SUM(OFFSET('Output data (results)'!$B$10,AI$15-2000+INDEX($I$2:$I$4,MATCH($B$1,$H$2:$H$4,0)),INDEX($M$2:$M$9,MATCH($B18&amp;$C18,$J$2:$J$9,0)),1,INDEX($N$2:$N$9,MATCH($B18&amp;$C18,$J$2:$J$9,0))))</f>
        <v>41.223279873789934</v>
      </c>
      <c r="AJ18" s="561">
        <f ca="1">SUM(OFFSET('Output data (results)'!$B$10,AJ$15-2000+INDEX($I$2:$I$4,MATCH($B$1,$H$2:$H$4,0)),INDEX($M$2:$M$9,MATCH($B18&amp;$C18,$J$2:$J$9,0)),1,INDEX($N$2:$N$9,MATCH($B18&amp;$C18,$J$2:$J$9,0))))</f>
        <v>41.642933199124606</v>
      </c>
      <c r="AK18" s="561">
        <f ca="1">SUM(OFFSET('Output data (results)'!$B$10,AK$15-2000+INDEX($I$2:$I$4,MATCH($B$1,$H$2:$H$4,0)),INDEX($M$2:$M$9,MATCH($B18&amp;$C18,$J$2:$J$9,0)),1,INDEX($N$2:$N$9,MATCH($B18&amp;$C18,$J$2:$J$9,0))))</f>
        <v>42.080313001038363</v>
      </c>
      <c r="AL18" s="561">
        <f ca="1">SUM(OFFSET('Output data (results)'!$B$10,AL$15-2000+INDEX($I$2:$I$4,MATCH($B$1,$H$2:$H$4,0)),INDEX($M$2:$M$9,MATCH($B18&amp;$C18,$J$2:$J$9,0)),1,INDEX($N$2:$N$9,MATCH($B18&amp;$C18,$J$2:$J$9,0))))</f>
        <v>42.548023884773684</v>
      </c>
      <c r="AM18" s="561">
        <f ca="1">SUM(OFFSET('Output data (results)'!$B$10,AM$15-2000+INDEX($I$2:$I$4,MATCH($B$1,$H$2:$H$4,0)),INDEX($M$2:$M$9,MATCH($B18&amp;$C18,$J$2:$J$9,0)),1,INDEX($N$2:$N$9,MATCH($B18&amp;$C18,$J$2:$J$9,0))))</f>
        <v>42.838449995408155</v>
      </c>
      <c r="AN18" s="561">
        <f ca="1">SUM(OFFSET('Output data (results)'!$B$10,AN$15-2000+INDEX($I$2:$I$4,MATCH($B$1,$H$2:$H$4,0)),INDEX($M$2:$M$9,MATCH($B18&amp;$C18,$J$2:$J$9,0)),1,INDEX($N$2:$N$9,MATCH($B18&amp;$C18,$J$2:$J$9,0))))</f>
        <v>43.109008847303301</v>
      </c>
      <c r="AO18" s="561">
        <f ca="1">SUM(OFFSET('Output data (results)'!$B$10,AO$15-2000+INDEX($I$2:$I$4,MATCH($B$1,$H$2:$H$4,0)),INDEX($M$2:$M$9,MATCH($B18&amp;$C18,$J$2:$J$9,0)),1,INDEX($N$2:$N$9,MATCH($B18&amp;$C18,$J$2:$J$9,0))))</f>
        <v>43.378587341012917</v>
      </c>
      <c r="AP18" s="561">
        <f ca="1">SUM(OFFSET('Output data (results)'!$B$10,AP$15-2000+INDEX($I$2:$I$4,MATCH($B$1,$H$2:$H$4,0)),INDEX($M$2:$M$9,MATCH($B18&amp;$C18,$J$2:$J$9,0)),1,INDEX($N$2:$N$9,MATCH($B18&amp;$C18,$J$2:$J$9,0))))</f>
        <v>43.642163641749931</v>
      </c>
    </row>
    <row r="19" spans="1:42">
      <c r="A19" s="10" t="s">
        <v>674</v>
      </c>
      <c r="B19" t="s">
        <v>679</v>
      </c>
      <c r="C19" t="s">
        <v>188</v>
      </c>
      <c r="D19" s="1163">
        <f ca="1">SUM(OFFSET('Output data (results)'!$B$10,D$15-2000,INDEX($M$2:$M$9,MATCH($B19&amp;$C19,$J$2:$J$9,0)),1,INDEX($N$2:$N$9,MATCH($B19&amp;$C19,$J$2:$J$9,0))))</f>
        <v>10.819392594545473</v>
      </c>
      <c r="E19" s="1163">
        <f ca="1">SUM(OFFSET('Output data (results)'!$B$10,E$15-2000,INDEX($M$2:$M$9,MATCH($B19&amp;$C19,$J$2:$J$9,0)),1,INDEX($N$2:$N$9,MATCH($B19&amp;$C19,$J$2:$J$9,0))))</f>
        <v>10.981918237456981</v>
      </c>
      <c r="F19" s="1163">
        <f ca="1">SUM(OFFSET('Output data (results)'!$B$10,F$15-2000,INDEX($M$2:$M$9,MATCH($B19&amp;$C19,$J$2:$J$9,0)),1,INDEX($N$2:$N$9,MATCH($B19&amp;$C19,$J$2:$J$9,0))))</f>
        <v>11.118551723580275</v>
      </c>
      <c r="G19" s="1163">
        <f ca="1">SUM(OFFSET('Output data (results)'!$B$10,G$15-2000,INDEX($M$2:$M$9,MATCH($B19&amp;$C19,$J$2:$J$9,0)),1,INDEX($N$2:$N$9,MATCH($B19&amp;$C19,$J$2:$J$9,0))))</f>
        <v>11.228037760793502</v>
      </c>
      <c r="H19" s="1163">
        <f ca="1">SUM(OFFSET('Output data (results)'!$B$10,H$15-2000,INDEX($M$2:$M$9,MATCH($B19&amp;$C19,$J$2:$J$9,0)),1,INDEX($N$2:$N$9,MATCH($B19&amp;$C19,$J$2:$J$9,0))))</f>
        <v>11.309021394626923</v>
      </c>
      <c r="I19" s="1163">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10.498918219930484</v>
      </c>
      <c r="M19" s="561">
        <f ca="1">SUM(OFFSET('Output data (results)'!$B$10,M$15-2000+INDEX($I$2:$I$4,MATCH($B$1,$H$2:$H$4,0)),INDEX($M$2:$M$9,MATCH($B19&amp;$C19,$J$2:$J$9,0)),1,INDEX($N$2:$N$9,MATCH($B19&amp;$C19,$J$2:$J$9,0))))</f>
        <v>10.223861626125526</v>
      </c>
      <c r="N19" s="561">
        <f ca="1">SUM(OFFSET('Output data (results)'!$B$10,N$15-2000+INDEX($I$2:$I$4,MATCH($B$1,$H$2:$H$4,0)),INDEX($M$2:$M$9,MATCH($B19&amp;$C19,$J$2:$J$9,0)),1,INDEX($N$2:$N$9,MATCH($B19&amp;$C19,$J$2:$J$9,0))))</f>
        <v>9.9540139016608222</v>
      </c>
      <c r="O19" s="561">
        <f ca="1">SUM(OFFSET('Output data (results)'!$B$10,O$15-2000+INDEX($I$2:$I$4,MATCH($B$1,$H$2:$H$4,0)),INDEX($M$2:$M$9,MATCH($B19&amp;$C19,$J$2:$J$9,0)),1,INDEX($N$2:$N$9,MATCH($B19&amp;$C19,$J$2:$J$9,0))))</f>
        <v>9.6895811941742114</v>
      </c>
      <c r="P19" s="561">
        <f ca="1">SUM(OFFSET('Output data (results)'!$B$10,P$15-2000+INDEX($I$2:$I$4,MATCH($B$1,$H$2:$H$4,0)),INDEX($M$2:$M$9,MATCH($B19&amp;$C19,$J$2:$J$9,0)),1,INDEX($N$2:$N$9,MATCH($B19&amp;$C19,$J$2:$J$9,0))))</f>
        <v>9.4303528864338215</v>
      </c>
      <c r="Q19" s="561">
        <f ca="1">SUM(OFFSET('Output data (results)'!$B$10,Q$15-2000+INDEX($I$2:$I$4,MATCH($B$1,$H$2:$H$4,0)),INDEX($M$2:$M$9,MATCH($B19&amp;$C19,$J$2:$J$9,0)),1,INDEX($N$2:$N$9,MATCH($B19&amp;$C19,$J$2:$J$9,0))))</f>
        <v>9.1761781294444624</v>
      </c>
      <c r="R19" s="561">
        <f ca="1">SUM(OFFSET('Output data (results)'!$B$10,R$15-2000+INDEX($I$2:$I$4,MATCH($B$1,$H$2:$H$4,0)),INDEX($M$2:$M$9,MATCH($B19&amp;$C19,$J$2:$J$9,0)),1,INDEX($N$2:$N$9,MATCH($B19&amp;$C19,$J$2:$J$9,0))))</f>
        <v>8.9291235862897924</v>
      </c>
      <c r="S19" s="561">
        <f ca="1">SUM(OFFSET('Output data (results)'!$B$10,S$15-2000+INDEX($I$2:$I$4,MATCH($B$1,$H$2:$H$4,0)),INDEX($M$2:$M$9,MATCH($B19&amp;$C19,$J$2:$J$9,0)),1,INDEX($N$2:$N$9,MATCH($B19&amp;$C19,$J$2:$J$9,0))))</f>
        <v>8.6896701164247112</v>
      </c>
      <c r="T19" s="561">
        <f ca="1">SUM(OFFSET('Output data (results)'!$B$10,T$15-2000+INDEX($I$2:$I$4,MATCH($B$1,$H$2:$H$4,0)),INDEX($M$2:$M$9,MATCH($B19&amp;$C19,$J$2:$J$9,0)),1,INDEX($N$2:$N$9,MATCH($B19&amp;$C19,$J$2:$J$9,0))))</f>
        <v>8.2057532920190681</v>
      </c>
      <c r="U19" s="561">
        <f ca="1">SUM(OFFSET('Output data (results)'!$B$10,U$15-2000+INDEX($I$2:$I$4,MATCH($B$1,$H$2:$H$4,0)),INDEX($M$2:$M$9,MATCH($B19&amp;$C19,$J$2:$J$9,0)),1,INDEX($N$2:$N$9,MATCH($B19&amp;$C19,$J$2:$J$9,0))))</f>
        <v>7.751403053255876</v>
      </c>
      <c r="V19" s="561">
        <f ca="1">SUM(OFFSET('Output data (results)'!$B$10,V$15-2000+INDEX($I$2:$I$4,MATCH($B$1,$H$2:$H$4,0)),INDEX($M$2:$M$9,MATCH($B19&amp;$C19,$J$2:$J$9,0)),1,INDEX($N$2:$N$9,MATCH($B19&amp;$C19,$J$2:$J$9,0))))</f>
        <v>7.324581776303269</v>
      </c>
      <c r="W19" s="561">
        <f ca="1">SUM(OFFSET('Output data (results)'!$B$10,W$15-2000+INDEX($I$2:$I$4,MATCH($B$1,$H$2:$H$4,0)),INDEX($M$2:$M$9,MATCH($B19&amp;$C19,$J$2:$J$9,0)),1,INDEX($N$2:$N$9,MATCH($B19&amp;$C19,$J$2:$J$9,0))))</f>
        <v>6.9556631680639249</v>
      </c>
      <c r="X19" s="561">
        <f ca="1">SUM(OFFSET('Output data (results)'!$B$10,X$15-2000+INDEX($I$2:$I$4,MATCH($B$1,$H$2:$H$4,0)),INDEX($M$2:$M$9,MATCH($B19&amp;$C19,$J$2:$J$9,0)),1,INDEX($N$2:$N$9,MATCH($B19&amp;$C19,$J$2:$J$9,0))))</f>
        <v>6.5899178906244362</v>
      </c>
      <c r="Y19" s="561">
        <f ca="1">SUM(OFFSET('Output data (results)'!$B$10,Y$15-2000+INDEX($I$2:$I$4,MATCH($B$1,$H$2:$H$4,0)),INDEX($M$2:$M$9,MATCH($B19&amp;$C19,$J$2:$J$9,0)),1,INDEX($N$2:$N$9,MATCH($B19&amp;$C19,$J$2:$J$9,0))))</f>
        <v>6.2271569060314338</v>
      </c>
      <c r="Z19" s="561">
        <f ca="1">SUM(OFFSET('Output data (results)'!$B$10,Z$15-2000+INDEX($I$2:$I$4,MATCH($B$1,$H$2:$H$4,0)),INDEX($M$2:$M$9,MATCH($B19&amp;$C19,$J$2:$J$9,0)),1,INDEX($N$2:$N$9,MATCH($B19&amp;$C19,$J$2:$J$9,0))))</f>
        <v>5.8672013495700392</v>
      </c>
      <c r="AA19" s="561">
        <f ca="1">SUM(OFFSET('Output data (results)'!$B$10,AA$15-2000+INDEX($I$2:$I$4,MATCH($B$1,$H$2:$H$4,0)),INDEX($M$2:$M$9,MATCH($B19&amp;$C19,$J$2:$J$9,0)),1,INDEX($N$2:$N$9,MATCH($B19&amp;$C19,$J$2:$J$9,0))))</f>
        <v>5.5098817617828963</v>
      </c>
      <c r="AB19" s="561">
        <f ca="1">SUM(OFFSET('Output data (results)'!$B$10,AB$15-2000+INDEX($I$2:$I$4,MATCH($B$1,$H$2:$H$4,0)),INDEX($M$2:$M$9,MATCH($B19&amp;$C19,$J$2:$J$9,0)),1,INDEX($N$2:$N$9,MATCH($B19&amp;$C19,$J$2:$J$9,0))))</f>
        <v>5.1549401845457679</v>
      </c>
      <c r="AC19" s="561">
        <f ca="1">SUM(OFFSET('Output data (results)'!$B$10,AC$15-2000+INDEX($I$2:$I$4,MATCH($B$1,$H$2:$H$4,0)),INDEX($M$2:$M$9,MATCH($B19&amp;$C19,$J$2:$J$9,0)),1,INDEX($N$2:$N$9,MATCH($B19&amp;$C19,$J$2:$J$9,0))))</f>
        <v>5.0279465702926149</v>
      </c>
      <c r="AD19" s="561">
        <f ca="1">SUM(OFFSET('Output data (results)'!$B$10,AD$15-2000+INDEX($I$2:$I$4,MATCH($B$1,$H$2:$H$4,0)),INDEX($M$2:$M$9,MATCH($B19&amp;$C19,$J$2:$J$9,0)),1,INDEX($N$2:$N$9,MATCH($B19&amp;$C19,$J$2:$J$9,0))))</f>
        <v>4.8011471261053265</v>
      </c>
      <c r="AE19" s="561">
        <f ca="1">SUM(OFFSET('Output data (results)'!$B$10,AE$15-2000+INDEX($I$2:$I$4,MATCH($B$1,$H$2:$H$4,0)),INDEX($M$2:$M$9,MATCH($B19&amp;$C19,$J$2:$J$9,0)),1,INDEX($N$2:$N$9,MATCH($B19&amp;$C19,$J$2:$J$9,0))))</f>
        <v>4.5758153008666591</v>
      </c>
      <c r="AF19" s="561">
        <f ca="1">SUM(OFFSET('Output data (results)'!$B$10,AF$15-2000+INDEX($I$2:$I$4,MATCH($B$1,$H$2:$H$4,0)),INDEX($M$2:$M$9,MATCH($B19&amp;$C19,$J$2:$J$9,0)),1,INDEX($N$2:$N$9,MATCH($B19&amp;$C19,$J$2:$J$9,0))))</f>
        <v>4.3518733674562897</v>
      </c>
      <c r="AG19" s="561">
        <f ca="1">SUM(OFFSET('Output data (results)'!$B$10,AG$15-2000+INDEX($I$2:$I$4,MATCH($B$1,$H$2:$H$4,0)),INDEX($M$2:$M$9,MATCH($B19&amp;$C19,$J$2:$J$9,0)),1,INDEX($N$2:$N$9,MATCH($B19&amp;$C19,$J$2:$J$9,0))))</f>
        <v>4.1292264952048656</v>
      </c>
      <c r="AH19" s="561">
        <f ca="1">SUM(OFFSET('Output data (results)'!$B$10,AH$15-2000+INDEX($I$2:$I$4,MATCH($B$1,$H$2:$H$4,0)),INDEX($M$2:$M$9,MATCH($B19&amp;$C19,$J$2:$J$9,0)),1,INDEX($N$2:$N$9,MATCH($B19&amp;$C19,$J$2:$J$9,0))))</f>
        <v>3.907807518264196</v>
      </c>
      <c r="AI19" s="561">
        <f ca="1">SUM(OFFSET('Output data (results)'!$B$10,AI$15-2000+INDEX($I$2:$I$4,MATCH($B$1,$H$2:$H$4,0)),INDEX($M$2:$M$9,MATCH($B19&amp;$C19,$J$2:$J$9,0)),1,INDEX($N$2:$N$9,MATCH($B19&amp;$C19,$J$2:$J$9,0))))</f>
        <v>3.6875520793286811</v>
      </c>
      <c r="AJ19" s="561">
        <f ca="1">SUM(OFFSET('Output data (results)'!$B$10,AJ$15-2000+INDEX($I$2:$I$4,MATCH($B$1,$H$2:$H$4,0)),INDEX($M$2:$M$9,MATCH($B19&amp;$C19,$J$2:$J$9,0)),1,INDEX($N$2:$N$9,MATCH($B19&amp;$C19,$J$2:$J$9,0))))</f>
        <v>3.4683984516566926</v>
      </c>
      <c r="AK19" s="561">
        <f ca="1">SUM(OFFSET('Output data (results)'!$B$10,AK$15-2000+INDEX($I$2:$I$4,MATCH($B$1,$H$2:$H$4,0)),INDEX($M$2:$M$9,MATCH($B19&amp;$C19,$J$2:$J$9,0)),1,INDEX($N$2:$N$9,MATCH($B19&amp;$C19,$J$2:$J$9,0))))</f>
        <v>3.2502873721701198</v>
      </c>
      <c r="AL19" s="561">
        <f ca="1">SUM(OFFSET('Output data (results)'!$B$10,AL$15-2000+INDEX($I$2:$I$4,MATCH($B$1,$H$2:$H$4,0)),INDEX($M$2:$M$9,MATCH($B19&amp;$C19,$J$2:$J$9,0)),1,INDEX($N$2:$N$9,MATCH($B19&amp;$C19,$J$2:$J$9,0))))</f>
        <v>3.033146894638965</v>
      </c>
      <c r="AM19" s="561">
        <f ca="1">SUM(OFFSET('Output data (results)'!$B$10,AM$15-2000+INDEX($I$2:$I$4,MATCH($B$1,$H$2:$H$4,0)),INDEX($M$2:$M$9,MATCH($B19&amp;$C19,$J$2:$J$9,0)),1,INDEX($N$2:$N$9,MATCH($B19&amp;$C19,$J$2:$J$9,0))))</f>
        <v>2.8169257708024706</v>
      </c>
      <c r="AN19" s="561">
        <f ca="1">SUM(OFFSET('Output data (results)'!$B$10,AN$15-2000+INDEX($I$2:$I$4,MATCH($B$1,$H$2:$H$4,0)),INDEX($M$2:$M$9,MATCH($B19&amp;$C19,$J$2:$J$9,0)),1,INDEX($N$2:$N$9,MATCH($B19&amp;$C19,$J$2:$J$9,0))))</f>
        <v>2.8125130970502479</v>
      </c>
      <c r="AO19" s="561">
        <f ca="1">SUM(OFFSET('Output data (results)'!$B$10,AO$15-2000+INDEX($I$2:$I$4,MATCH($B$1,$H$2:$H$4,0)),INDEX($M$2:$M$9,MATCH($B19&amp;$C19,$J$2:$J$9,0)),1,INDEX($N$2:$N$9,MATCH($B19&amp;$C19,$J$2:$J$9,0))))</f>
        <v>2.808289162725691</v>
      </c>
      <c r="AP19" s="561">
        <f ca="1">SUM(OFFSET('Output data (results)'!$B$10,AP$15-2000+INDEX($I$2:$I$4,MATCH($B$1,$H$2:$H$4,0)),INDEX($M$2:$M$9,MATCH($B19&amp;$C19,$J$2:$J$9,0)),1,INDEX($N$2:$N$9,MATCH($B19&amp;$C19,$J$2:$J$9,0))))</f>
        <v>2.8042494096604482</v>
      </c>
    </row>
    <row r="20" spans="1:42">
      <c r="A20" s="10" t="s">
        <v>675</v>
      </c>
      <c r="B20" t="s">
        <v>680</v>
      </c>
      <c r="C20" t="s">
        <v>188</v>
      </c>
      <c r="D20" s="1163">
        <f ca="1">SUM(OFFSET('Output data (results)'!$B$10,D$15-2000,INDEX($M$2:$M$9,MATCH($B20&amp;$C20,$J$2:$J$9,0)),1,INDEX($N$2:$N$9,MATCH($B20&amp;$C20,$J$2:$J$9,0))))</f>
        <v>121.42022721713889</v>
      </c>
      <c r="E20" s="1163">
        <f ca="1">SUM(OFFSET('Output data (results)'!$B$10,E$15-2000,INDEX($M$2:$M$9,MATCH($B20&amp;$C20,$J$2:$J$9,0)),1,INDEX($N$2:$N$9,MATCH($B20&amp;$C20,$J$2:$J$9,0))))</f>
        <v>123.22777500074881</v>
      </c>
      <c r="F20" s="1163">
        <f ca="1">SUM(OFFSET('Output data (results)'!$B$10,F$15-2000,INDEX($M$2:$M$9,MATCH($B20&amp;$C20,$J$2:$J$9,0)),1,INDEX($N$2:$N$9,MATCH($B20&amp;$C20,$J$2:$J$9,0))))</f>
        <v>125.10267629930888</v>
      </c>
      <c r="G20" s="1163">
        <f ca="1">SUM(OFFSET('Output data (results)'!$B$10,G$15-2000,INDEX($M$2:$M$9,MATCH($B20&amp;$C20,$J$2:$J$9,0)),1,INDEX($N$2:$N$9,MATCH($B20&amp;$C20,$J$2:$J$9,0))))</f>
        <v>127.04753208598689</v>
      </c>
      <c r="H20" s="1163">
        <f ca="1">SUM(OFFSET('Output data (results)'!$B$10,H$15-2000,INDEX($M$2:$M$9,MATCH($B20&amp;$C20,$J$2:$J$9,0)),1,INDEX($N$2:$N$9,MATCH($B20&amp;$C20,$J$2:$J$9,0))))</f>
        <v>129.06507290384971</v>
      </c>
      <c r="I20" s="1163">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142.18130252934324</v>
      </c>
      <c r="M20" s="561">
        <f ca="1">SUM(OFFSET('Output data (results)'!$B$10,M$15-2000+INDEX($I$2:$I$4,MATCH($B$1,$H$2:$H$4,0)),INDEX($M$2:$M$9,MATCH($B20&amp;$C20,$J$2:$J$9,0)),1,INDEX($N$2:$N$9,MATCH($B20&amp;$C20,$J$2:$J$9,0))))</f>
        <v>146.03087022027088</v>
      </c>
      <c r="N20" s="561">
        <f ca="1">SUM(OFFSET('Output data (results)'!$B$10,N$15-2000+INDEX($I$2:$I$4,MATCH($B$1,$H$2:$H$4,0)),INDEX($M$2:$M$9,MATCH($B20&amp;$C20,$J$2:$J$9,0)),1,INDEX($N$2:$N$9,MATCH($B20&amp;$C20,$J$2:$J$9,0))))</f>
        <v>150.01638869082916</v>
      </c>
      <c r="O20" s="561">
        <f ca="1">SUM(OFFSET('Output data (results)'!$B$10,O$15-2000+INDEX($I$2:$I$4,MATCH($B$1,$H$2:$H$4,0)),INDEX($M$2:$M$9,MATCH($B20&amp;$C20,$J$2:$J$9,0)),1,INDEX($N$2:$N$9,MATCH($B20&amp;$C20,$J$2:$J$9,0))))</f>
        <v>154.08560950052347</v>
      </c>
      <c r="P20" s="561">
        <f ca="1">SUM(OFFSET('Output data (results)'!$B$10,P$15-2000+INDEX($I$2:$I$4,MATCH($B$1,$H$2:$H$4,0)),INDEX($M$2:$M$9,MATCH($B20&amp;$C20,$J$2:$J$9,0)),1,INDEX($N$2:$N$9,MATCH($B20&amp;$C20,$J$2:$J$9,0))))</f>
        <v>158.24697567473672</v>
      </c>
      <c r="Q20" s="561">
        <f ca="1">SUM(OFFSET('Output data (results)'!$B$10,Q$15-2000+INDEX($I$2:$I$4,MATCH($B$1,$H$2:$H$4,0)),INDEX($M$2:$M$9,MATCH($B20&amp;$C20,$J$2:$J$9,0)),1,INDEX($N$2:$N$9,MATCH($B20&amp;$C20,$J$2:$J$9,0))))</f>
        <v>162.50239954694376</v>
      </c>
      <c r="R20" s="561">
        <f ca="1">SUM(OFFSET('Output data (results)'!$B$10,R$15-2000+INDEX($I$2:$I$4,MATCH($B$1,$H$2:$H$4,0)),INDEX($M$2:$M$9,MATCH($B20&amp;$C20,$J$2:$J$9,0)),1,INDEX($N$2:$N$9,MATCH($B20&amp;$C20,$J$2:$J$9,0))))</f>
        <v>166.70088132394665</v>
      </c>
      <c r="S20" s="561">
        <f ca="1">SUM(OFFSET('Output data (results)'!$B$10,S$15-2000+INDEX($I$2:$I$4,MATCH($B$1,$H$2:$H$4,0)),INDEX($M$2:$M$9,MATCH($B20&amp;$C20,$J$2:$J$9,0)),1,INDEX($N$2:$N$9,MATCH($B20&amp;$C20,$J$2:$J$9,0))))</f>
        <v>170.83246136481878</v>
      </c>
      <c r="T20" s="561">
        <f ca="1">SUM(OFFSET('Output data (results)'!$B$10,T$15-2000+INDEX($I$2:$I$4,MATCH($B$1,$H$2:$H$4,0)),INDEX($M$2:$M$9,MATCH($B20&amp;$C20,$J$2:$J$9,0)),1,INDEX($N$2:$N$9,MATCH($B20&amp;$C20,$J$2:$J$9,0))))</f>
        <v>174.88714210647373</v>
      </c>
      <c r="U20" s="561">
        <f ca="1">SUM(OFFSET('Output data (results)'!$B$10,U$15-2000+INDEX($I$2:$I$4,MATCH($B$1,$H$2:$H$4,0)),INDEX($M$2:$M$9,MATCH($B20&amp;$C20,$J$2:$J$9,0)),1,INDEX($N$2:$N$9,MATCH($B20&amp;$C20,$J$2:$J$9,0))))</f>
        <v>178.85492731655097</v>
      </c>
      <c r="V20" s="561">
        <f ca="1">SUM(OFFSET('Output data (results)'!$B$10,V$15-2000+INDEX($I$2:$I$4,MATCH($B$1,$H$2:$H$4,0)),INDEX($M$2:$M$9,MATCH($B20&amp;$C20,$J$2:$J$9,0)),1,INDEX($N$2:$N$9,MATCH($B20&amp;$C20,$J$2:$J$9,0))))</f>
        <v>182.72586224236846</v>
      </c>
      <c r="W20" s="561">
        <f ca="1">SUM(OFFSET('Output data (results)'!$B$10,W$15-2000+INDEX($I$2:$I$4,MATCH($B$1,$H$2:$H$4,0)),INDEX($M$2:$M$9,MATCH($B20&amp;$C20,$J$2:$J$9,0)),1,INDEX($N$2:$N$9,MATCH($B20&amp;$C20,$J$2:$J$9,0))))</f>
        <v>186.60041821724701</v>
      </c>
      <c r="X20" s="561">
        <f ca="1">SUM(OFFSET('Output data (results)'!$B$10,X$15-2000+INDEX($I$2:$I$4,MATCH($B$1,$H$2:$H$4,0)),INDEX($M$2:$M$9,MATCH($B20&amp;$C20,$J$2:$J$9,0)),1,INDEX($N$2:$N$9,MATCH($B20&amp;$C20,$J$2:$J$9,0))))</f>
        <v>190.4756621781487</v>
      </c>
      <c r="Y20" s="561">
        <f ca="1">SUM(OFFSET('Output data (results)'!$B$10,Y$15-2000+INDEX($I$2:$I$4,MATCH($B$1,$H$2:$H$4,0)),INDEX($M$2:$M$9,MATCH($B20&amp;$C20,$J$2:$J$9,0)),1,INDEX($N$2:$N$9,MATCH($B20&amp;$C20,$J$2:$J$9,0))))</f>
        <v>194.34860921737365</v>
      </c>
      <c r="Z20" s="561">
        <f ca="1">SUM(OFFSET('Output data (results)'!$B$10,Z$15-2000+INDEX($I$2:$I$4,MATCH($B$1,$H$2:$H$4,0)),INDEX($M$2:$M$9,MATCH($B20&amp;$C20,$J$2:$J$9,0)),1,INDEX($N$2:$N$9,MATCH($B20&amp;$C20,$J$2:$J$9,0))))</f>
        <v>198.21622618378117</v>
      </c>
      <c r="AA20" s="561">
        <f ca="1">SUM(OFFSET('Output data (results)'!$B$10,AA$15-2000+INDEX($I$2:$I$4,MATCH($B$1,$H$2:$H$4,0)),INDEX($M$2:$M$9,MATCH($B20&amp;$C20,$J$2:$J$9,0)),1,INDEX($N$2:$N$9,MATCH($B20&amp;$C20,$J$2:$J$9,0))))</f>
        <v>202.07543543121741</v>
      </c>
      <c r="AB20" s="561">
        <f ca="1">SUM(OFFSET('Output data (results)'!$B$10,AB$15-2000+INDEX($I$2:$I$4,MATCH($B$1,$H$2:$H$4,0)),INDEX($M$2:$M$9,MATCH($B20&amp;$C20,$J$2:$J$9,0)),1,INDEX($N$2:$N$9,MATCH($B20&amp;$C20,$J$2:$J$9,0))))</f>
        <v>205.93762381457663</v>
      </c>
      <c r="AC20" s="561">
        <f ca="1">SUM(OFFSET('Output data (results)'!$B$10,AC$15-2000+INDEX($I$2:$I$4,MATCH($B$1,$H$2:$H$4,0)),INDEX($M$2:$M$9,MATCH($B20&amp;$C20,$J$2:$J$9,0)),1,INDEX($N$2:$N$9,MATCH($B20&amp;$C20,$J$2:$J$9,0))))</f>
        <v>209.8004583340292</v>
      </c>
      <c r="AD20" s="561">
        <f ca="1">SUM(OFFSET('Output data (results)'!$B$10,AD$15-2000+INDEX($I$2:$I$4,MATCH($B$1,$H$2:$H$4,0)),INDEX($M$2:$M$9,MATCH($B20&amp;$C20,$J$2:$J$9,0)),1,INDEX($N$2:$N$9,MATCH($B20&amp;$C20,$J$2:$J$9,0))))</f>
        <v>213.66157006773292</v>
      </c>
      <c r="AE20" s="561">
        <f ca="1">SUM(OFFSET('Output data (results)'!$B$10,AE$15-2000+INDEX($I$2:$I$4,MATCH($B$1,$H$2:$H$4,0)),INDEX($M$2:$M$9,MATCH($B20&amp;$C20,$J$2:$J$9,0)),1,INDEX($N$2:$N$9,MATCH($B20&amp;$C20,$J$2:$J$9,0))))</f>
        <v>217.51855646105938</v>
      </c>
      <c r="AF20" s="561">
        <f ca="1">SUM(OFFSET('Output data (results)'!$B$10,AF$15-2000+INDEX($I$2:$I$4,MATCH($B$1,$H$2:$H$4,0)),INDEX($M$2:$M$9,MATCH($B20&amp;$C20,$J$2:$J$9,0)),1,INDEX($N$2:$N$9,MATCH($B20&amp;$C20,$J$2:$J$9,0))))</f>
        <v>221.36898369686295</v>
      </c>
      <c r="AG20" s="561">
        <f ca="1">SUM(OFFSET('Output data (results)'!$B$10,AG$15-2000+INDEX($I$2:$I$4,MATCH($B$1,$H$2:$H$4,0)),INDEX($M$2:$M$9,MATCH($B20&amp;$C20,$J$2:$J$9,0)),1,INDEX($N$2:$N$9,MATCH($B20&amp;$C20,$J$2:$J$9,0))))</f>
        <v>225.21481445525706</v>
      </c>
      <c r="AH20" s="561">
        <f ca="1">SUM(OFFSET('Output data (results)'!$B$10,AH$15-2000+INDEX($I$2:$I$4,MATCH($B$1,$H$2:$H$4,0)),INDEX($M$2:$M$9,MATCH($B20&amp;$C20,$J$2:$J$9,0)),1,INDEX($N$2:$N$9,MATCH($B20&amp;$C20,$J$2:$J$9,0))))</f>
        <v>229.05378810268007</v>
      </c>
      <c r="AI20" s="561">
        <f ca="1">SUM(OFFSET('Output data (results)'!$B$10,AI$15-2000+INDEX($I$2:$I$4,MATCH($B$1,$H$2:$H$4,0)),INDEX($M$2:$M$9,MATCH($B20&amp;$C20,$J$2:$J$9,0)),1,INDEX($N$2:$N$9,MATCH($B20&amp;$C20,$J$2:$J$9,0))))</f>
        <v>232.88361909556855</v>
      </c>
      <c r="AJ20" s="561">
        <f ca="1">SUM(OFFSET('Output data (results)'!$B$10,AJ$15-2000+INDEX($I$2:$I$4,MATCH($B$1,$H$2:$H$4,0)),INDEX($M$2:$M$9,MATCH($B20&amp;$C20,$J$2:$J$9,0)),1,INDEX($N$2:$N$9,MATCH($B20&amp;$C20,$J$2:$J$9,0))))</f>
        <v>236.70199916566239</v>
      </c>
      <c r="AK20" s="561">
        <f ca="1">SUM(OFFSET('Output data (results)'!$B$10,AK$15-2000+INDEX($I$2:$I$4,MATCH($B$1,$H$2:$H$4,0)),INDEX($M$2:$M$9,MATCH($B20&amp;$C20,$J$2:$J$9,0)),1,INDEX($N$2:$N$9,MATCH($B20&amp;$C20,$J$2:$J$9,0))))</f>
        <v>240.50659956311304</v>
      </c>
      <c r="AL20" s="561">
        <f ca="1">SUM(OFFSET('Output data (results)'!$B$10,AL$15-2000+INDEX($I$2:$I$4,MATCH($B$1,$H$2:$H$4,0)),INDEX($M$2:$M$9,MATCH($B20&amp;$C20,$J$2:$J$9,0)),1,INDEX($N$2:$N$9,MATCH($B20&amp;$C20,$J$2:$J$9,0))))</f>
        <v>244.30006504222655</v>
      </c>
      <c r="AM20" s="561">
        <f ca="1">SUM(OFFSET('Output data (results)'!$B$10,AM$15-2000+INDEX($I$2:$I$4,MATCH($B$1,$H$2:$H$4,0)),INDEX($M$2:$M$9,MATCH($B20&amp;$C20,$J$2:$J$9,0)),1,INDEX($N$2:$N$9,MATCH($B20&amp;$C20,$J$2:$J$9,0))))</f>
        <v>248.08026658246831</v>
      </c>
      <c r="AN20" s="561">
        <f ca="1">SUM(OFFSET('Output data (results)'!$B$10,AN$15-2000+INDEX($I$2:$I$4,MATCH($B$1,$H$2:$H$4,0)),INDEX($M$2:$M$9,MATCH($B20&amp;$C20,$J$2:$J$9,0)),1,INDEX($N$2:$N$9,MATCH($B20&amp;$C20,$J$2:$J$9,0))))</f>
        <v>251.84505964787294</v>
      </c>
      <c r="AO20" s="561">
        <f ca="1">SUM(OFFSET('Output data (results)'!$B$10,AO$15-2000+INDEX($I$2:$I$4,MATCH($B$1,$H$2:$H$4,0)),INDEX($M$2:$M$9,MATCH($B20&amp;$C20,$J$2:$J$9,0)),1,INDEX($N$2:$N$9,MATCH($B20&amp;$C20,$J$2:$J$9,0))))</f>
        <v>255.59228616473263</v>
      </c>
      <c r="AP20" s="561">
        <f ca="1">SUM(OFFSET('Output data (results)'!$B$10,AP$15-2000+INDEX($I$2:$I$4,MATCH($B$1,$H$2:$H$4,0)),INDEX($M$2:$M$9,MATCH($B20&amp;$C20,$J$2:$J$9,0)),1,INDEX($N$2:$N$9,MATCH($B20&amp;$C20,$J$2:$J$9,0))))</f>
        <v>259.3197765377094</v>
      </c>
    </row>
    <row r="21" spans="1:42">
      <c r="A21" s="10" t="s">
        <v>676</v>
      </c>
      <c r="B21" t="s">
        <v>678</v>
      </c>
      <c r="C21" t="s">
        <v>191</v>
      </c>
      <c r="D21" s="1163">
        <f ca="1">SUM(OFFSET('Output data (results)'!$B$10,D$15-2000,INDEX($M$2:$M$9,MATCH($B21&amp;$C21,$J$2:$J$9,0)),1,INDEX($N$2:$N$9,MATCH($B21&amp;$C21,$J$2:$J$9,0))))</f>
        <v>0.80950612728087734</v>
      </c>
      <c r="E21" s="1163">
        <f ca="1">SUM(OFFSET('Output data (results)'!$B$10,E$15-2000,INDEX($M$2:$M$9,MATCH($B21&amp;$C21,$J$2:$J$9,0)),1,INDEX($N$2:$N$9,MATCH($B21&amp;$C21,$J$2:$J$9,0))))</f>
        <v>0.88555342828472039</v>
      </c>
      <c r="F21" s="1163">
        <f ca="1">SUM(OFFSET('Output data (results)'!$B$10,F$15-2000,INDEX($M$2:$M$9,MATCH($B21&amp;$C21,$J$2:$J$9,0)),1,INDEX($N$2:$N$9,MATCH($B21&amp;$C21,$J$2:$J$9,0))))</f>
        <v>0.95495152833656827</v>
      </c>
      <c r="G21" s="1163">
        <f ca="1">SUM(OFFSET('Output data (results)'!$B$10,G$15-2000,INDEX($M$2:$M$9,MATCH($B21&amp;$C21,$J$2:$J$9,0)),1,INDEX($N$2:$N$9,MATCH($B21&amp;$C21,$J$2:$J$9,0))))</f>
        <v>1.01842205283452</v>
      </c>
      <c r="H21" s="1163">
        <f ca="1">SUM(OFFSET('Output data (results)'!$B$10,H$15-2000,INDEX($M$2:$M$9,MATCH($B21&amp;$C21,$J$2:$J$9,0)),1,INDEX($N$2:$N$9,MATCH($B21&amp;$C21,$J$2:$J$9,0))))</f>
        <v>1.0757345093651158</v>
      </c>
      <c r="I21" s="1163">
        <f ca="1">SUM(OFFSET('Output data (results)'!$B$10,I$15-2000,INDEX($M$2:$M$9,MATCH($B21&amp;$C21,$J$2:$J$9,0)),1,INDEX($N$2:$N$9,MATCH($B21&amp;$C21,$J$2:$J$9,0))))</f>
        <v>1.1299025045628048</v>
      </c>
      <c r="J21" s="561">
        <f ca="1">SUM(OFFSET('Output data (results)'!$B$10,J$15-2000+INDEX($I$2:$I$4,MATCH($B$1,$H$2:$H$4,0)),INDEX($M$2:$M$9,MATCH($B21&amp;$C21,$J$2:$J$9,0)),1,INDEX($N$2:$N$9,MATCH($B21&amp;$C21,$J$2:$J$9,0))))</f>
        <v>1.2230505634295874</v>
      </c>
      <c r="K21" s="561">
        <f ca="1">SUM(OFFSET('Output data (results)'!$B$10,K$15-2000+INDEX($I$2:$I$4,MATCH($B$1,$H$2:$H$4,0)),INDEX($M$2:$M$9,MATCH($B21&amp;$C21,$J$2:$J$9,0)),1,INDEX($N$2:$N$9,MATCH($B21&amp;$C21,$J$2:$J$9,0))))</f>
        <v>1.448738046129775</v>
      </c>
      <c r="L21" s="561">
        <f ca="1">SUM(OFFSET('Output data (results)'!$B$10,L$15-2000+INDEX($I$2:$I$4,MATCH($B$1,$H$2:$H$4,0)),INDEX($M$2:$M$9,MATCH($B21&amp;$C21,$J$2:$J$9,0)),1,INDEX($N$2:$N$9,MATCH($B21&amp;$C21,$J$2:$J$9,0))))</f>
        <v>1.4895063346850028</v>
      </c>
      <c r="M21" s="561">
        <f ca="1">SUM(OFFSET('Output data (results)'!$B$10,M$15-2000+INDEX($I$2:$I$4,MATCH($B$1,$H$2:$H$4,0)),INDEX($M$2:$M$9,MATCH($B21&amp;$C21,$J$2:$J$9,0)),1,INDEX($N$2:$N$9,MATCH($B21&amp;$C21,$J$2:$J$9,0))))</f>
        <v>1.5780117409232244</v>
      </c>
      <c r="N21" s="561">
        <f ca="1">SUM(OFFSET('Output data (results)'!$B$10,N$15-2000+INDEX($I$2:$I$4,MATCH($B$1,$H$2:$H$4,0)),INDEX($M$2:$M$9,MATCH($B21&amp;$C21,$J$2:$J$9,0)),1,INDEX($N$2:$N$9,MATCH($B21&amp;$C21,$J$2:$J$9,0))))</f>
        <v>1.6618351563778373</v>
      </c>
      <c r="O21" s="561">
        <f ca="1">SUM(OFFSET('Output data (results)'!$B$10,O$15-2000+INDEX($I$2:$I$4,MATCH($B$1,$H$2:$H$4,0)),INDEX($M$2:$M$9,MATCH($B21&amp;$C21,$J$2:$J$9,0)),1,INDEX($N$2:$N$9,MATCH($B21&amp;$C21,$J$2:$J$9,0))))</f>
        <v>1.7557202345848908</v>
      </c>
      <c r="P21" s="561">
        <f ca="1">SUM(OFFSET('Output data (results)'!$B$10,P$15-2000+INDEX($I$2:$I$4,MATCH($B$1,$H$2:$H$4,0)),INDEX($M$2:$M$9,MATCH($B21&amp;$C21,$J$2:$J$9,0)),1,INDEX($N$2:$N$9,MATCH($B21&amp;$C21,$J$2:$J$9,0))))</f>
        <v>1.8504919410799636</v>
      </c>
      <c r="Q21" s="561">
        <f ca="1">SUM(OFFSET('Output data (results)'!$B$10,Q$15-2000+INDEX($I$2:$I$4,MATCH($B$1,$H$2:$H$4,0)),INDEX($M$2:$M$9,MATCH($B21&amp;$C21,$J$2:$J$9,0)),1,INDEX($N$2:$N$9,MATCH($B21&amp;$C21,$J$2:$J$9,0))))</f>
        <v>1.9445672627077581</v>
      </c>
      <c r="R21" s="561">
        <f ca="1">SUM(OFFSET('Output data (results)'!$B$10,R$15-2000+INDEX($I$2:$I$4,MATCH($B$1,$H$2:$H$4,0)),INDEX($M$2:$M$9,MATCH($B21&amp;$C21,$J$2:$J$9,0)),1,INDEX($N$2:$N$9,MATCH($B21&amp;$C21,$J$2:$J$9,0))))</f>
        <v>2.0370313869697756</v>
      </c>
      <c r="S21" s="561">
        <f ca="1">SUM(OFFSET('Output data (results)'!$B$10,S$15-2000+INDEX($I$2:$I$4,MATCH($B$1,$H$2:$H$4,0)),INDEX($M$2:$M$9,MATCH($B21&amp;$C21,$J$2:$J$9,0)),1,INDEX($N$2:$N$9,MATCH($B21&amp;$C21,$J$2:$J$9,0))))</f>
        <v>2.1294191789950765</v>
      </c>
      <c r="T21" s="561">
        <f ca="1">SUM(OFFSET('Output data (results)'!$B$10,T$15-2000+INDEX($I$2:$I$4,MATCH($B$1,$H$2:$H$4,0)),INDEX($M$2:$M$9,MATCH($B21&amp;$C21,$J$2:$J$9,0)),1,INDEX($N$2:$N$9,MATCH($B21&amp;$C21,$J$2:$J$9,0))))</f>
        <v>2.1402771460825196</v>
      </c>
      <c r="U21" s="561">
        <f ca="1">SUM(OFFSET('Output data (results)'!$B$10,U$15-2000+INDEX($I$2:$I$4,MATCH($B$1,$H$2:$H$4,0)),INDEX($M$2:$M$9,MATCH($B21&amp;$C21,$J$2:$J$9,0)),1,INDEX($N$2:$N$9,MATCH($B21&amp;$C21,$J$2:$J$9,0))))</f>
        <v>2.1547004157956904</v>
      </c>
      <c r="V21" s="561">
        <f ca="1">SUM(OFFSET('Output data (results)'!$B$10,V$15-2000+INDEX($I$2:$I$4,MATCH($B$1,$H$2:$H$4,0)),INDEX($M$2:$M$9,MATCH($B21&amp;$C21,$J$2:$J$9,0)),1,INDEX($N$2:$N$9,MATCH($B21&amp;$C21,$J$2:$J$9,0))))</f>
        <v>2.1676757216954483</v>
      </c>
      <c r="W21" s="561">
        <f ca="1">SUM(OFFSET('Output data (results)'!$B$10,W$15-2000+INDEX($I$2:$I$4,MATCH($B$1,$H$2:$H$4,0)),INDEX($M$2:$M$9,MATCH($B21&amp;$C21,$J$2:$J$9,0)),1,INDEX($N$2:$N$9,MATCH($B21&amp;$C21,$J$2:$J$9,0))))</f>
        <v>2.1830349420649782</v>
      </c>
      <c r="X21" s="561">
        <f ca="1">SUM(OFFSET('Output data (results)'!$B$10,X$15-2000+INDEX($I$2:$I$4,MATCH($B$1,$H$2:$H$4,0)),INDEX($M$2:$M$9,MATCH($B21&amp;$C21,$J$2:$J$9,0)),1,INDEX($N$2:$N$9,MATCH($B21&amp;$C21,$J$2:$J$9,0))))</f>
        <v>2.1991069880912324</v>
      </c>
      <c r="Y21" s="561">
        <f ca="1">SUM(OFFSET('Output data (results)'!$B$10,Y$15-2000+INDEX($I$2:$I$4,MATCH($B$1,$H$2:$H$4,0)),INDEX($M$2:$M$9,MATCH($B21&amp;$C21,$J$2:$J$9,0)),1,INDEX($N$2:$N$9,MATCH($B21&amp;$C21,$J$2:$J$9,0))))</f>
        <v>2.2180091985865262</v>
      </c>
      <c r="Z21" s="561">
        <f ca="1">SUM(OFFSET('Output data (results)'!$B$10,Z$15-2000+INDEX($I$2:$I$4,MATCH($B$1,$H$2:$H$4,0)),INDEX($M$2:$M$9,MATCH($B21&amp;$C21,$J$2:$J$9,0)),1,INDEX($N$2:$N$9,MATCH($B21&amp;$C21,$J$2:$J$9,0))))</f>
        <v>2.2386224255263802</v>
      </c>
      <c r="AA21" s="561">
        <f ca="1">SUM(OFFSET('Output data (results)'!$B$10,AA$15-2000+INDEX($I$2:$I$4,MATCH($B$1,$H$2:$H$4,0)),INDEX($M$2:$M$9,MATCH($B21&amp;$C21,$J$2:$J$9,0)),1,INDEX($N$2:$N$9,MATCH($B21&amp;$C21,$J$2:$J$9,0))))</f>
        <v>2.2550726097099085</v>
      </c>
      <c r="AB21" s="561">
        <f ca="1">SUM(OFFSET('Output data (results)'!$B$10,AB$15-2000+INDEX($I$2:$I$4,MATCH($B$1,$H$2:$H$4,0)),INDEX($M$2:$M$9,MATCH($B21&amp;$C21,$J$2:$J$9,0)),1,INDEX($N$2:$N$9,MATCH($B21&amp;$C21,$J$2:$J$9,0))))</f>
        <v>2.2715439320512969</v>
      </c>
      <c r="AC21" s="561">
        <f ca="1">SUM(OFFSET('Output data (results)'!$B$10,AC$15-2000+INDEX($I$2:$I$4,MATCH($B$1,$H$2:$H$4,0)),INDEX($M$2:$M$9,MATCH($B21&amp;$C21,$J$2:$J$9,0)),1,INDEX($N$2:$N$9,MATCH($B21&amp;$C21,$J$2:$J$9,0))))</f>
        <v>2.2908160603091421</v>
      </c>
      <c r="AD21" s="561">
        <f ca="1">SUM(OFFSET('Output data (results)'!$B$10,AD$15-2000+INDEX($I$2:$I$4,MATCH($B$1,$H$2:$H$4,0)),INDEX($M$2:$M$9,MATCH($B21&amp;$C21,$J$2:$J$9,0)),1,INDEX($N$2:$N$9,MATCH($B21&amp;$C21,$J$2:$J$9,0))))</f>
        <v>2.3096360668572018</v>
      </c>
      <c r="AE21" s="561">
        <f ca="1">SUM(OFFSET('Output data (results)'!$B$10,AE$15-2000+INDEX($I$2:$I$4,MATCH($B$1,$H$2:$H$4,0)),INDEX($M$2:$M$9,MATCH($B21&amp;$C21,$J$2:$J$9,0)),1,INDEX($N$2:$N$9,MATCH($B21&amp;$C21,$J$2:$J$9,0))))</f>
        <v>2.3298065668240993</v>
      </c>
      <c r="AF21" s="561">
        <f ca="1">SUM(OFFSET('Output data (results)'!$B$10,AF$15-2000+INDEX($I$2:$I$4,MATCH($B$1,$H$2:$H$4,0)),INDEX($M$2:$M$9,MATCH($B21&amp;$C21,$J$2:$J$9,0)),1,INDEX($N$2:$N$9,MATCH($B21&amp;$C21,$J$2:$J$9,0))))</f>
        <v>2.350045178632989</v>
      </c>
      <c r="AG21" s="561">
        <f ca="1">SUM(OFFSET('Output data (results)'!$B$10,AG$15-2000+INDEX($I$2:$I$4,MATCH($B$1,$H$2:$H$4,0)),INDEX($M$2:$M$9,MATCH($B21&amp;$C21,$J$2:$J$9,0)),1,INDEX($N$2:$N$9,MATCH($B21&amp;$C21,$J$2:$J$9,0))))</f>
        <v>2.3728015799114308</v>
      </c>
      <c r="AH21" s="561">
        <f ca="1">SUM(OFFSET('Output data (results)'!$B$10,AH$15-2000+INDEX($I$2:$I$4,MATCH($B$1,$H$2:$H$4,0)),INDEX($M$2:$M$9,MATCH($B21&amp;$C21,$J$2:$J$9,0)),1,INDEX($N$2:$N$9,MATCH($B21&amp;$C21,$J$2:$J$9,0))))</f>
        <v>2.3959161555313901</v>
      </c>
      <c r="AI21" s="561">
        <f ca="1">SUM(OFFSET('Output data (results)'!$B$10,AI$15-2000+INDEX($I$2:$I$4,MATCH($B$1,$H$2:$H$4,0)),INDEX($M$2:$M$9,MATCH($B21&amp;$C21,$J$2:$J$9,0)),1,INDEX($N$2:$N$9,MATCH($B21&amp;$C21,$J$2:$J$9,0))))</f>
        <v>2.4196272969398445</v>
      </c>
      <c r="AJ21" s="561">
        <f ca="1">SUM(OFFSET('Output data (results)'!$B$10,AJ$15-2000+INDEX($I$2:$I$4,MATCH($B$1,$H$2:$H$4,0)),INDEX($M$2:$M$9,MATCH($B21&amp;$C21,$J$2:$J$9,0)),1,INDEX($N$2:$N$9,MATCH($B21&amp;$C21,$J$2:$J$9,0))))</f>
        <v>2.4442591225573138</v>
      </c>
      <c r="AK21" s="561">
        <f ca="1">SUM(OFFSET('Output data (results)'!$B$10,AK$15-2000+INDEX($I$2:$I$4,MATCH($B$1,$H$2:$H$4,0)),INDEX($M$2:$M$9,MATCH($B21&amp;$C21,$J$2:$J$9,0)),1,INDEX($N$2:$N$9,MATCH($B21&amp;$C21,$J$2:$J$9,0))))</f>
        <v>2.4699314152783387</v>
      </c>
      <c r="AL21" s="561">
        <f ca="1">SUM(OFFSET('Output data (results)'!$B$10,AL$15-2000+INDEX($I$2:$I$4,MATCH($B$1,$H$2:$H$4,0)),INDEX($M$2:$M$9,MATCH($B21&amp;$C21,$J$2:$J$9,0)),1,INDEX($N$2:$N$9,MATCH($B21&amp;$C21,$J$2:$J$9,0))))</f>
        <v>2.497384010628021</v>
      </c>
      <c r="AM21" s="561">
        <f ca="1">SUM(OFFSET('Output data (results)'!$B$10,AM$15-2000+INDEX($I$2:$I$4,MATCH($B$1,$H$2:$H$4,0)),INDEX($M$2:$M$9,MATCH($B21&amp;$C21,$J$2:$J$9,0)),1,INDEX($N$2:$N$9,MATCH($B21&amp;$C21,$J$2:$J$9,0))))</f>
        <v>2.5144307606000442</v>
      </c>
      <c r="AN21" s="561">
        <f ca="1">SUM(OFFSET('Output data (results)'!$B$10,AN$15-2000+INDEX($I$2:$I$4,MATCH($B$1,$H$2:$H$4,0)),INDEX($M$2:$M$9,MATCH($B21&amp;$C21,$J$2:$J$9,0)),1,INDEX($N$2:$N$9,MATCH($B21&amp;$C21,$J$2:$J$9,0))))</f>
        <v>2.5303113888634545</v>
      </c>
      <c r="AO21" s="561">
        <f ca="1">SUM(OFFSET('Output data (results)'!$B$10,AO$15-2000+INDEX($I$2:$I$4,MATCH($B$1,$H$2:$H$4,0)),INDEX($M$2:$M$9,MATCH($B21&amp;$C21,$J$2:$J$9,0)),1,INDEX($N$2:$N$9,MATCH($B21&amp;$C21,$J$2:$J$9,0))))</f>
        <v>2.5461344743638019</v>
      </c>
      <c r="AP21" s="561">
        <f ca="1">SUM(OFFSET('Output data (results)'!$B$10,AP$15-2000+INDEX($I$2:$I$4,MATCH($B$1,$H$2:$H$4,0)),INDEX($M$2:$M$9,MATCH($B21&amp;$C21,$J$2:$J$9,0)),1,INDEX($N$2:$N$9,MATCH($B21&amp;$C21,$J$2:$J$9,0))))</f>
        <v>2.5616052572331478</v>
      </c>
    </row>
    <row r="22" spans="1:42">
      <c r="A22" s="10" t="s">
        <v>674</v>
      </c>
      <c r="B22" t="s">
        <v>679</v>
      </c>
      <c r="C22" t="s">
        <v>191</v>
      </c>
      <c r="D22" s="1163">
        <f ca="1">SUM(OFFSET('Output data (results)'!$B$10,D$15-2000,INDEX($M$2:$M$9,MATCH($B22&amp;$C22,$J$2:$J$9,0)),1,INDEX($N$2:$N$9,MATCH($B22&amp;$C22,$J$2:$J$9,0))))</f>
        <v>0.15062420601993221</v>
      </c>
      <c r="E22" s="1163">
        <f ca="1">SUM(OFFSET('Output data (results)'!$B$10,E$15-2000,INDEX($M$2:$M$9,MATCH($B22&amp;$C22,$J$2:$J$9,0)),1,INDEX($N$2:$N$9,MATCH($B22&amp;$C22,$J$2:$J$9,0))))</f>
        <v>0.15288683728203895</v>
      </c>
      <c r="F22" s="1163">
        <f ca="1">SUM(OFFSET('Output data (results)'!$B$10,F$15-2000,INDEX($M$2:$M$9,MATCH($B22&amp;$C22,$J$2:$J$9,0)),1,INDEX($N$2:$N$9,MATCH($B22&amp;$C22,$J$2:$J$9,0))))</f>
        <v>0.15478900602055312</v>
      </c>
      <c r="G22" s="1163">
        <f ca="1">SUM(OFFSET('Output data (results)'!$B$10,G$15-2000,INDEX($M$2:$M$9,MATCH($B22&amp;$C22,$J$2:$J$9,0)),1,INDEX($N$2:$N$9,MATCH($B22&amp;$C22,$J$2:$J$9,0))))</f>
        <v>0.15631323645044112</v>
      </c>
      <c r="H22" s="1163">
        <f ca="1">SUM(OFFSET('Output data (results)'!$B$10,H$15-2000,INDEX($M$2:$M$9,MATCH($B22&amp;$C22,$J$2:$J$9,0)),1,INDEX($N$2:$N$9,MATCH($B22&amp;$C22,$J$2:$J$9,0))))</f>
        <v>0.15744066531857534</v>
      </c>
      <c r="I22" s="1163">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0.14616266182470142</v>
      </c>
      <c r="M22" s="561">
        <f ca="1">SUM(OFFSET('Output data (results)'!$B$10,M$15-2000+INDEX($I$2:$I$4,MATCH($B$1,$H$2:$H$4,0)),INDEX($M$2:$M$9,MATCH($B22&amp;$C22,$J$2:$J$9,0)),1,INDEX($N$2:$N$9,MATCH($B22&amp;$C22,$J$2:$J$9,0))))</f>
        <v>0.14233340979503517</v>
      </c>
      <c r="N22" s="561">
        <f ca="1">SUM(OFFSET('Output data (results)'!$B$10,N$15-2000+INDEX($I$2:$I$4,MATCH($B$1,$H$2:$H$4,0)),INDEX($M$2:$M$9,MATCH($B22&amp;$C22,$J$2:$J$9,0)),1,INDEX($N$2:$N$9,MATCH($B22&amp;$C22,$J$2:$J$9,0))))</f>
        <v>0.13857667401817902</v>
      </c>
      <c r="O22" s="561">
        <f ca="1">SUM(OFFSET('Output data (results)'!$B$10,O$15-2000+INDEX($I$2:$I$4,MATCH($B$1,$H$2:$H$4,0)),INDEX($M$2:$M$9,MATCH($B22&amp;$C22,$J$2:$J$9,0)),1,INDEX($N$2:$N$9,MATCH($B22&amp;$C22,$J$2:$J$9,0))))</f>
        <v>0.13489532441719021</v>
      </c>
      <c r="P22" s="561">
        <f ca="1">SUM(OFFSET('Output data (results)'!$B$10,P$15-2000+INDEX($I$2:$I$4,MATCH($B$1,$H$2:$H$4,0)),INDEX($M$2:$M$9,MATCH($B22&amp;$C22,$J$2:$J$9,0)),1,INDEX($N$2:$N$9,MATCH($B22&amp;$C22,$J$2:$J$9,0))))</f>
        <v>0.13128642884471864</v>
      </c>
      <c r="Q22" s="561">
        <f ca="1">SUM(OFFSET('Output data (results)'!$B$10,Q$15-2000+INDEX($I$2:$I$4,MATCH($B$1,$H$2:$H$4,0)),INDEX($M$2:$M$9,MATCH($B22&amp;$C22,$J$2:$J$9,0)),1,INDEX($N$2:$N$9,MATCH($B22&amp;$C22,$J$2:$J$9,0))))</f>
        <v>0.12774788722814651</v>
      </c>
      <c r="R22" s="561">
        <f ca="1">SUM(OFFSET('Output data (results)'!$B$10,R$15-2000+INDEX($I$2:$I$4,MATCH($B$1,$H$2:$H$4,0)),INDEX($M$2:$M$9,MATCH($B22&amp;$C22,$J$2:$J$9,0)),1,INDEX($N$2:$N$9,MATCH($B22&amp;$C22,$J$2:$J$9,0))))</f>
        <v>0.12430847100573772</v>
      </c>
      <c r="S22" s="561">
        <f ca="1">SUM(OFFSET('Output data (results)'!$B$10,S$15-2000+INDEX($I$2:$I$4,MATCH($B$1,$H$2:$H$4,0)),INDEX($M$2:$M$9,MATCH($B22&amp;$C22,$J$2:$J$9,0)),1,INDEX($N$2:$N$9,MATCH($B22&amp;$C22,$J$2:$J$9,0))))</f>
        <v>0.12097487455270498</v>
      </c>
      <c r="T22" s="561">
        <f ca="1">SUM(OFFSET('Output data (results)'!$B$10,T$15-2000+INDEX($I$2:$I$4,MATCH($B$1,$H$2:$H$4,0)),INDEX($M$2:$M$9,MATCH($B22&amp;$C22,$J$2:$J$9,0)),1,INDEX($N$2:$N$9,MATCH($B22&amp;$C22,$J$2:$J$9,0))))</f>
        <v>0.11423793559621181</v>
      </c>
      <c r="U22" s="561">
        <f ca="1">SUM(OFFSET('Output data (results)'!$B$10,U$15-2000+INDEX($I$2:$I$4,MATCH($B$1,$H$2:$H$4,0)),INDEX($M$2:$M$9,MATCH($B22&amp;$C22,$J$2:$J$9,0)),1,INDEX($N$2:$N$9,MATCH($B22&amp;$C22,$J$2:$J$9,0))))</f>
        <v>0.1079126134147084</v>
      </c>
      <c r="V22" s="561">
        <f ca="1">SUM(OFFSET('Output data (results)'!$B$10,V$15-2000+INDEX($I$2:$I$4,MATCH($B$1,$H$2:$H$4,0)),INDEX($M$2:$M$9,MATCH($B22&amp;$C22,$J$2:$J$9,0)),1,INDEX($N$2:$N$9,MATCH($B22&amp;$C22,$J$2:$J$9,0))))</f>
        <v>0.10197054084532856</v>
      </c>
      <c r="W22" s="561">
        <f ca="1">SUM(OFFSET('Output data (results)'!$B$10,W$15-2000+INDEX($I$2:$I$4,MATCH($B$1,$H$2:$H$4,0)),INDEX($M$2:$M$9,MATCH($B22&amp;$C22,$J$2:$J$9,0)),1,INDEX($N$2:$N$9,MATCH($B22&amp;$C22,$J$2:$J$9,0))))</f>
        <v>9.6834571153273555E-2</v>
      </c>
      <c r="X22" s="561">
        <f ca="1">SUM(OFFSET('Output data (results)'!$B$10,X$15-2000+INDEX($I$2:$I$4,MATCH($B$1,$H$2:$H$4,0)),INDEX($M$2:$M$9,MATCH($B22&amp;$C22,$J$2:$J$9,0)),1,INDEX($N$2:$N$9,MATCH($B22&amp;$C22,$J$2:$J$9,0))))</f>
        <v>9.1742779581939313E-2</v>
      </c>
      <c r="Y22" s="561">
        <f ca="1">SUM(OFFSET('Output data (results)'!$B$10,Y$15-2000+INDEX($I$2:$I$4,MATCH($B$1,$H$2:$H$4,0)),INDEX($M$2:$M$9,MATCH($B22&amp;$C22,$J$2:$J$9,0)),1,INDEX($N$2:$N$9,MATCH($B22&amp;$C22,$J$2:$J$9,0))))</f>
        <v>8.6692534403954344E-2</v>
      </c>
      <c r="Z22" s="561">
        <f ca="1">SUM(OFFSET('Output data (results)'!$B$10,Z$15-2000+INDEX($I$2:$I$4,MATCH($B$1,$H$2:$H$4,0)),INDEX($M$2:$M$9,MATCH($B22&amp;$C22,$J$2:$J$9,0)),1,INDEX($N$2:$N$9,MATCH($B22&amp;$C22,$J$2:$J$9,0))))</f>
        <v>8.1681345520597415E-2</v>
      </c>
      <c r="AA22" s="561">
        <f ca="1">SUM(OFFSET('Output data (results)'!$B$10,AA$15-2000+INDEX($I$2:$I$4,MATCH($B$1,$H$2:$H$4,0)),INDEX($M$2:$M$9,MATCH($B22&amp;$C22,$J$2:$J$9,0)),1,INDEX($N$2:$N$9,MATCH($B22&amp;$C22,$J$2:$J$9,0))))</f>
        <v>7.6706853770206432E-2</v>
      </c>
      <c r="AB22" s="561">
        <f ca="1">SUM(OFFSET('Output data (results)'!$B$10,AB$15-2000+INDEX($I$2:$I$4,MATCH($B$1,$H$2:$H$4,0)),INDEX($M$2:$M$9,MATCH($B22&amp;$C22,$J$2:$J$9,0)),1,INDEX($N$2:$N$9,MATCH($B22&amp;$C22,$J$2:$J$9,0))))</f>
        <v>7.1765467940307068E-2</v>
      </c>
      <c r="AC22" s="561">
        <f ca="1">SUM(OFFSET('Output data (results)'!$B$10,AC$15-2000+INDEX($I$2:$I$4,MATCH($B$1,$H$2:$H$4,0)),INDEX($M$2:$M$9,MATCH($B22&amp;$C22,$J$2:$J$9,0)),1,INDEX($N$2:$N$9,MATCH($B22&amp;$C22,$J$2:$J$9,0))))</f>
        <v>6.9997502488519492E-2</v>
      </c>
      <c r="AD22" s="561">
        <f ca="1">SUM(OFFSET('Output data (results)'!$B$10,AD$15-2000+INDEX($I$2:$I$4,MATCH($B$1,$H$2:$H$4,0)),INDEX($M$2:$M$9,MATCH($B22&amp;$C22,$J$2:$J$9,0)),1,INDEX($N$2:$N$9,MATCH($B22&amp;$C22,$J$2:$J$9,0))))</f>
        <v>6.6840071430541742E-2</v>
      </c>
      <c r="AE22" s="561">
        <f ca="1">SUM(OFFSET('Output data (results)'!$B$10,AE$15-2000+INDEX($I$2:$I$4,MATCH($B$1,$H$2:$H$4,0)),INDEX($M$2:$M$9,MATCH($B22&amp;$C22,$J$2:$J$9,0)),1,INDEX($N$2:$N$9,MATCH($B22&amp;$C22,$J$2:$J$9,0))))</f>
        <v>6.3703072105394123E-2</v>
      </c>
      <c r="AF22" s="561">
        <f ca="1">SUM(OFFSET('Output data (results)'!$B$10,AF$15-2000+INDEX($I$2:$I$4,MATCH($B$1,$H$2:$H$4,0)),INDEX($M$2:$M$9,MATCH($B22&amp;$C22,$J$2:$J$9,0)),1,INDEX($N$2:$N$9,MATCH($B22&amp;$C22,$J$2:$J$9,0))))</f>
        <v>6.0585422420372931E-2</v>
      </c>
      <c r="AG22" s="561">
        <f ca="1">SUM(OFFSET('Output data (results)'!$B$10,AG$15-2000+INDEX($I$2:$I$4,MATCH($B$1,$H$2:$H$4,0)),INDEX($M$2:$M$9,MATCH($B22&amp;$C22,$J$2:$J$9,0)),1,INDEX($N$2:$N$9,MATCH($B22&amp;$C22,$J$2:$J$9,0))))</f>
        <v>5.7485802172504402E-2</v>
      </c>
      <c r="AH22" s="561">
        <f ca="1">SUM(OFFSET('Output data (results)'!$B$10,AH$15-2000+INDEX($I$2:$I$4,MATCH($B$1,$H$2:$H$4,0)),INDEX($M$2:$M$9,MATCH($B22&amp;$C22,$J$2:$J$9,0)),1,INDEX($N$2:$N$9,MATCH($B22&amp;$C22,$J$2:$J$9,0))))</f>
        <v>5.4403276299818372E-2</v>
      </c>
      <c r="AI22" s="561">
        <f ca="1">SUM(OFFSET('Output data (results)'!$B$10,AI$15-2000+INDEX($I$2:$I$4,MATCH($B$1,$H$2:$H$4,0)),INDEX($M$2:$M$9,MATCH($B22&amp;$C22,$J$2:$J$9,0)),1,INDEX($N$2:$N$9,MATCH($B22&amp;$C22,$J$2:$J$9,0))))</f>
        <v>5.1336948839997849E-2</v>
      </c>
      <c r="AJ22" s="561">
        <f ca="1">SUM(OFFSET('Output data (results)'!$B$10,AJ$15-2000+INDEX($I$2:$I$4,MATCH($B$1,$H$2:$H$4,0)),INDEX($M$2:$M$9,MATCH($B22&amp;$C22,$J$2:$J$9,0)),1,INDEX($N$2:$N$9,MATCH($B22&amp;$C22,$J$2:$J$9,0))))</f>
        <v>4.8285960452616218E-2</v>
      </c>
      <c r="AK22" s="561">
        <f ca="1">SUM(OFFSET('Output data (results)'!$B$10,AK$15-2000+INDEX($I$2:$I$4,MATCH($B$1,$H$2:$H$4,0)),INDEX($M$2:$M$9,MATCH($B22&amp;$C22,$J$2:$J$9,0)),1,INDEX($N$2:$N$9,MATCH($B22&amp;$C22,$J$2:$J$9,0))))</f>
        <v>4.5249486095601206E-2</v>
      </c>
      <c r="AL22" s="561">
        <f ca="1">SUM(OFFSET('Output data (results)'!$B$10,AL$15-2000+INDEX($I$2:$I$4,MATCH($B$1,$H$2:$H$4,0)),INDEX($M$2:$M$9,MATCH($B22&amp;$C22,$J$2:$J$9,0)),1,INDEX($N$2:$N$9,MATCH($B22&amp;$C22,$J$2:$J$9,0))))</f>
        <v>4.2226524155999548E-2</v>
      </c>
      <c r="AM22" s="561">
        <f ca="1">SUM(OFFSET('Output data (results)'!$B$10,AM$15-2000+INDEX($I$2:$I$4,MATCH($B$1,$H$2:$H$4,0)),INDEX($M$2:$M$9,MATCH($B22&amp;$C22,$J$2:$J$9,0)),1,INDEX($N$2:$N$9,MATCH($B22&amp;$C22,$J$2:$J$9,0))))</f>
        <v>3.9216361171524022E-2</v>
      </c>
      <c r="AN22" s="561">
        <f ca="1">SUM(OFFSET('Output data (results)'!$B$10,AN$15-2000+INDEX($I$2:$I$4,MATCH($B$1,$H$2:$H$4,0)),INDEX($M$2:$M$9,MATCH($B22&amp;$C22,$J$2:$J$9,0)),1,INDEX($N$2:$N$9,MATCH($B22&amp;$C22,$J$2:$J$9,0))))</f>
        <v>3.9154929305128053E-2</v>
      </c>
      <c r="AO22" s="561">
        <f ca="1">SUM(OFFSET('Output data (results)'!$B$10,AO$15-2000+INDEX($I$2:$I$4,MATCH($B$1,$H$2:$H$4,0)),INDEX($M$2:$M$9,MATCH($B22&amp;$C22,$J$2:$J$9,0)),1,INDEX($N$2:$N$9,MATCH($B22&amp;$C22,$J$2:$J$9,0))))</f>
        <v>3.9096125010121927E-2</v>
      </c>
      <c r="AP22" s="561">
        <f ca="1">SUM(OFFSET('Output data (results)'!$B$10,AP$15-2000+INDEX($I$2:$I$4,MATCH($B$1,$H$2:$H$4,0)),INDEX($M$2:$M$9,MATCH($B22&amp;$C22,$J$2:$J$9,0)),1,INDEX($N$2:$N$9,MATCH($B22&amp;$C22,$J$2:$J$9,0))))</f>
        <v>3.9039884829108862E-2</v>
      </c>
    </row>
    <row r="23" spans="1:42">
      <c r="A23" s="10" t="s">
        <v>675</v>
      </c>
      <c r="B23" t="s">
        <v>680</v>
      </c>
      <c r="C23" t="s">
        <v>191</v>
      </c>
      <c r="D23" s="1163">
        <f ca="1">SUM(OFFSET('Output data (results)'!$B$10,D$15-2000,INDEX($M$2:$M$9,MATCH($B23&amp;$C23,$J$2:$J$9,0)),1,INDEX($N$2:$N$9,MATCH($B23&amp;$C23,$J$2:$J$9,0))))</f>
        <v>2.6383207851384207</v>
      </c>
      <c r="E23" s="1163">
        <f ca="1">SUM(OFFSET('Output data (results)'!$B$10,E$15-2000,INDEX($M$2:$M$9,MATCH($B23&amp;$C23,$J$2:$J$9,0)),1,INDEX($N$2:$N$9,MATCH($B23&amp;$C23,$J$2:$J$9,0))))</f>
        <v>2.6775967031376564</v>
      </c>
      <c r="F23" s="1163">
        <f ca="1">SUM(OFFSET('Output data (results)'!$B$10,F$15-2000,INDEX($M$2:$M$9,MATCH($B23&amp;$C23,$J$2:$J$9,0)),1,INDEX($N$2:$N$9,MATCH($B23&amp;$C23,$J$2:$J$9,0))))</f>
        <v>2.718336134939475</v>
      </c>
      <c r="G23" s="1163">
        <f ca="1">SUM(OFFSET('Output data (results)'!$B$10,G$15-2000,INDEX($M$2:$M$9,MATCH($B23&amp;$C23,$J$2:$J$9,0)),1,INDEX($N$2:$N$9,MATCH($B23&amp;$C23,$J$2:$J$9,0))))</f>
        <v>2.7605955966757243</v>
      </c>
      <c r="H23" s="1163">
        <f ca="1">SUM(OFFSET('Output data (results)'!$B$10,H$15-2000,INDEX($M$2:$M$9,MATCH($B23&amp;$C23,$J$2:$J$9,0)),1,INDEX($N$2:$N$9,MATCH($B23&amp;$C23,$J$2:$J$9,0))))</f>
        <v>2.804434419881956</v>
      </c>
      <c r="I23" s="1163">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2.9866449441145018</v>
      </c>
      <c r="M23" s="561">
        <f ca="1">SUM(OFFSET('Output data (results)'!$B$10,M$15-2000+INDEX($I$2:$I$4,MATCH($B$1,$H$2:$H$4,0)),INDEX($M$2:$M$9,MATCH($B23&amp;$C23,$J$2:$J$9,0)),1,INDEX($N$2:$N$9,MATCH($B23&amp;$C23,$J$2:$J$9,0))))</f>
        <v>3.0338615645529843</v>
      </c>
      <c r="N23" s="561">
        <f ca="1">SUM(OFFSET('Output data (results)'!$B$10,N$15-2000+INDEX($I$2:$I$4,MATCH($B$1,$H$2:$H$4,0)),INDEX($M$2:$M$9,MATCH($B23&amp;$C23,$J$2:$J$9,0)),1,INDEX($N$2:$N$9,MATCH($B23&amp;$C23,$J$2:$J$9,0))))</f>
        <v>3.0828473994736778</v>
      </c>
      <c r="O23" s="561">
        <f ca="1">SUM(OFFSET('Output data (results)'!$B$10,O$15-2000+INDEX($I$2:$I$4,MATCH($B$1,$H$2:$H$4,0)),INDEX($M$2:$M$9,MATCH($B23&amp;$C23,$J$2:$J$9,0)),1,INDEX($N$2:$N$9,MATCH($B23&amp;$C23,$J$2:$J$9,0))))</f>
        <v>3.132483295366991</v>
      </c>
      <c r="P23" s="561">
        <f ca="1">SUM(OFFSET('Output data (results)'!$B$10,P$15-2000+INDEX($I$2:$I$4,MATCH($B$1,$H$2:$H$4,0)),INDEX($M$2:$M$9,MATCH($B23&amp;$C23,$J$2:$J$9,0)),1,INDEX($N$2:$N$9,MATCH($B23&amp;$C23,$J$2:$J$9,0))))</f>
        <v>3.1829183622350183</v>
      </c>
      <c r="Q23" s="561">
        <f ca="1">SUM(OFFSET('Output data (results)'!$B$10,Q$15-2000+INDEX($I$2:$I$4,MATCH($B$1,$H$2:$H$4,0)),INDEX($M$2:$M$9,MATCH($B23&amp;$C23,$J$2:$J$9,0)),1,INDEX($N$2:$N$9,MATCH($B23&amp;$C23,$J$2:$J$9,0))))</f>
        <v>3.2341654672625948</v>
      </c>
      <c r="R23" s="561">
        <f ca="1">SUM(OFFSET('Output data (results)'!$B$10,R$15-2000+INDEX($I$2:$I$4,MATCH($B$1,$H$2:$H$4,0)),INDEX($M$2:$M$9,MATCH($B23&amp;$C23,$J$2:$J$9,0)),1,INDEX($N$2:$N$9,MATCH($B23&amp;$C23,$J$2:$J$9,0))))</f>
        <v>3.2832252909215254</v>
      </c>
      <c r="S23" s="561">
        <f ca="1">SUM(OFFSET('Output data (results)'!$B$10,S$15-2000+INDEX($I$2:$I$4,MATCH($B$1,$H$2:$H$4,0)),INDEX($M$2:$M$9,MATCH($B23&amp;$C23,$J$2:$J$9,0)),1,INDEX($N$2:$N$9,MATCH($B23&amp;$C23,$J$2:$J$9,0))))</f>
        <v>3.3299712250896238</v>
      </c>
      <c r="T23" s="561">
        <f ca="1">SUM(OFFSET('Output data (results)'!$B$10,T$15-2000+INDEX($I$2:$I$4,MATCH($B$1,$H$2:$H$4,0)),INDEX($M$2:$M$9,MATCH($B23&amp;$C23,$J$2:$J$9,0)),1,INDEX($N$2:$N$9,MATCH($B23&amp;$C23,$J$2:$J$9,0))))</f>
        <v>3.3742810888374657</v>
      </c>
      <c r="U23" s="561">
        <f ca="1">SUM(OFFSET('Output data (results)'!$B$10,U$15-2000+INDEX($I$2:$I$4,MATCH($B$1,$H$2:$H$4,0)),INDEX($M$2:$M$9,MATCH($B23&amp;$C23,$J$2:$J$9,0)),1,INDEX($N$2:$N$9,MATCH($B23&amp;$C23,$J$2:$J$9,0))))</f>
        <v>3.4160376549203448</v>
      </c>
      <c r="V23" s="561">
        <f ca="1">SUM(OFFSET('Output data (results)'!$B$10,V$15-2000+INDEX($I$2:$I$4,MATCH($B$1,$H$2:$H$4,0)),INDEX($M$2:$M$9,MATCH($B23&amp;$C23,$J$2:$J$9,0)),1,INDEX($N$2:$N$9,MATCH($B23&amp;$C23,$J$2:$J$9,0))))</f>
        <v>3.4551291616770792</v>
      </c>
      <c r="W23" s="561">
        <f ca="1">SUM(OFFSET('Output data (results)'!$B$10,W$15-2000+INDEX($I$2:$I$4,MATCH($B$1,$H$2:$H$4,0)),INDEX($M$2:$M$9,MATCH($B23&amp;$C23,$J$2:$J$9,0)),1,INDEX($N$2:$N$9,MATCH($B23&amp;$C23,$J$2:$J$9,0))))</f>
        <v>3.493515653224704</v>
      </c>
      <c r="X23" s="561">
        <f ca="1">SUM(OFFSET('Output data (results)'!$B$10,X$15-2000+INDEX($I$2:$I$4,MATCH($B$1,$H$2:$H$4,0)),INDEX($M$2:$M$9,MATCH($B23&amp;$C23,$J$2:$J$9,0)),1,INDEX($N$2:$N$9,MATCH($B23&amp;$C23,$J$2:$J$9,0))))</f>
        <v>3.5311634562664973</v>
      </c>
      <c r="Y23" s="561">
        <f ca="1">SUM(OFFSET('Output data (results)'!$B$10,Y$15-2000+INDEX($I$2:$I$4,MATCH($B$1,$H$2:$H$4,0)),INDEX($M$2:$M$9,MATCH($B23&amp;$C23,$J$2:$J$9,0)),1,INDEX($N$2:$N$9,MATCH($B23&amp;$C23,$J$2:$J$9,0))))</f>
        <v>3.5680392512700192</v>
      </c>
      <c r="Z23" s="561">
        <f ca="1">SUM(OFFSET('Output data (results)'!$B$10,Z$15-2000+INDEX($I$2:$I$4,MATCH($B$1,$H$2:$H$4,0)),INDEX($M$2:$M$9,MATCH($B23&amp;$C23,$J$2:$J$9,0)),1,INDEX($N$2:$N$9,MATCH($B23&amp;$C23,$J$2:$J$9,0))))</f>
        <v>3.604110120966546</v>
      </c>
      <c r="AA23" s="561">
        <f ca="1">SUM(OFFSET('Output data (results)'!$B$10,AA$15-2000+INDEX($I$2:$I$4,MATCH($B$1,$H$2:$H$4,0)),INDEX($M$2:$M$9,MATCH($B23&amp;$C23,$J$2:$J$9,0)),1,INDEX($N$2:$N$9,MATCH($B23&amp;$C23,$J$2:$J$9,0))))</f>
        <v>3.6393435987346821</v>
      </c>
      <c r="AB23" s="561">
        <f ca="1">SUM(OFFSET('Output data (results)'!$B$10,AB$15-2000+INDEX($I$2:$I$4,MATCH($B$1,$H$2:$H$4,0)),INDEX($M$2:$M$9,MATCH($B23&amp;$C23,$J$2:$J$9,0)),1,INDEX($N$2:$N$9,MATCH($B23&amp;$C23,$J$2:$J$9,0))))</f>
        <v>3.6739664906342075</v>
      </c>
      <c r="AC23" s="561">
        <f ca="1">SUM(OFFSET('Output data (results)'!$B$10,AC$15-2000+INDEX($I$2:$I$4,MATCH($B$1,$H$2:$H$4,0)),INDEX($M$2:$M$9,MATCH($B23&amp;$C23,$J$2:$J$9,0)),1,INDEX($N$2:$N$9,MATCH($B23&amp;$C23,$J$2:$J$9,0))))</f>
        <v>3.7079546563627162</v>
      </c>
      <c r="AD23" s="561">
        <f ca="1">SUM(OFFSET('Output data (results)'!$B$10,AD$15-2000+INDEX($I$2:$I$4,MATCH($B$1,$H$2:$H$4,0)),INDEX($M$2:$M$9,MATCH($B23&amp;$C23,$J$2:$J$9,0)),1,INDEX($N$2:$N$9,MATCH($B23&amp;$C23,$J$2:$J$9,0))))</f>
        <v>3.7412842193129237</v>
      </c>
      <c r="AE23" s="561">
        <f ca="1">SUM(OFFSET('Output data (results)'!$B$10,AE$15-2000+INDEX($I$2:$I$4,MATCH($B$1,$H$2:$H$4,0)),INDEX($M$2:$M$9,MATCH($B23&amp;$C23,$J$2:$J$9,0)),1,INDEX($N$2:$N$9,MATCH($B23&amp;$C23,$J$2:$J$9,0))))</f>
        <v>3.7739315942130265</v>
      </c>
      <c r="AF23" s="561">
        <f ca="1">SUM(OFFSET('Output data (results)'!$B$10,AF$15-2000+INDEX($I$2:$I$4,MATCH($B$1,$H$2:$H$4,0)),INDEX($M$2:$M$9,MATCH($B23&amp;$C23,$J$2:$J$9,0)),1,INDEX($N$2:$N$9,MATCH($B23&amp;$C23,$J$2:$J$9,0))))</f>
        <v>3.8058735146550235</v>
      </c>
      <c r="AG23" s="561">
        <f ca="1">SUM(OFFSET('Output data (results)'!$B$10,AG$15-2000+INDEX($I$2:$I$4,MATCH($B$1,$H$2:$H$4,0)),INDEX($M$2:$M$9,MATCH($B23&amp;$C23,$J$2:$J$9,0)),1,INDEX($N$2:$N$9,MATCH($B23&amp;$C23,$J$2:$J$9,0))))</f>
        <v>3.8371624579893204</v>
      </c>
      <c r="AH23" s="561">
        <f ca="1">SUM(OFFSET('Output data (results)'!$B$10,AH$15-2000+INDEX($I$2:$I$4,MATCH($B$1,$H$2:$H$4,0)),INDEX($M$2:$M$9,MATCH($B23&amp;$C23,$J$2:$J$9,0)),1,INDEX($N$2:$N$9,MATCH($B23&amp;$C23,$J$2:$J$9,0))))</f>
        <v>3.8677777157507212</v>
      </c>
      <c r="AI23" s="561">
        <f ca="1">SUM(OFFSET('Output data (results)'!$B$10,AI$15-2000+INDEX($I$2:$I$4,MATCH($B$1,$H$2:$H$4,0)),INDEX($M$2:$M$9,MATCH($B23&amp;$C23,$J$2:$J$9,0)),1,INDEX($N$2:$N$9,MATCH($B23&amp;$C23,$J$2:$J$9,0))))</f>
        <v>3.8976988945217657</v>
      </c>
      <c r="AJ23" s="561">
        <f ca="1">SUM(OFFSET('Output data (results)'!$B$10,AJ$15-2000+INDEX($I$2:$I$4,MATCH($B$1,$H$2:$H$4,0)),INDEX($M$2:$M$9,MATCH($B23&amp;$C23,$J$2:$J$9,0)),1,INDEX($N$2:$N$9,MATCH($B23&amp;$C23,$J$2:$J$9,0))))</f>
        <v>3.9269059383895084</v>
      </c>
      <c r="AK23" s="561">
        <f ca="1">SUM(OFFSET('Output data (results)'!$B$10,AK$15-2000+INDEX($I$2:$I$4,MATCH($B$1,$H$2:$H$4,0)),INDEX($M$2:$M$9,MATCH($B23&amp;$C23,$J$2:$J$9,0)),1,INDEX($N$2:$N$9,MATCH($B23&amp;$C23,$J$2:$J$9,0))))</f>
        <v>3.9553791511829659</v>
      </c>
      <c r="AL23" s="561">
        <f ca="1">SUM(OFFSET('Output data (results)'!$B$10,AL$15-2000+INDEX($I$2:$I$4,MATCH($B$1,$H$2:$H$4,0)),INDEX($M$2:$M$9,MATCH($B23&amp;$C23,$J$2:$J$9,0)),1,INDEX($N$2:$N$9,MATCH($B23&amp;$C23,$J$2:$J$9,0))))</f>
        <v>3.9831806052294589</v>
      </c>
      <c r="AM23" s="561">
        <f ca="1">SUM(OFFSET('Output data (results)'!$B$10,AM$15-2000+INDEX($I$2:$I$4,MATCH($B$1,$H$2:$H$4,0)),INDEX($M$2:$M$9,MATCH($B23&amp;$C23,$J$2:$J$9,0)),1,INDEX($N$2:$N$9,MATCH($B23&amp;$C23,$J$2:$J$9,0))))</f>
        <v>4.0102930842333384</v>
      </c>
      <c r="AN23" s="561">
        <f ca="1">SUM(OFFSET('Output data (results)'!$B$10,AN$15-2000+INDEX($I$2:$I$4,MATCH($B$1,$H$2:$H$4,0)),INDEX($M$2:$M$9,MATCH($B23&amp;$C23,$J$2:$J$9,0)),1,INDEX($N$2:$N$9,MATCH($B23&amp;$C23,$J$2:$J$9,0))))</f>
        <v>4.0366997059861536</v>
      </c>
      <c r="AO23" s="561">
        <f ca="1">SUM(OFFSET('Output data (results)'!$B$10,AO$15-2000+INDEX($I$2:$I$4,MATCH($B$1,$H$2:$H$4,0)),INDEX($M$2:$M$9,MATCH($B23&amp;$C23,$J$2:$J$9,0)),1,INDEX($N$2:$N$9,MATCH($B23&amp;$C23,$J$2:$J$9,0))))</f>
        <v>4.0623839397824701</v>
      </c>
      <c r="AP23" s="561">
        <f ca="1">SUM(OFFSET('Output data (results)'!$B$10,AP$15-2000+INDEX($I$2:$I$4,MATCH($B$1,$H$2:$H$4,0)),INDEX($M$2:$M$9,MATCH($B23&amp;$C23,$J$2:$J$9,0)),1,INDEX($N$2:$N$9,MATCH($B23&amp;$C23,$J$2:$J$9,0))))</f>
        <v>4.0873296235717493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A91" zoomScale="56" zoomScaleNormal="60" workbookViewId="0">
      <selection activeCell="B112" sqref="B112:B11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28.06789123869763</v>
      </c>
      <c r="D5" s="196" t="s">
        <v>470</v>
      </c>
    </row>
    <row r="6" spans="1:14" ht="31.5">
      <c r="A6" s="189" t="s">
        <v>570</v>
      </c>
      <c r="B6" s="454" t="str">
        <f>B5</f>
        <v>ton industrial waste/Rmill GDP</v>
      </c>
      <c r="C6" s="406">
        <f>'Waste Summary 2017 SASOW'!B36</f>
        <v>12.031045626813224</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29">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69" t="s">
        <v>221</v>
      </c>
      <c r="D12" s="1169" t="s">
        <v>85</v>
      </c>
      <c r="E12" s="1169" t="s">
        <v>87</v>
      </c>
      <c r="F12" s="1169" t="s">
        <v>222</v>
      </c>
      <c r="G12" s="1169" t="s">
        <v>115</v>
      </c>
      <c r="H12" s="1169" t="s">
        <v>223</v>
      </c>
      <c r="I12" s="1169" t="s">
        <v>472</v>
      </c>
      <c r="J12" s="1169" t="s">
        <v>329</v>
      </c>
      <c r="K12" s="1169" t="s">
        <v>330</v>
      </c>
      <c r="L12" s="1169" t="s">
        <v>331</v>
      </c>
      <c r="M12" s="1169" t="s">
        <v>332</v>
      </c>
      <c r="N12" s="1168" t="s">
        <v>225</v>
      </c>
    </row>
    <row r="13" spans="1:14">
      <c r="A13" s="425"/>
      <c r="B13" s="320" t="s">
        <v>333</v>
      </c>
      <c r="C13" s="1275">
        <v>1233791.4119790548</v>
      </c>
      <c r="D13" s="1275">
        <v>1138884.3802883581</v>
      </c>
      <c r="E13" s="1275">
        <v>378326.54427023319</v>
      </c>
      <c r="F13" s="1275">
        <v>0</v>
      </c>
      <c r="G13" s="1275">
        <v>0</v>
      </c>
      <c r="H13" s="1275">
        <v>0</v>
      </c>
      <c r="I13" s="1275"/>
      <c r="J13" s="1275">
        <v>381000</v>
      </c>
      <c r="K13" s="1275">
        <v>338388.97868490184</v>
      </c>
      <c r="L13" s="1275">
        <v>297470.77450579114</v>
      </c>
      <c r="M13" s="1275">
        <v>0</v>
      </c>
      <c r="N13" s="1276">
        <f t="shared" ref="N13:N21" si="0">SUM(C13:M13)</f>
        <v>3767862.0897283391</v>
      </c>
    </row>
    <row r="14" spans="1:14">
      <c r="A14" s="426" t="s">
        <v>334</v>
      </c>
      <c r="B14" s="320" t="s">
        <v>335</v>
      </c>
      <c r="C14" s="1275">
        <v>964286</v>
      </c>
      <c r="D14" s="1275">
        <v>964286</v>
      </c>
      <c r="E14" s="1275">
        <v>0</v>
      </c>
      <c r="F14" s="1275">
        <v>0</v>
      </c>
      <c r="G14" s="1275">
        <v>0</v>
      </c>
      <c r="H14" s="1275">
        <v>0</v>
      </c>
      <c r="I14" s="1275">
        <v>2892858</v>
      </c>
      <c r="J14" s="1275">
        <v>0</v>
      </c>
      <c r="K14" s="1275">
        <v>0</v>
      </c>
      <c r="L14" s="1275">
        <v>0</v>
      </c>
      <c r="M14" s="1275">
        <v>0</v>
      </c>
      <c r="N14" s="1276">
        <f t="shared" si="0"/>
        <v>4821430</v>
      </c>
    </row>
    <row r="15" spans="1:14">
      <c r="A15" s="426" t="s">
        <v>336</v>
      </c>
      <c r="B15" s="320" t="s">
        <v>337</v>
      </c>
      <c r="C15" s="1275">
        <v>72176.800000000003</v>
      </c>
      <c r="D15" s="1275">
        <v>72176.800000000003</v>
      </c>
      <c r="E15" s="1275">
        <v>0</v>
      </c>
      <c r="F15" s="1275">
        <v>0</v>
      </c>
      <c r="G15" s="1275">
        <v>0</v>
      </c>
      <c r="H15" s="1275">
        <v>0</v>
      </c>
      <c r="I15" s="1275">
        <v>216530.4</v>
      </c>
      <c r="J15" s="1275">
        <v>0</v>
      </c>
      <c r="K15" s="1275">
        <v>0</v>
      </c>
      <c r="L15" s="1275">
        <v>0</v>
      </c>
      <c r="M15" s="1275">
        <v>0</v>
      </c>
      <c r="N15" s="1276">
        <f t="shared" si="0"/>
        <v>360884</v>
      </c>
    </row>
    <row r="16" spans="1:14">
      <c r="A16" s="426" t="s">
        <v>338</v>
      </c>
      <c r="B16" s="320" t="s">
        <v>339</v>
      </c>
      <c r="C16" s="1275">
        <v>0</v>
      </c>
      <c r="D16" s="1275">
        <v>0</v>
      </c>
      <c r="E16" s="1275">
        <v>520349.97572976683</v>
      </c>
      <c r="F16" s="1275">
        <v>0</v>
      </c>
      <c r="G16" s="1275">
        <v>0</v>
      </c>
      <c r="H16" s="1275">
        <v>0</v>
      </c>
      <c r="I16" s="1275">
        <v>0</v>
      </c>
      <c r="J16" s="1275">
        <v>237880.00199999998</v>
      </c>
      <c r="K16" s="1275">
        <v>465419.88531509798</v>
      </c>
      <c r="L16" s="1275">
        <v>409141.02549420868</v>
      </c>
      <c r="M16" s="1275">
        <v>123895.58799999999</v>
      </c>
      <c r="N16" s="1276">
        <f t="shared" si="0"/>
        <v>1756686.4765390735</v>
      </c>
    </row>
    <row r="17" spans="1:16">
      <c r="A17" s="426" t="s">
        <v>338</v>
      </c>
      <c r="B17" s="320" t="s">
        <v>340</v>
      </c>
      <c r="C17" s="1275">
        <v>0</v>
      </c>
      <c r="D17" s="1275">
        <v>0</v>
      </c>
      <c r="E17" s="1275">
        <v>1241029.48</v>
      </c>
      <c r="F17" s="1275">
        <v>0</v>
      </c>
      <c r="G17" s="1275">
        <v>0</v>
      </c>
      <c r="H17" s="1275">
        <v>0</v>
      </c>
      <c r="I17" s="1275">
        <v>0</v>
      </c>
      <c r="J17" s="1275">
        <v>480373.99800000002</v>
      </c>
      <c r="K17" s="1275">
        <v>1987194.1360000002</v>
      </c>
      <c r="L17" s="1275">
        <v>2826447.2</v>
      </c>
      <c r="M17" s="1275">
        <v>38271.412000000004</v>
      </c>
      <c r="N17" s="1276">
        <f t="shared" si="0"/>
        <v>6573316.2259999998</v>
      </c>
    </row>
    <row r="18" spans="1:16">
      <c r="A18" s="426" t="s">
        <v>341</v>
      </c>
      <c r="B18" s="320" t="s">
        <v>342</v>
      </c>
      <c r="C18" s="1275">
        <v>2500000</v>
      </c>
      <c r="D18" s="1275">
        <v>4200000</v>
      </c>
      <c r="E18" s="1275">
        <v>0</v>
      </c>
      <c r="F18" s="1275">
        <v>0</v>
      </c>
      <c r="G18" s="1275">
        <v>0</v>
      </c>
      <c r="H18" s="1275">
        <v>0</v>
      </c>
      <c r="I18" s="1275">
        <v>0</v>
      </c>
      <c r="J18" s="1275">
        <v>0</v>
      </c>
      <c r="K18" s="1275">
        <v>0</v>
      </c>
      <c r="L18" s="1275">
        <v>0</v>
      </c>
      <c r="M18" s="1275">
        <v>0</v>
      </c>
      <c r="N18" s="1276">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737</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7"/>
      <c r="B31" s="430" t="s">
        <v>738</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78">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06"/>
      <c r="B33" s="1703" t="s">
        <v>485</v>
      </c>
      <c r="C33" s="1704"/>
      <c r="D33" s="1704"/>
      <c r="E33" s="1704"/>
      <c r="F33" s="1705"/>
      <c r="G33" s="1703" t="s">
        <v>532</v>
      </c>
      <c r="H33" s="1704"/>
      <c r="I33" s="1705"/>
      <c r="J33" s="417"/>
      <c r="L33" s="417"/>
      <c r="M33" s="417"/>
      <c r="N33" s="332"/>
      <c r="O33" s="332"/>
      <c r="P33" s="332"/>
    </row>
    <row r="34" spans="1:29" ht="16.5" thickBot="1">
      <c r="A34" s="1707"/>
      <c r="B34" s="1177" t="s">
        <v>473</v>
      </c>
      <c r="C34" s="1178" t="s">
        <v>778</v>
      </c>
      <c r="D34" s="1178" t="s">
        <v>377</v>
      </c>
      <c r="E34" s="1178" t="s">
        <v>477</v>
      </c>
      <c r="F34" s="1179" t="s">
        <v>303</v>
      </c>
      <c r="G34" s="1177" t="s">
        <v>493</v>
      </c>
      <c r="H34" s="1178" t="s">
        <v>494</v>
      </c>
      <c r="I34" s="1179" t="s">
        <v>303</v>
      </c>
      <c r="J34" s="184"/>
      <c r="K34" s="184"/>
      <c r="L34" s="184"/>
    </row>
    <row r="35" spans="1:29">
      <c r="A35" s="1440" t="s">
        <v>267</v>
      </c>
      <c r="B35" s="1181">
        <f>(0.5*'Waste Summary 2017 SASOW'!M6+0.9*('Waste Summary 2017 SASOW'!L6+'Waste Summary 2017 SASOW'!N6))/'Waste Summary 2017 SASOW'!J6</f>
        <v>0.46471844811027063</v>
      </c>
      <c r="C35" s="1181">
        <f>'Waste Summary 2017 SASOW'!O22</f>
        <v>0.41381327103365251</v>
      </c>
      <c r="D35" s="1181">
        <f>(0.5*'Waste Summary 2017 SASOW'!M6+('Waste Summary 2017 SASOW'!L6+'Waste Summary 2017 SASOW'!N6)*0.1)/'Waste Summary 2017 SASOW'!J6</f>
        <v>0.12146828085607692</v>
      </c>
      <c r="E35" s="1182">
        <v>0</v>
      </c>
      <c r="F35" s="647">
        <f>SUM(B35:E35)</f>
        <v>1</v>
      </c>
      <c r="G35" s="708">
        <f>N17/(N17+N18*0.5)</f>
        <v>0.66241124199764068</v>
      </c>
      <c r="H35" s="647">
        <f>(N18*0.5)/(N18*0.5+N17)</f>
        <v>0.33758875800235938</v>
      </c>
      <c r="I35" s="715">
        <f>SUM(G35:H35)</f>
        <v>1</v>
      </c>
      <c r="J35" s="1635">
        <f>H35*C35</f>
        <v>0.13969870821314448</v>
      </c>
      <c r="K35" s="417"/>
      <c r="L35" s="184"/>
    </row>
    <row r="36" spans="1:29">
      <c r="A36" s="1441" t="s">
        <v>751</v>
      </c>
      <c r="B36" s="436">
        <f>'Waste Summary 2017 SASOW'!L20+'Waste Summary 2017 SASOW'!M20+'Waste Summary 2017 SASOW'!N20</f>
        <v>0.7821504466492184</v>
      </c>
      <c r="C36" s="436">
        <f>'Waste Summary 2017 SASOW'!O20</f>
        <v>8.8860692477895534E-2</v>
      </c>
      <c r="D36" s="436">
        <v>0</v>
      </c>
      <c r="E36" s="1180">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3"/>
      <c r="K36" s="184"/>
      <c r="L36" s="184"/>
      <c r="O36" s="332"/>
      <c r="P36" s="332"/>
    </row>
    <row r="37" spans="1:29">
      <c r="A37" s="1441" t="s">
        <v>752</v>
      </c>
      <c r="B37" s="436">
        <f>'Waste Summary 2017 SASOW'!L24+'Waste Summary 2017 SASOW'!M24+'Waste Summary 2017 SASOW'!N24</f>
        <v>0.57380711973947707</v>
      </c>
      <c r="C37" s="436">
        <f>'Waste Summary 2017 SASOW'!O24</f>
        <v>0.12526763815896438</v>
      </c>
      <c r="D37" s="436">
        <f>0</f>
        <v>0</v>
      </c>
      <c r="E37" s="1180">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2" t="s">
        <v>746</v>
      </c>
      <c r="B38" s="417">
        <v>0.8</v>
      </c>
      <c r="C38" s="417">
        <v>0.11</v>
      </c>
      <c r="D38" s="417">
        <v>0.09</v>
      </c>
      <c r="E38" s="417">
        <v>0</v>
      </c>
      <c r="F38" s="417">
        <f>SUM(B38:E38)</f>
        <v>1</v>
      </c>
      <c r="G38" s="649">
        <v>1</v>
      </c>
      <c r="H38" s="417">
        <v>0</v>
      </c>
      <c r="I38" s="525">
        <f t="shared" si="14"/>
        <v>1</v>
      </c>
      <c r="J38" s="184"/>
      <c r="K38" s="184"/>
      <c r="L38" s="184"/>
    </row>
    <row r="39" spans="1:29" ht="16.5" thickBot="1">
      <c r="A39" s="1443" t="s">
        <v>750</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08" t="s">
        <v>615</v>
      </c>
      <c r="B41" s="1709"/>
      <c r="C41" s="1710"/>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22" t="s">
        <v>527</v>
      </c>
      <c r="C47" s="1723"/>
      <c r="D47" s="1723"/>
      <c r="E47" s="1724"/>
      <c r="F47" s="1110" t="s">
        <v>529</v>
      </c>
      <c r="G47" s="1110"/>
      <c r="H47" s="1110"/>
      <c r="I47" s="1711" t="s">
        <v>631</v>
      </c>
      <c r="J47" s="1711"/>
      <c r="K47" s="1711"/>
      <c r="L47" s="1711"/>
      <c r="M47" s="1712"/>
      <c r="N47" s="1713" t="s">
        <v>530</v>
      </c>
      <c r="O47" s="1711"/>
      <c r="P47" s="1711"/>
      <c r="Q47" s="1711"/>
      <c r="R47" s="1711"/>
      <c r="S47" s="1711"/>
      <c r="T47" s="1711"/>
      <c r="U47" s="1711"/>
      <c r="V47" s="1711"/>
      <c r="W47" s="1711"/>
      <c r="X47" s="1711"/>
      <c r="Y47" s="1711"/>
      <c r="Z47" s="1711"/>
      <c r="AA47" s="1711"/>
      <c r="AB47" s="1711"/>
      <c r="AC47" s="1712"/>
    </row>
    <row r="48" spans="1:29" ht="94.5">
      <c r="A48" s="1720" t="s">
        <v>217</v>
      </c>
      <c r="B48" s="1106" t="s">
        <v>218</v>
      </c>
      <c r="C48" s="1106" t="s">
        <v>390</v>
      </c>
      <c r="D48" s="563" t="s">
        <v>629</v>
      </c>
      <c r="E48" s="469" t="s">
        <v>630</v>
      </c>
      <c r="F48" s="1111" t="s">
        <v>501</v>
      </c>
      <c r="G48" s="563" t="s">
        <v>504</v>
      </c>
      <c r="H48" s="469" t="s">
        <v>528</v>
      </c>
      <c r="I48" s="1167" t="s">
        <v>478</v>
      </c>
      <c r="J48" s="444" t="s">
        <v>475</v>
      </c>
      <c r="K48" s="444" t="s">
        <v>288</v>
      </c>
      <c r="L48" s="451" t="s">
        <v>740</v>
      </c>
      <c r="M48" s="451" t="s">
        <v>741</v>
      </c>
      <c r="N48" s="1714" t="s">
        <v>481</v>
      </c>
      <c r="O48" s="1715"/>
      <c r="P48" s="1715"/>
      <c r="Q48" s="1715"/>
      <c r="R48" s="1715"/>
      <c r="S48" s="1715"/>
      <c r="T48" s="1715"/>
      <c r="U48" s="1716"/>
      <c r="V48" s="1717" t="s">
        <v>739</v>
      </c>
      <c r="W48" s="1718"/>
      <c r="X48" s="1718"/>
      <c r="Y48" s="1718"/>
      <c r="Z48" s="1718"/>
      <c r="AA48" s="1718"/>
      <c r="AB48" s="1718"/>
      <c r="AC48" s="1719"/>
    </row>
    <row r="49" spans="1:29" ht="39" customHeight="1" thickBot="1">
      <c r="A49" s="1721"/>
      <c r="B49" s="458" t="s">
        <v>232</v>
      </c>
      <c r="C49" s="459" t="s">
        <v>482</v>
      </c>
      <c r="D49" s="459" t="s">
        <v>480</v>
      </c>
      <c r="E49" s="477" t="s">
        <v>480</v>
      </c>
      <c r="F49" s="1112" t="s">
        <v>229</v>
      </c>
      <c r="G49" s="459" t="s">
        <v>229</v>
      </c>
      <c r="H49" s="477" t="s">
        <v>228</v>
      </c>
      <c r="I49" s="562" t="s">
        <v>227</v>
      </c>
      <c r="J49" s="446" t="s">
        <v>393</v>
      </c>
      <c r="K49" s="446" t="s">
        <v>228</v>
      </c>
      <c r="L49" s="1287" t="s">
        <v>228</v>
      </c>
      <c r="M49" s="447" t="s">
        <v>228</v>
      </c>
      <c r="N49" s="416" t="s">
        <v>221</v>
      </c>
      <c r="O49" s="185" t="s">
        <v>85</v>
      </c>
      <c r="P49" s="185" t="s">
        <v>87</v>
      </c>
      <c r="Q49" s="185" t="s">
        <v>222</v>
      </c>
      <c r="R49" s="185" t="s">
        <v>115</v>
      </c>
      <c r="S49" s="185" t="s">
        <v>223</v>
      </c>
      <c r="T49" s="185" t="s">
        <v>224</v>
      </c>
      <c r="U49" s="188" t="s">
        <v>225</v>
      </c>
      <c r="V49" s="1279" t="s">
        <v>221</v>
      </c>
      <c r="W49" s="1280" t="s">
        <v>85</v>
      </c>
      <c r="X49" s="1280" t="s">
        <v>87</v>
      </c>
      <c r="Y49" s="1280" t="s">
        <v>222</v>
      </c>
      <c r="Z49" s="1280" t="s">
        <v>115</v>
      </c>
      <c r="AA49" s="1280" t="s">
        <v>223</v>
      </c>
      <c r="AB49" s="1280" t="s">
        <v>224</v>
      </c>
      <c r="AC49" s="1281" t="s">
        <v>225</v>
      </c>
    </row>
    <row r="50" spans="1:29">
      <c r="A50" s="760">
        <f>year</f>
        <v>1950</v>
      </c>
      <c r="B50" s="1654">
        <v>5.3541578999999997</v>
      </c>
      <c r="C50" s="761"/>
      <c r="D50" s="1575">
        <v>0</v>
      </c>
      <c r="E50" s="1576">
        <v>0</v>
      </c>
      <c r="F50" s="186">
        <f>C43</f>
        <v>0.71479999999999999</v>
      </c>
      <c r="G50" s="186">
        <f>C42</f>
        <v>0.28959999999999997</v>
      </c>
      <c r="H50" s="478">
        <v>0</v>
      </c>
      <c r="I50" s="1288">
        <f>$C$3</f>
        <v>578.73</v>
      </c>
      <c r="J50" s="1289">
        <f>'Waste Summary 2017 SASOW'!B34</f>
        <v>28.06789123869763</v>
      </c>
      <c r="K50" s="1290">
        <f t="shared" ref="K50:K110" si="15">B50*I50</f>
        <v>3098.6118014670001</v>
      </c>
      <c r="L50" s="1290">
        <f>C50*J50*1000/1000</f>
        <v>0</v>
      </c>
      <c r="M50" s="1291">
        <f t="shared" ref="M50:M113" si="16">C50*J50*1000/1000</f>
        <v>0</v>
      </c>
      <c r="N50" s="1249">
        <f t="shared" ref="N50:S50" si="17">C29</f>
        <v>0.19892488097366726</v>
      </c>
      <c r="O50" s="1249">
        <f t="shared" si="17"/>
        <v>0.26585903447659598</v>
      </c>
      <c r="P50" s="1249">
        <f t="shared" si="17"/>
        <v>8.9228108703258049E-2</v>
      </c>
      <c r="Q50" s="1249">
        <f t="shared" si="17"/>
        <v>0</v>
      </c>
      <c r="R50" s="1249">
        <f t="shared" si="17"/>
        <v>0</v>
      </c>
      <c r="S50" s="1249">
        <f t="shared" si="17"/>
        <v>0</v>
      </c>
      <c r="T50" s="1249">
        <f>SUM(I29:M29)</f>
        <v>0.4459879758464787</v>
      </c>
      <c r="U50" s="1282">
        <f t="shared" ref="U50:U81" si="18">SUM(N50:T50)</f>
        <v>1</v>
      </c>
      <c r="V50" s="1283">
        <f>C31</f>
        <v>0.29028184578274857</v>
      </c>
      <c r="W50" s="1249">
        <f>D31</f>
        <v>0.30317187715157518</v>
      </c>
      <c r="X50" s="1249">
        <f>E31</f>
        <v>8.2805443243048754E-2</v>
      </c>
      <c r="Y50" s="1249">
        <f t="shared" ref="Y50:AA50" si="19">F31</f>
        <v>0</v>
      </c>
      <c r="Z50" s="1249">
        <f t="shared" si="19"/>
        <v>0</v>
      </c>
      <c r="AA50" s="1249">
        <f t="shared" si="19"/>
        <v>0</v>
      </c>
      <c r="AB50" s="1249">
        <f>SUM(I31:M31)</f>
        <v>0.32374083382262742</v>
      </c>
      <c r="AC50" s="1282">
        <f>SUM(V50:AB50)</f>
        <v>0.99999999999999989</v>
      </c>
    </row>
    <row r="51" spans="1:29">
      <c r="A51" s="187">
        <f t="shared" ref="A51:A82" si="20">A50+1</f>
        <v>1951</v>
      </c>
      <c r="B51" s="1655">
        <v>5.53942844</v>
      </c>
      <c r="C51" s="409"/>
      <c r="D51" s="1577">
        <v>0</v>
      </c>
      <c r="E51" s="1578">
        <v>0</v>
      </c>
      <c r="F51" s="186">
        <f>F50</f>
        <v>0.71479999999999999</v>
      </c>
      <c r="G51" s="186">
        <f>G50</f>
        <v>0.28959999999999997</v>
      </c>
      <c r="H51" s="478">
        <v>0</v>
      </c>
      <c r="I51" s="1292">
        <f t="shared" ref="I51:I109" si="21">$C$3</f>
        <v>578.73</v>
      </c>
      <c r="J51" s="1293">
        <f t="shared" ref="J51:J114" si="22">J50</f>
        <v>28.06789123869763</v>
      </c>
      <c r="K51" s="1294">
        <f t="shared" si="15"/>
        <v>3205.8334210812</v>
      </c>
      <c r="L51" s="1294">
        <f t="shared" ref="L51:L99" si="23">C51*J51*1000/1000</f>
        <v>0</v>
      </c>
      <c r="M51" s="1295">
        <f t="shared" si="16"/>
        <v>0</v>
      </c>
      <c r="N51" s="1249">
        <f t="shared" ref="N51:T66" si="24">N50</f>
        <v>0.19892488097366726</v>
      </c>
      <c r="O51" s="1249">
        <f t="shared" si="24"/>
        <v>0.26585903447659598</v>
      </c>
      <c r="P51" s="1249">
        <f t="shared" si="24"/>
        <v>8.9228108703258049E-2</v>
      </c>
      <c r="Q51" s="1249">
        <f t="shared" si="24"/>
        <v>0</v>
      </c>
      <c r="R51" s="1249">
        <f t="shared" si="24"/>
        <v>0</v>
      </c>
      <c r="S51" s="1249">
        <f t="shared" si="24"/>
        <v>0</v>
      </c>
      <c r="T51" s="1249">
        <f t="shared" si="24"/>
        <v>0.4459879758464787</v>
      </c>
      <c r="U51" s="1282">
        <f t="shared" si="18"/>
        <v>1</v>
      </c>
      <c r="V51" s="1283">
        <f>V50</f>
        <v>0.29028184578274857</v>
      </c>
      <c r="W51" s="1249">
        <f t="shared" ref="W51:AB66" si="25">W50</f>
        <v>0.30317187715157518</v>
      </c>
      <c r="X51" s="1249">
        <f t="shared" si="25"/>
        <v>8.2805443243048754E-2</v>
      </c>
      <c r="Y51" s="1249">
        <f t="shared" si="25"/>
        <v>0</v>
      </c>
      <c r="Z51" s="1249">
        <f t="shared" si="25"/>
        <v>0</v>
      </c>
      <c r="AA51" s="1249">
        <f t="shared" si="25"/>
        <v>0</v>
      </c>
      <c r="AB51" s="1249">
        <f t="shared" si="25"/>
        <v>0.32374083382262742</v>
      </c>
      <c r="AC51" s="1282">
        <f t="shared" ref="AC51:AC114" si="26">SUM(V51:AB51)</f>
        <v>0.99999999999999989</v>
      </c>
    </row>
    <row r="52" spans="1:29">
      <c r="A52" s="187">
        <f t="shared" si="20"/>
        <v>1952</v>
      </c>
      <c r="B52" s="1655">
        <v>5.7129272200000001</v>
      </c>
      <c r="C52" s="409"/>
      <c r="D52" s="1577">
        <v>0</v>
      </c>
      <c r="E52" s="1578">
        <v>0</v>
      </c>
      <c r="F52" s="186">
        <f t="shared" ref="F52:F115" si="27">F51</f>
        <v>0.71479999999999999</v>
      </c>
      <c r="G52" s="186">
        <f t="shared" ref="G52:G115" si="28">G51</f>
        <v>0.28959999999999997</v>
      </c>
      <c r="H52" s="478">
        <v>0</v>
      </c>
      <c r="I52" s="1292">
        <f t="shared" si="21"/>
        <v>578.73</v>
      </c>
      <c r="J52" s="1293">
        <f t="shared" si="22"/>
        <v>28.06789123869763</v>
      </c>
      <c r="K52" s="1294">
        <f t="shared" si="15"/>
        <v>3306.2423700306003</v>
      </c>
      <c r="L52" s="1294">
        <f t="shared" si="23"/>
        <v>0</v>
      </c>
      <c r="M52" s="1295">
        <f t="shared" si="16"/>
        <v>0</v>
      </c>
      <c r="N52" s="1249">
        <f t="shared" si="24"/>
        <v>0.19892488097366726</v>
      </c>
      <c r="O52" s="1249">
        <f t="shared" si="24"/>
        <v>0.26585903447659598</v>
      </c>
      <c r="P52" s="1249">
        <f t="shared" si="24"/>
        <v>8.9228108703258049E-2</v>
      </c>
      <c r="Q52" s="1249">
        <f t="shared" si="24"/>
        <v>0</v>
      </c>
      <c r="R52" s="1249">
        <f t="shared" si="24"/>
        <v>0</v>
      </c>
      <c r="S52" s="1249">
        <f t="shared" si="24"/>
        <v>0</v>
      </c>
      <c r="T52" s="1249">
        <f t="shared" si="24"/>
        <v>0.4459879758464787</v>
      </c>
      <c r="U52" s="1282">
        <f t="shared" si="18"/>
        <v>1</v>
      </c>
      <c r="V52" s="1283">
        <f t="shared" ref="V52:AB67" si="29">V51</f>
        <v>0.29028184578274857</v>
      </c>
      <c r="W52" s="1249">
        <f t="shared" si="25"/>
        <v>0.30317187715157518</v>
      </c>
      <c r="X52" s="1249">
        <f t="shared" si="25"/>
        <v>8.2805443243048754E-2</v>
      </c>
      <c r="Y52" s="1249">
        <f t="shared" si="25"/>
        <v>0</v>
      </c>
      <c r="Z52" s="1249">
        <f t="shared" si="25"/>
        <v>0</v>
      </c>
      <c r="AA52" s="1249">
        <f t="shared" si="25"/>
        <v>0</v>
      </c>
      <c r="AB52" s="1249">
        <f t="shared" si="25"/>
        <v>0.32374083382262742</v>
      </c>
      <c r="AC52" s="1282">
        <f t="shared" si="26"/>
        <v>0.99999999999999989</v>
      </c>
    </row>
    <row r="53" spans="1:29">
      <c r="A53" s="187">
        <f t="shared" si="20"/>
        <v>1953</v>
      </c>
      <c r="B53" s="1655">
        <v>5.9284297800000001</v>
      </c>
      <c r="C53" s="409"/>
      <c r="D53" s="1577">
        <v>0</v>
      </c>
      <c r="E53" s="1578">
        <v>0</v>
      </c>
      <c r="F53" s="186">
        <f t="shared" si="27"/>
        <v>0.71479999999999999</v>
      </c>
      <c r="G53" s="186">
        <f t="shared" si="28"/>
        <v>0.28959999999999997</v>
      </c>
      <c r="H53" s="478">
        <v>0</v>
      </c>
      <c r="I53" s="1292">
        <f t="shared" si="21"/>
        <v>578.73</v>
      </c>
      <c r="J53" s="1293">
        <f t="shared" si="22"/>
        <v>28.06789123869763</v>
      </c>
      <c r="K53" s="1294">
        <f t="shared" si="15"/>
        <v>3430.9601665794003</v>
      </c>
      <c r="L53" s="1294">
        <f t="shared" si="23"/>
        <v>0</v>
      </c>
      <c r="M53" s="1295">
        <f t="shared" si="16"/>
        <v>0</v>
      </c>
      <c r="N53" s="1249">
        <f t="shared" si="24"/>
        <v>0.19892488097366726</v>
      </c>
      <c r="O53" s="1249">
        <f t="shared" si="24"/>
        <v>0.26585903447659598</v>
      </c>
      <c r="P53" s="1249">
        <f t="shared" si="24"/>
        <v>8.9228108703258049E-2</v>
      </c>
      <c r="Q53" s="1249">
        <f t="shared" si="24"/>
        <v>0</v>
      </c>
      <c r="R53" s="1249">
        <f t="shared" si="24"/>
        <v>0</v>
      </c>
      <c r="S53" s="1249">
        <f t="shared" si="24"/>
        <v>0</v>
      </c>
      <c r="T53" s="1249">
        <f t="shared" si="24"/>
        <v>0.4459879758464787</v>
      </c>
      <c r="U53" s="1282">
        <f t="shared" si="18"/>
        <v>1</v>
      </c>
      <c r="V53" s="1283">
        <f t="shared" si="29"/>
        <v>0.29028184578274857</v>
      </c>
      <c r="W53" s="1249">
        <f t="shared" si="25"/>
        <v>0.30317187715157518</v>
      </c>
      <c r="X53" s="1249">
        <f t="shared" si="25"/>
        <v>8.2805443243048754E-2</v>
      </c>
      <c r="Y53" s="1249">
        <f t="shared" si="25"/>
        <v>0</v>
      </c>
      <c r="Z53" s="1249">
        <f t="shared" si="25"/>
        <v>0</v>
      </c>
      <c r="AA53" s="1249">
        <f t="shared" si="25"/>
        <v>0</v>
      </c>
      <c r="AB53" s="1249">
        <f t="shared" si="25"/>
        <v>0.32374083382262742</v>
      </c>
      <c r="AC53" s="1282">
        <f t="shared" si="26"/>
        <v>0.99999999999999989</v>
      </c>
    </row>
    <row r="54" spans="1:29">
      <c r="A54" s="187">
        <f t="shared" si="20"/>
        <v>1954</v>
      </c>
      <c r="B54" s="1655">
        <v>6.1065695599999996</v>
      </c>
      <c r="C54" s="409"/>
      <c r="D54" s="1577">
        <v>0</v>
      </c>
      <c r="E54" s="1578">
        <v>0</v>
      </c>
      <c r="F54" s="186">
        <f t="shared" si="27"/>
        <v>0.71479999999999999</v>
      </c>
      <c r="G54" s="186">
        <f t="shared" si="28"/>
        <v>0.28959999999999997</v>
      </c>
      <c r="H54" s="478">
        <v>0</v>
      </c>
      <c r="I54" s="1292">
        <f t="shared" si="21"/>
        <v>578.73</v>
      </c>
      <c r="J54" s="1293">
        <f t="shared" si="22"/>
        <v>28.06789123869763</v>
      </c>
      <c r="K54" s="1294">
        <f t="shared" si="15"/>
        <v>3534.0550014587998</v>
      </c>
      <c r="L54" s="1294">
        <f t="shared" si="23"/>
        <v>0</v>
      </c>
      <c r="M54" s="1295">
        <f t="shared" si="16"/>
        <v>0</v>
      </c>
      <c r="N54" s="1249">
        <f t="shared" si="24"/>
        <v>0.19892488097366726</v>
      </c>
      <c r="O54" s="1249">
        <f t="shared" si="24"/>
        <v>0.26585903447659598</v>
      </c>
      <c r="P54" s="1249">
        <f t="shared" si="24"/>
        <v>8.9228108703258049E-2</v>
      </c>
      <c r="Q54" s="1249">
        <f t="shared" si="24"/>
        <v>0</v>
      </c>
      <c r="R54" s="1249">
        <f t="shared" si="24"/>
        <v>0</v>
      </c>
      <c r="S54" s="1249">
        <f t="shared" si="24"/>
        <v>0</v>
      </c>
      <c r="T54" s="1249">
        <f t="shared" si="24"/>
        <v>0.4459879758464787</v>
      </c>
      <c r="U54" s="1282">
        <f t="shared" si="18"/>
        <v>1</v>
      </c>
      <c r="V54" s="1283">
        <f t="shared" si="29"/>
        <v>0.29028184578274857</v>
      </c>
      <c r="W54" s="1249">
        <f t="shared" si="25"/>
        <v>0.30317187715157518</v>
      </c>
      <c r="X54" s="1249">
        <f t="shared" si="25"/>
        <v>8.2805443243048754E-2</v>
      </c>
      <c r="Y54" s="1249">
        <f t="shared" si="25"/>
        <v>0</v>
      </c>
      <c r="Z54" s="1249">
        <f t="shared" si="25"/>
        <v>0</v>
      </c>
      <c r="AA54" s="1249">
        <f t="shared" si="25"/>
        <v>0</v>
      </c>
      <c r="AB54" s="1249">
        <f t="shared" si="25"/>
        <v>0.32374083382262742</v>
      </c>
      <c r="AC54" s="1282">
        <f t="shared" si="26"/>
        <v>0.99999999999999989</v>
      </c>
    </row>
    <row r="55" spans="1:29">
      <c r="A55" s="187">
        <f t="shared" si="20"/>
        <v>1955</v>
      </c>
      <c r="B55" s="1655">
        <v>6.2725644799999998</v>
      </c>
      <c r="C55" s="409"/>
      <c r="D55" s="1577">
        <v>0</v>
      </c>
      <c r="E55" s="1578">
        <v>0</v>
      </c>
      <c r="F55" s="186">
        <f t="shared" si="27"/>
        <v>0.71479999999999999</v>
      </c>
      <c r="G55" s="186">
        <f t="shared" si="28"/>
        <v>0.28959999999999997</v>
      </c>
      <c r="H55" s="478">
        <v>0</v>
      </c>
      <c r="I55" s="1292">
        <f t="shared" si="21"/>
        <v>578.73</v>
      </c>
      <c r="J55" s="1293">
        <f t="shared" si="22"/>
        <v>28.06789123869763</v>
      </c>
      <c r="K55" s="1294">
        <f t="shared" si="15"/>
        <v>3630.1212415104001</v>
      </c>
      <c r="L55" s="1294">
        <f t="shared" si="23"/>
        <v>0</v>
      </c>
      <c r="M55" s="1295">
        <f t="shared" si="16"/>
        <v>0</v>
      </c>
      <c r="N55" s="1249">
        <f t="shared" si="24"/>
        <v>0.19892488097366726</v>
      </c>
      <c r="O55" s="1249">
        <f t="shared" si="24"/>
        <v>0.26585903447659598</v>
      </c>
      <c r="P55" s="1249">
        <f t="shared" si="24"/>
        <v>8.9228108703258049E-2</v>
      </c>
      <c r="Q55" s="1249">
        <f t="shared" si="24"/>
        <v>0</v>
      </c>
      <c r="R55" s="1249">
        <f t="shared" si="24"/>
        <v>0</v>
      </c>
      <c r="S55" s="1249">
        <f t="shared" si="24"/>
        <v>0</v>
      </c>
      <c r="T55" s="1249">
        <f t="shared" si="24"/>
        <v>0.4459879758464787</v>
      </c>
      <c r="U55" s="1282">
        <f t="shared" si="18"/>
        <v>1</v>
      </c>
      <c r="V55" s="1283">
        <f t="shared" si="29"/>
        <v>0.29028184578274857</v>
      </c>
      <c r="W55" s="1249">
        <f t="shared" si="25"/>
        <v>0.30317187715157518</v>
      </c>
      <c r="X55" s="1249">
        <f t="shared" si="25"/>
        <v>8.2805443243048754E-2</v>
      </c>
      <c r="Y55" s="1249">
        <f t="shared" si="25"/>
        <v>0</v>
      </c>
      <c r="Z55" s="1249">
        <f t="shared" si="25"/>
        <v>0</v>
      </c>
      <c r="AA55" s="1249">
        <f t="shared" si="25"/>
        <v>0</v>
      </c>
      <c r="AB55" s="1249">
        <f t="shared" si="25"/>
        <v>0.32374083382262742</v>
      </c>
      <c r="AC55" s="1282">
        <f t="shared" si="26"/>
        <v>0.99999999999999989</v>
      </c>
    </row>
    <row r="56" spans="1:29">
      <c r="A56" s="187">
        <f t="shared" si="20"/>
        <v>1956</v>
      </c>
      <c r="B56" s="1655">
        <v>6.4651860000000001</v>
      </c>
      <c r="C56" s="409"/>
      <c r="D56" s="1577">
        <v>0</v>
      </c>
      <c r="E56" s="1578">
        <v>0</v>
      </c>
      <c r="F56" s="186">
        <f t="shared" si="27"/>
        <v>0.71479999999999999</v>
      </c>
      <c r="G56" s="186">
        <f t="shared" si="28"/>
        <v>0.28959999999999997</v>
      </c>
      <c r="H56" s="478">
        <v>0</v>
      </c>
      <c r="I56" s="1292">
        <f t="shared" si="21"/>
        <v>578.73</v>
      </c>
      <c r="J56" s="1293">
        <f t="shared" si="22"/>
        <v>28.06789123869763</v>
      </c>
      <c r="K56" s="1294">
        <f t="shared" si="15"/>
        <v>3741.5970937800003</v>
      </c>
      <c r="L56" s="1294">
        <f t="shared" si="23"/>
        <v>0</v>
      </c>
      <c r="M56" s="1295">
        <f t="shared" si="16"/>
        <v>0</v>
      </c>
      <c r="N56" s="1249">
        <f t="shared" si="24"/>
        <v>0.19892488097366726</v>
      </c>
      <c r="O56" s="1249">
        <f t="shared" si="24"/>
        <v>0.26585903447659598</v>
      </c>
      <c r="P56" s="1249">
        <f t="shared" si="24"/>
        <v>8.9228108703258049E-2</v>
      </c>
      <c r="Q56" s="1249">
        <f t="shared" si="24"/>
        <v>0</v>
      </c>
      <c r="R56" s="1249">
        <f t="shared" si="24"/>
        <v>0</v>
      </c>
      <c r="S56" s="1249">
        <f t="shared" si="24"/>
        <v>0</v>
      </c>
      <c r="T56" s="1249">
        <f t="shared" si="24"/>
        <v>0.4459879758464787</v>
      </c>
      <c r="U56" s="1282">
        <f t="shared" si="18"/>
        <v>1</v>
      </c>
      <c r="V56" s="1283">
        <f t="shared" si="29"/>
        <v>0.29028184578274857</v>
      </c>
      <c r="W56" s="1249">
        <f t="shared" si="25"/>
        <v>0.30317187715157518</v>
      </c>
      <c r="X56" s="1249">
        <f t="shared" si="25"/>
        <v>8.2805443243048754E-2</v>
      </c>
      <c r="Y56" s="1249">
        <f t="shared" si="25"/>
        <v>0</v>
      </c>
      <c r="Z56" s="1249">
        <f t="shared" si="25"/>
        <v>0</v>
      </c>
      <c r="AA56" s="1249">
        <f t="shared" si="25"/>
        <v>0</v>
      </c>
      <c r="AB56" s="1249">
        <f t="shared" si="25"/>
        <v>0.32374083382262742</v>
      </c>
      <c r="AC56" s="1282">
        <f t="shared" si="26"/>
        <v>0.99999999999999989</v>
      </c>
    </row>
    <row r="57" spans="1:29">
      <c r="A57" s="187">
        <f t="shared" si="20"/>
        <v>1957</v>
      </c>
      <c r="B57" s="1655">
        <v>6.6592707999999998</v>
      </c>
      <c r="C57" s="409"/>
      <c r="D57" s="1577">
        <v>0</v>
      </c>
      <c r="E57" s="1578">
        <v>0</v>
      </c>
      <c r="F57" s="186">
        <f t="shared" si="27"/>
        <v>0.71479999999999999</v>
      </c>
      <c r="G57" s="186">
        <f t="shared" si="28"/>
        <v>0.28959999999999997</v>
      </c>
      <c r="H57" s="478">
        <v>0</v>
      </c>
      <c r="I57" s="1292">
        <f t="shared" si="21"/>
        <v>578.73</v>
      </c>
      <c r="J57" s="1293">
        <f t="shared" si="22"/>
        <v>28.06789123869763</v>
      </c>
      <c r="K57" s="1294">
        <f t="shared" si="15"/>
        <v>3853.9197900839999</v>
      </c>
      <c r="L57" s="1294">
        <f t="shared" si="23"/>
        <v>0</v>
      </c>
      <c r="M57" s="1295">
        <f t="shared" si="16"/>
        <v>0</v>
      </c>
      <c r="N57" s="1249">
        <f t="shared" si="24"/>
        <v>0.19892488097366726</v>
      </c>
      <c r="O57" s="1249">
        <f t="shared" si="24"/>
        <v>0.26585903447659598</v>
      </c>
      <c r="P57" s="1249">
        <f t="shared" si="24"/>
        <v>8.9228108703258049E-2</v>
      </c>
      <c r="Q57" s="1249">
        <f t="shared" si="24"/>
        <v>0</v>
      </c>
      <c r="R57" s="1249">
        <f t="shared" si="24"/>
        <v>0</v>
      </c>
      <c r="S57" s="1249">
        <f t="shared" si="24"/>
        <v>0</v>
      </c>
      <c r="T57" s="1249">
        <f t="shared" si="24"/>
        <v>0.4459879758464787</v>
      </c>
      <c r="U57" s="1282">
        <f t="shared" si="18"/>
        <v>1</v>
      </c>
      <c r="V57" s="1283">
        <f t="shared" si="29"/>
        <v>0.29028184578274857</v>
      </c>
      <c r="W57" s="1249">
        <f t="shared" si="25"/>
        <v>0.30317187715157518</v>
      </c>
      <c r="X57" s="1249">
        <f t="shared" si="25"/>
        <v>8.2805443243048754E-2</v>
      </c>
      <c r="Y57" s="1249">
        <f t="shared" si="25"/>
        <v>0</v>
      </c>
      <c r="Z57" s="1249">
        <f t="shared" si="25"/>
        <v>0</v>
      </c>
      <c r="AA57" s="1249">
        <f t="shared" si="25"/>
        <v>0</v>
      </c>
      <c r="AB57" s="1249">
        <f t="shared" si="25"/>
        <v>0.32374083382262742</v>
      </c>
      <c r="AC57" s="1282">
        <f t="shared" si="26"/>
        <v>0.99999999999999989</v>
      </c>
    </row>
    <row r="58" spans="1:29">
      <c r="A58" s="187">
        <f t="shared" si="20"/>
        <v>1958</v>
      </c>
      <c r="B58" s="1655">
        <v>6.8699176</v>
      </c>
      <c r="C58" s="409"/>
      <c r="D58" s="1577">
        <v>0</v>
      </c>
      <c r="E58" s="1578">
        <v>0</v>
      </c>
      <c r="F58" s="186">
        <f t="shared" si="27"/>
        <v>0.71479999999999999</v>
      </c>
      <c r="G58" s="186">
        <f t="shared" si="28"/>
        <v>0.28959999999999997</v>
      </c>
      <c r="H58" s="478">
        <v>0</v>
      </c>
      <c r="I58" s="1292">
        <f t="shared" si="21"/>
        <v>578.73</v>
      </c>
      <c r="J58" s="1293">
        <f t="shared" si="22"/>
        <v>28.06789123869763</v>
      </c>
      <c r="K58" s="1294">
        <f t="shared" si="15"/>
        <v>3975.8274126480001</v>
      </c>
      <c r="L58" s="1294">
        <f t="shared" si="23"/>
        <v>0</v>
      </c>
      <c r="M58" s="1295">
        <f t="shared" si="16"/>
        <v>0</v>
      </c>
      <c r="N58" s="1249">
        <f t="shared" si="24"/>
        <v>0.19892488097366726</v>
      </c>
      <c r="O58" s="1249">
        <f t="shared" si="24"/>
        <v>0.26585903447659598</v>
      </c>
      <c r="P58" s="1249">
        <f t="shared" si="24"/>
        <v>8.9228108703258049E-2</v>
      </c>
      <c r="Q58" s="1249">
        <f t="shared" si="24"/>
        <v>0</v>
      </c>
      <c r="R58" s="1249">
        <f t="shared" si="24"/>
        <v>0</v>
      </c>
      <c r="S58" s="1249">
        <f t="shared" si="24"/>
        <v>0</v>
      </c>
      <c r="T58" s="1249">
        <f t="shared" si="24"/>
        <v>0.4459879758464787</v>
      </c>
      <c r="U58" s="1282">
        <f t="shared" si="18"/>
        <v>1</v>
      </c>
      <c r="V58" s="1283">
        <f t="shared" si="29"/>
        <v>0.29028184578274857</v>
      </c>
      <c r="W58" s="1249">
        <f t="shared" si="25"/>
        <v>0.30317187715157518</v>
      </c>
      <c r="X58" s="1249">
        <f t="shared" si="25"/>
        <v>8.2805443243048754E-2</v>
      </c>
      <c r="Y58" s="1249">
        <f t="shared" si="25"/>
        <v>0</v>
      </c>
      <c r="Z58" s="1249">
        <f t="shared" si="25"/>
        <v>0</v>
      </c>
      <c r="AA58" s="1249">
        <f t="shared" si="25"/>
        <v>0</v>
      </c>
      <c r="AB58" s="1249">
        <f t="shared" si="25"/>
        <v>0.32374083382262742</v>
      </c>
      <c r="AC58" s="1282">
        <f t="shared" si="26"/>
        <v>0.99999999999999989</v>
      </c>
    </row>
    <row r="59" spans="1:29">
      <c r="A59" s="187">
        <f t="shared" si="20"/>
        <v>1959</v>
      </c>
      <c r="B59" s="1655">
        <v>7.0827593200000001</v>
      </c>
      <c r="C59" s="409"/>
      <c r="D59" s="1577">
        <v>0</v>
      </c>
      <c r="E59" s="1578">
        <v>0</v>
      </c>
      <c r="F59" s="186">
        <f t="shared" si="27"/>
        <v>0.71479999999999999</v>
      </c>
      <c r="G59" s="186">
        <f t="shared" si="28"/>
        <v>0.28959999999999997</v>
      </c>
      <c r="H59" s="478">
        <v>0</v>
      </c>
      <c r="I59" s="1292">
        <f t="shared" si="21"/>
        <v>578.73</v>
      </c>
      <c r="J59" s="1293">
        <f t="shared" si="22"/>
        <v>28.06789123869763</v>
      </c>
      <c r="K59" s="1294">
        <f t="shared" si="15"/>
        <v>4099.0053012635999</v>
      </c>
      <c r="L59" s="1294">
        <f t="shared" si="23"/>
        <v>0</v>
      </c>
      <c r="M59" s="1295">
        <f t="shared" si="16"/>
        <v>0</v>
      </c>
      <c r="N59" s="1249">
        <f t="shared" si="24"/>
        <v>0.19892488097366726</v>
      </c>
      <c r="O59" s="1249">
        <f t="shared" si="24"/>
        <v>0.26585903447659598</v>
      </c>
      <c r="P59" s="1249">
        <f t="shared" si="24"/>
        <v>8.9228108703258049E-2</v>
      </c>
      <c r="Q59" s="1249">
        <f t="shared" si="24"/>
        <v>0</v>
      </c>
      <c r="R59" s="1249">
        <f t="shared" si="24"/>
        <v>0</v>
      </c>
      <c r="S59" s="1249">
        <f t="shared" si="24"/>
        <v>0</v>
      </c>
      <c r="T59" s="1249">
        <f t="shared" si="24"/>
        <v>0.4459879758464787</v>
      </c>
      <c r="U59" s="1282">
        <f t="shared" si="18"/>
        <v>1</v>
      </c>
      <c r="V59" s="1283">
        <f t="shared" si="29"/>
        <v>0.29028184578274857</v>
      </c>
      <c r="W59" s="1249">
        <f t="shared" si="25"/>
        <v>0.30317187715157518</v>
      </c>
      <c r="X59" s="1249">
        <f t="shared" si="25"/>
        <v>8.2805443243048754E-2</v>
      </c>
      <c r="Y59" s="1249">
        <f t="shared" si="25"/>
        <v>0</v>
      </c>
      <c r="Z59" s="1249">
        <f t="shared" si="25"/>
        <v>0</v>
      </c>
      <c r="AA59" s="1249">
        <f t="shared" si="25"/>
        <v>0</v>
      </c>
      <c r="AB59" s="1249">
        <f t="shared" si="25"/>
        <v>0.32374083382262742</v>
      </c>
      <c r="AC59" s="1282">
        <f t="shared" si="26"/>
        <v>0.99999999999999989</v>
      </c>
    </row>
    <row r="60" spans="1:29">
      <c r="A60" s="187">
        <f t="shared" si="20"/>
        <v>1960</v>
      </c>
      <c r="B60" s="1655">
        <v>7.2819655999999995</v>
      </c>
      <c r="C60" s="529"/>
      <c r="D60" s="1577">
        <v>0</v>
      </c>
      <c r="E60" s="1578">
        <v>0</v>
      </c>
      <c r="F60" s="186">
        <f t="shared" si="27"/>
        <v>0.71479999999999999</v>
      </c>
      <c r="G60" s="186">
        <f t="shared" si="28"/>
        <v>0.28959999999999997</v>
      </c>
      <c r="H60" s="478">
        <v>0</v>
      </c>
      <c r="I60" s="1292">
        <f t="shared" si="21"/>
        <v>578.73</v>
      </c>
      <c r="J60" s="1293">
        <f t="shared" si="22"/>
        <v>28.06789123869763</v>
      </c>
      <c r="K60" s="1294">
        <f t="shared" si="15"/>
        <v>4214.2919516880002</v>
      </c>
      <c r="L60" s="1294">
        <f t="shared" si="23"/>
        <v>0</v>
      </c>
      <c r="M60" s="1295">
        <f t="shared" si="16"/>
        <v>0</v>
      </c>
      <c r="N60" s="1249">
        <f t="shared" si="24"/>
        <v>0.19892488097366726</v>
      </c>
      <c r="O60" s="1249">
        <f t="shared" si="24"/>
        <v>0.26585903447659598</v>
      </c>
      <c r="P60" s="1249">
        <f t="shared" si="24"/>
        <v>8.9228108703258049E-2</v>
      </c>
      <c r="Q60" s="1249">
        <f t="shared" si="24"/>
        <v>0</v>
      </c>
      <c r="R60" s="1249">
        <f t="shared" si="24"/>
        <v>0</v>
      </c>
      <c r="S60" s="1249">
        <f t="shared" si="24"/>
        <v>0</v>
      </c>
      <c r="T60" s="1249">
        <f t="shared" si="24"/>
        <v>0.4459879758464787</v>
      </c>
      <c r="U60" s="1282">
        <f t="shared" si="18"/>
        <v>1</v>
      </c>
      <c r="V60" s="1283">
        <f t="shared" si="29"/>
        <v>0.29028184578274857</v>
      </c>
      <c r="W60" s="1249">
        <f t="shared" si="25"/>
        <v>0.30317187715157518</v>
      </c>
      <c r="X60" s="1249">
        <f t="shared" si="25"/>
        <v>8.2805443243048754E-2</v>
      </c>
      <c r="Y60" s="1249">
        <f t="shared" si="25"/>
        <v>0</v>
      </c>
      <c r="Z60" s="1249">
        <f t="shared" si="25"/>
        <v>0</v>
      </c>
      <c r="AA60" s="1249">
        <f t="shared" si="25"/>
        <v>0</v>
      </c>
      <c r="AB60" s="1249">
        <f t="shared" si="25"/>
        <v>0.32374083382262742</v>
      </c>
      <c r="AC60" s="1282">
        <f t="shared" si="26"/>
        <v>0.99999999999999989</v>
      </c>
    </row>
    <row r="61" spans="1:29">
      <c r="A61" s="187">
        <f t="shared" si="20"/>
        <v>1961</v>
      </c>
      <c r="B61" s="1655">
        <v>7.6498422000000001</v>
      </c>
      <c r="C61" s="528">
        <v>599.59447889563342</v>
      </c>
      <c r="D61" s="1577">
        <v>0</v>
      </c>
      <c r="E61" s="1578">
        <v>0</v>
      </c>
      <c r="F61" s="186">
        <f t="shared" si="27"/>
        <v>0.71479999999999999</v>
      </c>
      <c r="G61" s="186">
        <f t="shared" si="28"/>
        <v>0.28959999999999997</v>
      </c>
      <c r="H61" s="478">
        <v>0</v>
      </c>
      <c r="I61" s="1292">
        <f t="shared" si="21"/>
        <v>578.73</v>
      </c>
      <c r="J61" s="1293">
        <f t="shared" si="22"/>
        <v>28.06789123869763</v>
      </c>
      <c r="K61" s="1294">
        <f t="shared" si="15"/>
        <v>4427.193176406</v>
      </c>
      <c r="L61" s="1294">
        <f t="shared" si="23"/>
        <v>16829.35262096622</v>
      </c>
      <c r="M61" s="1295">
        <f t="shared" si="16"/>
        <v>16829.35262096622</v>
      </c>
      <c r="N61" s="1249">
        <f t="shared" si="24"/>
        <v>0.19892488097366726</v>
      </c>
      <c r="O61" s="1249">
        <f t="shared" si="24"/>
        <v>0.26585903447659598</v>
      </c>
      <c r="P61" s="1249">
        <f t="shared" si="24"/>
        <v>8.9228108703258049E-2</v>
      </c>
      <c r="Q61" s="1249">
        <f t="shared" si="24"/>
        <v>0</v>
      </c>
      <c r="R61" s="1249">
        <f t="shared" si="24"/>
        <v>0</v>
      </c>
      <c r="S61" s="1249">
        <f t="shared" si="24"/>
        <v>0</v>
      </c>
      <c r="T61" s="1249">
        <f t="shared" si="24"/>
        <v>0.4459879758464787</v>
      </c>
      <c r="U61" s="1282">
        <f t="shared" si="18"/>
        <v>1</v>
      </c>
      <c r="V61" s="1283">
        <f t="shared" si="29"/>
        <v>0.29028184578274857</v>
      </c>
      <c r="W61" s="1249">
        <f t="shared" si="25"/>
        <v>0.30317187715157518</v>
      </c>
      <c r="X61" s="1249">
        <f t="shared" si="25"/>
        <v>8.2805443243048754E-2</v>
      </c>
      <c r="Y61" s="1249">
        <f t="shared" si="25"/>
        <v>0</v>
      </c>
      <c r="Z61" s="1249">
        <f t="shared" si="25"/>
        <v>0</v>
      </c>
      <c r="AA61" s="1249">
        <f t="shared" si="25"/>
        <v>0</v>
      </c>
      <c r="AB61" s="1249">
        <f t="shared" si="25"/>
        <v>0.32374083382262742</v>
      </c>
      <c r="AC61" s="1282">
        <f t="shared" si="26"/>
        <v>0.99999999999999989</v>
      </c>
    </row>
    <row r="62" spans="1:29">
      <c r="A62" s="187">
        <f t="shared" si="20"/>
        <v>1962</v>
      </c>
      <c r="B62" s="1655">
        <v>7.8559936000000006</v>
      </c>
      <c r="C62" s="528">
        <v>636.63672484588017</v>
      </c>
      <c r="D62" s="1577">
        <v>0</v>
      </c>
      <c r="E62" s="1578">
        <v>0</v>
      </c>
      <c r="F62" s="186">
        <f t="shared" si="27"/>
        <v>0.71479999999999999</v>
      </c>
      <c r="G62" s="186">
        <f t="shared" si="28"/>
        <v>0.28959999999999997</v>
      </c>
      <c r="H62" s="478">
        <v>0</v>
      </c>
      <c r="I62" s="1292">
        <f t="shared" si="21"/>
        <v>578.73</v>
      </c>
      <c r="J62" s="1293">
        <f t="shared" si="22"/>
        <v>28.06789123869763</v>
      </c>
      <c r="K62" s="1294">
        <f t="shared" si="15"/>
        <v>4546.4991761280007</v>
      </c>
      <c r="L62" s="1294">
        <f t="shared" si="23"/>
        <v>17869.050351534835</v>
      </c>
      <c r="M62" s="1295">
        <f t="shared" si="16"/>
        <v>17869.050351534835</v>
      </c>
      <c r="N62" s="1249">
        <f t="shared" si="24"/>
        <v>0.19892488097366726</v>
      </c>
      <c r="O62" s="1249">
        <f t="shared" si="24"/>
        <v>0.26585903447659598</v>
      </c>
      <c r="P62" s="1249">
        <f t="shared" si="24"/>
        <v>8.9228108703258049E-2</v>
      </c>
      <c r="Q62" s="1249">
        <f t="shared" si="24"/>
        <v>0</v>
      </c>
      <c r="R62" s="1249">
        <f t="shared" si="24"/>
        <v>0</v>
      </c>
      <c r="S62" s="1249">
        <f t="shared" si="24"/>
        <v>0</v>
      </c>
      <c r="T62" s="1249">
        <f t="shared" si="24"/>
        <v>0.4459879758464787</v>
      </c>
      <c r="U62" s="1282">
        <f t="shared" si="18"/>
        <v>1</v>
      </c>
      <c r="V62" s="1283">
        <f t="shared" si="29"/>
        <v>0.29028184578274857</v>
      </c>
      <c r="W62" s="1249">
        <f t="shared" si="25"/>
        <v>0.30317187715157518</v>
      </c>
      <c r="X62" s="1249">
        <f t="shared" si="25"/>
        <v>8.2805443243048754E-2</v>
      </c>
      <c r="Y62" s="1249">
        <f t="shared" si="25"/>
        <v>0</v>
      </c>
      <c r="Z62" s="1249">
        <f t="shared" si="25"/>
        <v>0</v>
      </c>
      <c r="AA62" s="1249">
        <f t="shared" si="25"/>
        <v>0</v>
      </c>
      <c r="AB62" s="1249">
        <f t="shared" si="25"/>
        <v>0.32374083382262742</v>
      </c>
      <c r="AC62" s="1282">
        <f t="shared" si="26"/>
        <v>0.99999999999999989</v>
      </c>
    </row>
    <row r="63" spans="1:29">
      <c r="A63" s="187">
        <f t="shared" si="20"/>
        <v>1963</v>
      </c>
      <c r="B63" s="1655">
        <v>8.062145000000001</v>
      </c>
      <c r="C63" s="528">
        <v>683.57985178312117</v>
      </c>
      <c r="D63" s="1577">
        <v>0</v>
      </c>
      <c r="E63" s="1578">
        <v>0</v>
      </c>
      <c r="F63" s="186">
        <f t="shared" si="27"/>
        <v>0.71479999999999999</v>
      </c>
      <c r="G63" s="186">
        <f t="shared" si="28"/>
        <v>0.28959999999999997</v>
      </c>
      <c r="H63" s="478">
        <v>0</v>
      </c>
      <c r="I63" s="1292">
        <f t="shared" si="21"/>
        <v>578.73</v>
      </c>
      <c r="J63" s="1293">
        <f t="shared" si="22"/>
        <v>28.06789123869763</v>
      </c>
      <c r="K63" s="1294">
        <f t="shared" si="15"/>
        <v>4665.8051758500005</v>
      </c>
      <c r="L63" s="1294">
        <f t="shared" si="23"/>
        <v>19186.644932813691</v>
      </c>
      <c r="M63" s="1295">
        <f t="shared" si="16"/>
        <v>19186.644932813691</v>
      </c>
      <c r="N63" s="1249">
        <f t="shared" si="24"/>
        <v>0.19892488097366726</v>
      </c>
      <c r="O63" s="1249">
        <f t="shared" si="24"/>
        <v>0.26585903447659598</v>
      </c>
      <c r="P63" s="1249">
        <f t="shared" si="24"/>
        <v>8.9228108703258049E-2</v>
      </c>
      <c r="Q63" s="1249">
        <f t="shared" si="24"/>
        <v>0</v>
      </c>
      <c r="R63" s="1249">
        <f t="shared" si="24"/>
        <v>0</v>
      </c>
      <c r="S63" s="1249">
        <f t="shared" si="24"/>
        <v>0</v>
      </c>
      <c r="T63" s="1249">
        <f t="shared" si="24"/>
        <v>0.4459879758464787</v>
      </c>
      <c r="U63" s="1282">
        <f t="shared" si="18"/>
        <v>1</v>
      </c>
      <c r="V63" s="1283">
        <f t="shared" si="29"/>
        <v>0.29028184578274857</v>
      </c>
      <c r="W63" s="1249">
        <f t="shared" si="25"/>
        <v>0.30317187715157518</v>
      </c>
      <c r="X63" s="1249">
        <f t="shared" si="25"/>
        <v>8.2805443243048754E-2</v>
      </c>
      <c r="Y63" s="1249">
        <f t="shared" si="25"/>
        <v>0</v>
      </c>
      <c r="Z63" s="1249">
        <f t="shared" si="25"/>
        <v>0</v>
      </c>
      <c r="AA63" s="1249">
        <f t="shared" si="25"/>
        <v>0</v>
      </c>
      <c r="AB63" s="1249">
        <f t="shared" si="25"/>
        <v>0.32374083382262742</v>
      </c>
      <c r="AC63" s="1282">
        <f t="shared" si="26"/>
        <v>0.99999999999999989</v>
      </c>
    </row>
    <row r="64" spans="1:29">
      <c r="A64" s="187">
        <f t="shared" si="20"/>
        <v>1964</v>
      </c>
      <c r="B64" s="1655">
        <v>8.2682964000000005</v>
      </c>
      <c r="C64" s="528">
        <v>737.85459954797477</v>
      </c>
      <c r="D64" s="1577">
        <v>0</v>
      </c>
      <c r="E64" s="1578">
        <v>0</v>
      </c>
      <c r="F64" s="186">
        <f t="shared" si="27"/>
        <v>0.71479999999999999</v>
      </c>
      <c r="G64" s="186">
        <f t="shared" si="28"/>
        <v>0.28959999999999997</v>
      </c>
      <c r="H64" s="478">
        <v>0</v>
      </c>
      <c r="I64" s="1292">
        <f t="shared" si="21"/>
        <v>578.73</v>
      </c>
      <c r="J64" s="1293">
        <f t="shared" si="22"/>
        <v>28.06789123869763</v>
      </c>
      <c r="K64" s="1294">
        <f t="shared" si="15"/>
        <v>4785.1111755720003</v>
      </c>
      <c r="L64" s="1294">
        <f t="shared" si="23"/>
        <v>20710.02265008535</v>
      </c>
      <c r="M64" s="1295">
        <f t="shared" si="16"/>
        <v>20710.02265008535</v>
      </c>
      <c r="N64" s="1249">
        <f t="shared" si="24"/>
        <v>0.19892488097366726</v>
      </c>
      <c r="O64" s="1249">
        <f t="shared" si="24"/>
        <v>0.26585903447659598</v>
      </c>
      <c r="P64" s="1249">
        <f t="shared" si="24"/>
        <v>8.9228108703258049E-2</v>
      </c>
      <c r="Q64" s="1249">
        <f t="shared" si="24"/>
        <v>0</v>
      </c>
      <c r="R64" s="1249">
        <f t="shared" si="24"/>
        <v>0</v>
      </c>
      <c r="S64" s="1249">
        <f t="shared" si="24"/>
        <v>0</v>
      </c>
      <c r="T64" s="1249">
        <f t="shared" si="24"/>
        <v>0.4459879758464787</v>
      </c>
      <c r="U64" s="1282">
        <f t="shared" si="18"/>
        <v>1</v>
      </c>
      <c r="V64" s="1283">
        <f t="shared" si="29"/>
        <v>0.29028184578274857</v>
      </c>
      <c r="W64" s="1249">
        <f t="shared" si="25"/>
        <v>0.30317187715157518</v>
      </c>
      <c r="X64" s="1249">
        <f t="shared" si="25"/>
        <v>8.2805443243048754E-2</v>
      </c>
      <c r="Y64" s="1249">
        <f t="shared" si="25"/>
        <v>0</v>
      </c>
      <c r="Z64" s="1249">
        <f t="shared" si="25"/>
        <v>0</v>
      </c>
      <c r="AA64" s="1249">
        <f t="shared" si="25"/>
        <v>0</v>
      </c>
      <c r="AB64" s="1249">
        <f t="shared" si="25"/>
        <v>0.32374083382262742</v>
      </c>
      <c r="AC64" s="1282">
        <f t="shared" si="26"/>
        <v>0.99999999999999989</v>
      </c>
    </row>
    <row r="65" spans="1:29">
      <c r="A65" s="187">
        <f t="shared" si="20"/>
        <v>1965</v>
      </c>
      <c r="B65" s="1655">
        <v>8.4744478000000001</v>
      </c>
      <c r="C65" s="528">
        <v>783.03167192931596</v>
      </c>
      <c r="D65" s="1577">
        <v>0</v>
      </c>
      <c r="E65" s="1578">
        <v>0</v>
      </c>
      <c r="F65" s="186">
        <f t="shared" si="27"/>
        <v>0.71479999999999999</v>
      </c>
      <c r="G65" s="186">
        <f t="shared" si="28"/>
        <v>0.28959999999999997</v>
      </c>
      <c r="H65" s="478">
        <v>0</v>
      </c>
      <c r="I65" s="1292">
        <f t="shared" si="21"/>
        <v>578.73</v>
      </c>
      <c r="J65" s="1293">
        <f t="shared" si="22"/>
        <v>28.06789123869763</v>
      </c>
      <c r="K65" s="1294">
        <f t="shared" si="15"/>
        <v>4904.4171752940001</v>
      </c>
      <c r="L65" s="1294">
        <f t="shared" si="23"/>
        <v>21978.047804167603</v>
      </c>
      <c r="M65" s="1295">
        <f t="shared" si="16"/>
        <v>21978.047804167603</v>
      </c>
      <c r="N65" s="1249">
        <f t="shared" si="24"/>
        <v>0.19892488097366726</v>
      </c>
      <c r="O65" s="1249">
        <f t="shared" si="24"/>
        <v>0.26585903447659598</v>
      </c>
      <c r="P65" s="1249">
        <f t="shared" si="24"/>
        <v>8.9228108703258049E-2</v>
      </c>
      <c r="Q65" s="1249">
        <f t="shared" si="24"/>
        <v>0</v>
      </c>
      <c r="R65" s="1249">
        <f t="shared" si="24"/>
        <v>0</v>
      </c>
      <c r="S65" s="1249">
        <f t="shared" si="24"/>
        <v>0</v>
      </c>
      <c r="T65" s="1249">
        <f t="shared" si="24"/>
        <v>0.4459879758464787</v>
      </c>
      <c r="U65" s="1282">
        <f t="shared" si="18"/>
        <v>1</v>
      </c>
      <c r="V65" s="1283">
        <f t="shared" si="29"/>
        <v>0.29028184578274857</v>
      </c>
      <c r="W65" s="1249">
        <f t="shared" si="25"/>
        <v>0.30317187715157518</v>
      </c>
      <c r="X65" s="1249">
        <f t="shared" si="25"/>
        <v>8.2805443243048754E-2</v>
      </c>
      <c r="Y65" s="1249">
        <f t="shared" si="25"/>
        <v>0</v>
      </c>
      <c r="Z65" s="1249">
        <f t="shared" si="25"/>
        <v>0</v>
      </c>
      <c r="AA65" s="1249">
        <f t="shared" si="25"/>
        <v>0</v>
      </c>
      <c r="AB65" s="1249">
        <f t="shared" si="25"/>
        <v>0.32374083382262742</v>
      </c>
      <c r="AC65" s="1282">
        <f t="shared" si="26"/>
        <v>0.99999999999999989</v>
      </c>
    </row>
    <row r="66" spans="1:29">
      <c r="A66" s="187">
        <f t="shared" si="20"/>
        <v>1966</v>
      </c>
      <c r="B66" s="1655">
        <v>8.7407319999999995</v>
      </c>
      <c r="C66" s="528">
        <v>817.78503135778317</v>
      </c>
      <c r="D66" s="1577">
        <v>0</v>
      </c>
      <c r="E66" s="1578">
        <v>0</v>
      </c>
      <c r="F66" s="186">
        <f t="shared" si="27"/>
        <v>0.71479999999999999</v>
      </c>
      <c r="G66" s="186">
        <f t="shared" si="28"/>
        <v>0.28959999999999997</v>
      </c>
      <c r="H66" s="478">
        <v>0</v>
      </c>
      <c r="I66" s="1292">
        <f t="shared" si="21"/>
        <v>578.73</v>
      </c>
      <c r="J66" s="1293">
        <f t="shared" si="22"/>
        <v>28.06789123869763</v>
      </c>
      <c r="K66" s="1294">
        <f t="shared" si="15"/>
        <v>5058.5238303599999</v>
      </c>
      <c r="L66" s="1294">
        <f t="shared" si="23"/>
        <v>22953.50131678519</v>
      </c>
      <c r="M66" s="1295">
        <f t="shared" si="16"/>
        <v>22953.50131678519</v>
      </c>
      <c r="N66" s="1249">
        <f t="shared" si="24"/>
        <v>0.19892488097366726</v>
      </c>
      <c r="O66" s="1249">
        <f t="shared" si="24"/>
        <v>0.26585903447659598</v>
      </c>
      <c r="P66" s="1249">
        <f t="shared" si="24"/>
        <v>8.9228108703258049E-2</v>
      </c>
      <c r="Q66" s="1249">
        <f t="shared" si="24"/>
        <v>0</v>
      </c>
      <c r="R66" s="1249">
        <f t="shared" si="24"/>
        <v>0</v>
      </c>
      <c r="S66" s="1249">
        <f t="shared" si="24"/>
        <v>0</v>
      </c>
      <c r="T66" s="1249">
        <f t="shared" si="24"/>
        <v>0.4459879758464787</v>
      </c>
      <c r="U66" s="1282">
        <f t="shared" si="18"/>
        <v>1</v>
      </c>
      <c r="V66" s="1283">
        <f t="shared" si="29"/>
        <v>0.29028184578274857</v>
      </c>
      <c r="W66" s="1249">
        <f t="shared" si="25"/>
        <v>0.30317187715157518</v>
      </c>
      <c r="X66" s="1249">
        <f t="shared" si="25"/>
        <v>8.2805443243048754E-2</v>
      </c>
      <c r="Y66" s="1249">
        <f t="shared" si="25"/>
        <v>0</v>
      </c>
      <c r="Z66" s="1249">
        <f t="shared" si="25"/>
        <v>0</v>
      </c>
      <c r="AA66" s="1249">
        <f t="shared" si="25"/>
        <v>0</v>
      </c>
      <c r="AB66" s="1249">
        <f t="shared" si="25"/>
        <v>0.32374083382262742</v>
      </c>
      <c r="AC66" s="1282">
        <f t="shared" si="26"/>
        <v>0.99999999999999989</v>
      </c>
    </row>
    <row r="67" spans="1:29">
      <c r="A67" s="187">
        <f t="shared" si="20"/>
        <v>1967</v>
      </c>
      <c r="B67" s="1655">
        <v>9.0098299199999996</v>
      </c>
      <c r="C67" s="528">
        <v>876.63755217357675</v>
      </c>
      <c r="D67" s="1577">
        <v>0</v>
      </c>
      <c r="E67" s="1578">
        <v>0</v>
      </c>
      <c r="F67" s="186">
        <f t="shared" si="27"/>
        <v>0.71479999999999999</v>
      </c>
      <c r="G67" s="186">
        <f t="shared" si="28"/>
        <v>0.28959999999999997</v>
      </c>
      <c r="H67" s="478">
        <v>0</v>
      </c>
      <c r="I67" s="1292">
        <f t="shared" si="21"/>
        <v>578.73</v>
      </c>
      <c r="J67" s="1293">
        <f t="shared" si="22"/>
        <v>28.06789123869763</v>
      </c>
      <c r="K67" s="1294">
        <f t="shared" si="15"/>
        <v>5214.2588696016001</v>
      </c>
      <c r="L67" s="1294">
        <f t="shared" si="23"/>
        <v>24605.367470166071</v>
      </c>
      <c r="M67" s="1295">
        <f t="shared" si="16"/>
        <v>24605.367470166071</v>
      </c>
      <c r="N67" s="1249">
        <f t="shared" ref="N67:T82" si="30">N66</f>
        <v>0.19892488097366726</v>
      </c>
      <c r="O67" s="1249">
        <f t="shared" si="30"/>
        <v>0.26585903447659598</v>
      </c>
      <c r="P67" s="1249">
        <f t="shared" si="30"/>
        <v>8.9228108703258049E-2</v>
      </c>
      <c r="Q67" s="1249">
        <f t="shared" si="30"/>
        <v>0</v>
      </c>
      <c r="R67" s="1249">
        <f t="shared" si="30"/>
        <v>0</v>
      </c>
      <c r="S67" s="1249">
        <f t="shared" si="30"/>
        <v>0</v>
      </c>
      <c r="T67" s="1249">
        <f t="shared" si="30"/>
        <v>0.4459879758464787</v>
      </c>
      <c r="U67" s="1282">
        <f t="shared" si="18"/>
        <v>1</v>
      </c>
      <c r="V67" s="1283">
        <f t="shared" si="29"/>
        <v>0.29028184578274857</v>
      </c>
      <c r="W67" s="1249">
        <f t="shared" si="29"/>
        <v>0.30317187715157518</v>
      </c>
      <c r="X67" s="1249">
        <f t="shared" si="29"/>
        <v>8.2805443243048754E-2</v>
      </c>
      <c r="Y67" s="1249">
        <f t="shared" si="29"/>
        <v>0</v>
      </c>
      <c r="Z67" s="1249">
        <f t="shared" si="29"/>
        <v>0</v>
      </c>
      <c r="AA67" s="1249">
        <f t="shared" si="29"/>
        <v>0</v>
      </c>
      <c r="AB67" s="1249">
        <f t="shared" si="29"/>
        <v>0.32374083382262742</v>
      </c>
      <c r="AC67" s="1282">
        <f t="shared" si="26"/>
        <v>0.99999999999999989</v>
      </c>
    </row>
    <row r="68" spans="1:29">
      <c r="A68" s="187">
        <f t="shared" si="20"/>
        <v>1968</v>
      </c>
      <c r="B68" s="1655">
        <v>9.2808861600000014</v>
      </c>
      <c r="C68" s="528">
        <v>913.04820912190667</v>
      </c>
      <c r="D68" s="1577">
        <v>0</v>
      </c>
      <c r="E68" s="1578">
        <v>0</v>
      </c>
      <c r="F68" s="186">
        <f t="shared" si="27"/>
        <v>0.71479999999999999</v>
      </c>
      <c r="G68" s="186">
        <f t="shared" si="28"/>
        <v>0.28959999999999997</v>
      </c>
      <c r="H68" s="478">
        <v>0</v>
      </c>
      <c r="I68" s="1292">
        <f t="shared" si="21"/>
        <v>578.73</v>
      </c>
      <c r="J68" s="1293">
        <f t="shared" si="22"/>
        <v>28.06789123869763</v>
      </c>
      <c r="K68" s="1294">
        <f t="shared" si="15"/>
        <v>5371.1272473768013</v>
      </c>
      <c r="L68" s="1294">
        <f t="shared" si="23"/>
        <v>25627.337829321325</v>
      </c>
      <c r="M68" s="1295">
        <f t="shared" si="16"/>
        <v>25627.337829321325</v>
      </c>
      <c r="N68" s="1249">
        <f t="shared" si="30"/>
        <v>0.19892488097366726</v>
      </c>
      <c r="O68" s="1249">
        <f t="shared" si="30"/>
        <v>0.26585903447659598</v>
      </c>
      <c r="P68" s="1249">
        <f t="shared" si="30"/>
        <v>8.9228108703258049E-2</v>
      </c>
      <c r="Q68" s="1249">
        <f t="shared" si="30"/>
        <v>0</v>
      </c>
      <c r="R68" s="1249">
        <f t="shared" si="30"/>
        <v>0</v>
      </c>
      <c r="S68" s="1249">
        <f t="shared" si="30"/>
        <v>0</v>
      </c>
      <c r="T68" s="1249">
        <f t="shared" si="30"/>
        <v>0.4459879758464787</v>
      </c>
      <c r="U68" s="1282">
        <f t="shared" si="18"/>
        <v>1</v>
      </c>
      <c r="V68" s="1283">
        <f t="shared" ref="V68:AB83" si="31">V67</f>
        <v>0.29028184578274857</v>
      </c>
      <c r="W68" s="1249">
        <f t="shared" si="31"/>
        <v>0.30317187715157518</v>
      </c>
      <c r="X68" s="1249">
        <f t="shared" si="31"/>
        <v>8.2805443243048754E-2</v>
      </c>
      <c r="Y68" s="1249">
        <f t="shared" si="31"/>
        <v>0</v>
      </c>
      <c r="Z68" s="1249">
        <f t="shared" si="31"/>
        <v>0</v>
      </c>
      <c r="AA68" s="1249">
        <f t="shared" si="31"/>
        <v>0</v>
      </c>
      <c r="AB68" s="1249">
        <f t="shared" si="31"/>
        <v>0.32374083382262742</v>
      </c>
      <c r="AC68" s="1282">
        <f t="shared" si="26"/>
        <v>0.99999999999999989</v>
      </c>
    </row>
    <row r="69" spans="1:29">
      <c r="A69" s="187">
        <f t="shared" si="20"/>
        <v>1969</v>
      </c>
      <c r="B69" s="1655">
        <v>9.5539007199999997</v>
      </c>
      <c r="C69" s="528">
        <v>956.10601604260387</v>
      </c>
      <c r="D69" s="1577">
        <v>0</v>
      </c>
      <c r="E69" s="1578">
        <v>0</v>
      </c>
      <c r="F69" s="186">
        <f t="shared" si="27"/>
        <v>0.71479999999999999</v>
      </c>
      <c r="G69" s="186">
        <f t="shared" si="28"/>
        <v>0.28959999999999997</v>
      </c>
      <c r="H69" s="478">
        <v>0</v>
      </c>
      <c r="I69" s="1292">
        <f t="shared" si="21"/>
        <v>578.73</v>
      </c>
      <c r="J69" s="1293">
        <f t="shared" si="22"/>
        <v>28.06789123869763</v>
      </c>
      <c r="K69" s="1294">
        <f t="shared" si="15"/>
        <v>5529.1289636856</v>
      </c>
      <c r="L69" s="1294">
        <f t="shared" si="23"/>
        <v>26835.879670948296</v>
      </c>
      <c r="M69" s="1295">
        <f t="shared" si="16"/>
        <v>26835.879670948296</v>
      </c>
      <c r="N69" s="1249">
        <f t="shared" si="30"/>
        <v>0.19892488097366726</v>
      </c>
      <c r="O69" s="1249">
        <f t="shared" si="30"/>
        <v>0.26585903447659598</v>
      </c>
      <c r="P69" s="1249">
        <f t="shared" si="30"/>
        <v>8.9228108703258049E-2</v>
      </c>
      <c r="Q69" s="1249">
        <f t="shared" si="30"/>
        <v>0</v>
      </c>
      <c r="R69" s="1249">
        <f t="shared" si="30"/>
        <v>0</v>
      </c>
      <c r="S69" s="1249">
        <f t="shared" si="30"/>
        <v>0</v>
      </c>
      <c r="T69" s="1249">
        <f t="shared" si="30"/>
        <v>0.4459879758464787</v>
      </c>
      <c r="U69" s="1282">
        <f t="shared" si="18"/>
        <v>1</v>
      </c>
      <c r="V69" s="1283">
        <f t="shared" si="31"/>
        <v>0.29028184578274857</v>
      </c>
      <c r="W69" s="1249">
        <f t="shared" si="31"/>
        <v>0.30317187715157518</v>
      </c>
      <c r="X69" s="1249">
        <f t="shared" si="31"/>
        <v>8.2805443243048754E-2</v>
      </c>
      <c r="Y69" s="1249">
        <f t="shared" si="31"/>
        <v>0</v>
      </c>
      <c r="Z69" s="1249">
        <f t="shared" si="31"/>
        <v>0</v>
      </c>
      <c r="AA69" s="1249">
        <f t="shared" si="31"/>
        <v>0</v>
      </c>
      <c r="AB69" s="1249">
        <f t="shared" si="31"/>
        <v>0.32374083382262742</v>
      </c>
      <c r="AC69" s="1282">
        <f t="shared" si="26"/>
        <v>0.99999999999999989</v>
      </c>
    </row>
    <row r="70" spans="1:29">
      <c r="A70" s="187">
        <f t="shared" si="20"/>
        <v>1970</v>
      </c>
      <c r="B70" s="1655">
        <v>9.8288735999999997</v>
      </c>
      <c r="C70" s="528">
        <v>1006.2889052098111</v>
      </c>
      <c r="D70" s="1577">
        <v>0</v>
      </c>
      <c r="E70" s="1578">
        <v>0</v>
      </c>
      <c r="F70" s="186">
        <f t="shared" si="27"/>
        <v>0.71479999999999999</v>
      </c>
      <c r="G70" s="186">
        <f t="shared" si="28"/>
        <v>0.28959999999999997</v>
      </c>
      <c r="H70" s="478">
        <v>0</v>
      </c>
      <c r="I70" s="1292">
        <f t="shared" si="21"/>
        <v>578.73</v>
      </c>
      <c r="J70" s="1293">
        <f t="shared" si="22"/>
        <v>28.06789123869763</v>
      </c>
      <c r="K70" s="1294">
        <f t="shared" si="15"/>
        <v>5688.2640185279997</v>
      </c>
      <c r="L70" s="1294">
        <f t="shared" si="23"/>
        <v>28244.407546137089</v>
      </c>
      <c r="M70" s="1295">
        <f t="shared" si="16"/>
        <v>28244.407546137089</v>
      </c>
      <c r="N70" s="1249">
        <f t="shared" si="30"/>
        <v>0.19892488097366726</v>
      </c>
      <c r="O70" s="1249">
        <f t="shared" si="30"/>
        <v>0.26585903447659598</v>
      </c>
      <c r="P70" s="1249">
        <f t="shared" si="30"/>
        <v>8.9228108703258049E-2</v>
      </c>
      <c r="Q70" s="1249">
        <f t="shared" si="30"/>
        <v>0</v>
      </c>
      <c r="R70" s="1249">
        <f t="shared" si="30"/>
        <v>0</v>
      </c>
      <c r="S70" s="1249">
        <f t="shared" si="30"/>
        <v>0</v>
      </c>
      <c r="T70" s="1249">
        <f t="shared" si="30"/>
        <v>0.4459879758464787</v>
      </c>
      <c r="U70" s="1282">
        <f t="shared" si="18"/>
        <v>1</v>
      </c>
      <c r="V70" s="1283">
        <f t="shared" si="31"/>
        <v>0.29028184578274857</v>
      </c>
      <c r="W70" s="1249">
        <f t="shared" si="31"/>
        <v>0.30317187715157518</v>
      </c>
      <c r="X70" s="1249">
        <f t="shared" si="31"/>
        <v>8.2805443243048754E-2</v>
      </c>
      <c r="Y70" s="1249">
        <f t="shared" si="31"/>
        <v>0</v>
      </c>
      <c r="Z70" s="1249">
        <f t="shared" si="31"/>
        <v>0</v>
      </c>
      <c r="AA70" s="1249">
        <f t="shared" si="31"/>
        <v>0</v>
      </c>
      <c r="AB70" s="1249">
        <f t="shared" si="31"/>
        <v>0.32374083382262742</v>
      </c>
      <c r="AC70" s="1282">
        <f t="shared" si="26"/>
        <v>0.99999999999999989</v>
      </c>
    </row>
    <row r="71" spans="1:29">
      <c r="A71" s="187">
        <f t="shared" si="20"/>
        <v>1971</v>
      </c>
      <c r="B71" s="1655">
        <v>20.567820000000001</v>
      </c>
      <c r="C71" s="528">
        <v>1049.3477098940468</v>
      </c>
      <c r="D71" s="1577">
        <v>0</v>
      </c>
      <c r="E71" s="1578">
        <v>0</v>
      </c>
      <c r="F71" s="186">
        <f t="shared" si="27"/>
        <v>0.71479999999999999</v>
      </c>
      <c r="G71" s="186">
        <f t="shared" si="28"/>
        <v>0.28959999999999997</v>
      </c>
      <c r="H71" s="478">
        <v>0</v>
      </c>
      <c r="I71" s="1292">
        <f t="shared" si="21"/>
        <v>578.73</v>
      </c>
      <c r="J71" s="1293">
        <f t="shared" si="22"/>
        <v>28.06789123869763</v>
      </c>
      <c r="K71" s="1294">
        <f t="shared" si="15"/>
        <v>11903.214468600001</v>
      </c>
      <c r="L71" s="1294">
        <f t="shared" si="23"/>
        <v>29452.977392882538</v>
      </c>
      <c r="M71" s="1295">
        <f t="shared" si="16"/>
        <v>29452.977392882538</v>
      </c>
      <c r="N71" s="1249">
        <f t="shared" si="30"/>
        <v>0.19892488097366726</v>
      </c>
      <c r="O71" s="1249">
        <f t="shared" si="30"/>
        <v>0.26585903447659598</v>
      </c>
      <c r="P71" s="1249">
        <f t="shared" si="30"/>
        <v>8.9228108703258049E-2</v>
      </c>
      <c r="Q71" s="1249">
        <f t="shared" si="30"/>
        <v>0</v>
      </c>
      <c r="R71" s="1249">
        <f t="shared" si="30"/>
        <v>0</v>
      </c>
      <c r="S71" s="1249">
        <f t="shared" si="30"/>
        <v>0</v>
      </c>
      <c r="T71" s="1249">
        <f t="shared" si="30"/>
        <v>0.4459879758464787</v>
      </c>
      <c r="U71" s="1282">
        <f t="shared" si="18"/>
        <v>1</v>
      </c>
      <c r="V71" s="1283">
        <f t="shared" si="31"/>
        <v>0.29028184578274857</v>
      </c>
      <c r="W71" s="1249">
        <f t="shared" si="31"/>
        <v>0.30317187715157518</v>
      </c>
      <c r="X71" s="1249">
        <f t="shared" si="31"/>
        <v>8.2805443243048754E-2</v>
      </c>
      <c r="Y71" s="1249">
        <f t="shared" si="31"/>
        <v>0</v>
      </c>
      <c r="Z71" s="1249">
        <f t="shared" si="31"/>
        <v>0</v>
      </c>
      <c r="AA71" s="1249">
        <f t="shared" si="31"/>
        <v>0</v>
      </c>
      <c r="AB71" s="1249">
        <f t="shared" si="31"/>
        <v>0.32374083382262742</v>
      </c>
      <c r="AC71" s="1282">
        <f t="shared" si="26"/>
        <v>0.99999999999999989</v>
      </c>
    </row>
    <row r="72" spans="1:29">
      <c r="A72" s="187">
        <f t="shared" si="20"/>
        <v>1972</v>
      </c>
      <c r="B72" s="1655">
        <v>21.04466</v>
      </c>
      <c r="C72" s="528">
        <v>1066.7119174754762</v>
      </c>
      <c r="D72" s="1577">
        <v>0</v>
      </c>
      <c r="E72" s="1578">
        <v>0</v>
      </c>
      <c r="F72" s="186">
        <f t="shared" si="27"/>
        <v>0.71479999999999999</v>
      </c>
      <c r="G72" s="186">
        <f t="shared" si="28"/>
        <v>0.28959999999999997</v>
      </c>
      <c r="H72" s="478">
        <v>0</v>
      </c>
      <c r="I72" s="1292">
        <f t="shared" si="21"/>
        <v>578.73</v>
      </c>
      <c r="J72" s="1293">
        <f t="shared" si="22"/>
        <v>28.06789123869763</v>
      </c>
      <c r="K72" s="1294">
        <f t="shared" si="15"/>
        <v>12179.1760818</v>
      </c>
      <c r="L72" s="1294">
        <f t="shared" si="23"/>
        <v>29940.354082724269</v>
      </c>
      <c r="M72" s="1295">
        <f t="shared" si="16"/>
        <v>29940.354082724269</v>
      </c>
      <c r="N72" s="1249">
        <f t="shared" si="30"/>
        <v>0.19892488097366726</v>
      </c>
      <c r="O72" s="1249">
        <f t="shared" si="30"/>
        <v>0.26585903447659598</v>
      </c>
      <c r="P72" s="1249">
        <f t="shared" si="30"/>
        <v>8.9228108703258049E-2</v>
      </c>
      <c r="Q72" s="1249">
        <f t="shared" si="30"/>
        <v>0</v>
      </c>
      <c r="R72" s="1249">
        <f t="shared" si="30"/>
        <v>0</v>
      </c>
      <c r="S72" s="1249">
        <f t="shared" si="30"/>
        <v>0</v>
      </c>
      <c r="T72" s="1249">
        <f t="shared" si="30"/>
        <v>0.4459879758464787</v>
      </c>
      <c r="U72" s="1282">
        <f t="shared" si="18"/>
        <v>1</v>
      </c>
      <c r="V72" s="1283">
        <f t="shared" si="31"/>
        <v>0.29028184578274857</v>
      </c>
      <c r="W72" s="1249">
        <f t="shared" si="31"/>
        <v>0.30317187715157518</v>
      </c>
      <c r="X72" s="1249">
        <f t="shared" si="31"/>
        <v>8.2805443243048754E-2</v>
      </c>
      <c r="Y72" s="1249">
        <f t="shared" si="31"/>
        <v>0</v>
      </c>
      <c r="Z72" s="1249">
        <f t="shared" si="31"/>
        <v>0</v>
      </c>
      <c r="AA72" s="1249">
        <f t="shared" si="31"/>
        <v>0</v>
      </c>
      <c r="AB72" s="1249">
        <f t="shared" si="31"/>
        <v>0.32374083382262742</v>
      </c>
      <c r="AC72" s="1282">
        <f t="shared" si="26"/>
        <v>0.99999999999999989</v>
      </c>
    </row>
    <row r="73" spans="1:29">
      <c r="A73" s="187">
        <f t="shared" si="20"/>
        <v>1973</v>
      </c>
      <c r="B73" s="1655">
        <v>21.526959999999999</v>
      </c>
      <c r="C73" s="528">
        <v>1115.481962992131</v>
      </c>
      <c r="D73" s="1577">
        <v>0</v>
      </c>
      <c r="E73" s="1578">
        <v>0</v>
      </c>
      <c r="F73" s="186">
        <f t="shared" si="27"/>
        <v>0.71479999999999999</v>
      </c>
      <c r="G73" s="186">
        <f t="shared" si="28"/>
        <v>0.28959999999999997</v>
      </c>
      <c r="H73" s="478">
        <v>0</v>
      </c>
      <c r="I73" s="1292">
        <f t="shared" si="21"/>
        <v>578.73</v>
      </c>
      <c r="J73" s="1293">
        <f t="shared" si="22"/>
        <v>28.06789123869763</v>
      </c>
      <c r="K73" s="1294">
        <f t="shared" si="15"/>
        <v>12458.2975608</v>
      </c>
      <c r="L73" s="1294">
        <f t="shared" si="23"/>
        <v>31309.226415992067</v>
      </c>
      <c r="M73" s="1295">
        <f t="shared" si="16"/>
        <v>31309.226415992067</v>
      </c>
      <c r="N73" s="1249">
        <f t="shared" si="30"/>
        <v>0.19892488097366726</v>
      </c>
      <c r="O73" s="1249">
        <f t="shared" si="30"/>
        <v>0.26585903447659598</v>
      </c>
      <c r="P73" s="1249">
        <f t="shared" si="30"/>
        <v>8.9228108703258049E-2</v>
      </c>
      <c r="Q73" s="1249">
        <f t="shared" si="30"/>
        <v>0</v>
      </c>
      <c r="R73" s="1249">
        <f t="shared" si="30"/>
        <v>0</v>
      </c>
      <c r="S73" s="1249">
        <f t="shared" si="30"/>
        <v>0</v>
      </c>
      <c r="T73" s="1249">
        <f t="shared" si="30"/>
        <v>0.4459879758464787</v>
      </c>
      <c r="U73" s="1282">
        <f t="shared" si="18"/>
        <v>1</v>
      </c>
      <c r="V73" s="1283">
        <f t="shared" si="31"/>
        <v>0.29028184578274857</v>
      </c>
      <c r="W73" s="1249">
        <f t="shared" si="31"/>
        <v>0.30317187715157518</v>
      </c>
      <c r="X73" s="1249">
        <f t="shared" si="31"/>
        <v>8.2805443243048754E-2</v>
      </c>
      <c r="Y73" s="1249">
        <f t="shared" si="31"/>
        <v>0</v>
      </c>
      <c r="Z73" s="1249">
        <f t="shared" si="31"/>
        <v>0</v>
      </c>
      <c r="AA73" s="1249">
        <f t="shared" si="31"/>
        <v>0</v>
      </c>
      <c r="AB73" s="1249">
        <f t="shared" si="31"/>
        <v>0.32374083382262742</v>
      </c>
      <c r="AC73" s="1282">
        <f t="shared" si="26"/>
        <v>0.99999999999999989</v>
      </c>
    </row>
    <row r="74" spans="1:29">
      <c r="A74" s="187">
        <f t="shared" si="20"/>
        <v>1974</v>
      </c>
      <c r="B74" s="1655">
        <v>22.012900000000002</v>
      </c>
      <c r="C74" s="528">
        <v>1183.6496732532121</v>
      </c>
      <c r="D74" s="1577">
        <v>0</v>
      </c>
      <c r="E74" s="1578">
        <v>0</v>
      </c>
      <c r="F74" s="186">
        <f t="shared" si="27"/>
        <v>0.71479999999999999</v>
      </c>
      <c r="G74" s="186">
        <f t="shared" si="28"/>
        <v>0.28959999999999997</v>
      </c>
      <c r="H74" s="478">
        <v>0</v>
      </c>
      <c r="I74" s="1292">
        <f t="shared" si="21"/>
        <v>578.73</v>
      </c>
      <c r="J74" s="1293">
        <f t="shared" si="22"/>
        <v>28.06789123869763</v>
      </c>
      <c r="K74" s="1294">
        <f t="shared" si="15"/>
        <v>12739.525617000001</v>
      </c>
      <c r="L74" s="1294">
        <f t="shared" si="23"/>
        <v>33222.550293591143</v>
      </c>
      <c r="M74" s="1295">
        <f t="shared" si="16"/>
        <v>33222.550293591143</v>
      </c>
      <c r="N74" s="1249">
        <f t="shared" si="30"/>
        <v>0.19892488097366726</v>
      </c>
      <c r="O74" s="1249">
        <f t="shared" si="30"/>
        <v>0.26585903447659598</v>
      </c>
      <c r="P74" s="1249">
        <f t="shared" si="30"/>
        <v>8.9228108703258049E-2</v>
      </c>
      <c r="Q74" s="1249">
        <f t="shared" si="30"/>
        <v>0</v>
      </c>
      <c r="R74" s="1249">
        <f t="shared" si="30"/>
        <v>0</v>
      </c>
      <c r="S74" s="1249">
        <f t="shared" si="30"/>
        <v>0</v>
      </c>
      <c r="T74" s="1249">
        <f t="shared" si="30"/>
        <v>0.4459879758464787</v>
      </c>
      <c r="U74" s="1282">
        <f t="shared" si="18"/>
        <v>1</v>
      </c>
      <c r="V74" s="1283">
        <f t="shared" si="31"/>
        <v>0.29028184578274857</v>
      </c>
      <c r="W74" s="1249">
        <f t="shared" si="31"/>
        <v>0.30317187715157518</v>
      </c>
      <c r="X74" s="1249">
        <f t="shared" si="31"/>
        <v>8.2805443243048754E-2</v>
      </c>
      <c r="Y74" s="1249">
        <f t="shared" si="31"/>
        <v>0</v>
      </c>
      <c r="Z74" s="1249">
        <f t="shared" si="31"/>
        <v>0</v>
      </c>
      <c r="AA74" s="1249">
        <f t="shared" si="31"/>
        <v>0</v>
      </c>
      <c r="AB74" s="1249">
        <f t="shared" si="31"/>
        <v>0.32374083382262742</v>
      </c>
      <c r="AC74" s="1282">
        <f t="shared" si="26"/>
        <v>0.99999999999999989</v>
      </c>
    </row>
    <row r="75" spans="1:29">
      <c r="A75" s="187">
        <f t="shared" si="20"/>
        <v>1975</v>
      </c>
      <c r="B75" s="1655">
        <v>22.502480000000002</v>
      </c>
      <c r="C75" s="528">
        <v>1203.7178400604503</v>
      </c>
      <c r="D75" s="1577">
        <v>0</v>
      </c>
      <c r="E75" s="1578">
        <v>0</v>
      </c>
      <c r="F75" s="186">
        <f t="shared" si="27"/>
        <v>0.71479999999999999</v>
      </c>
      <c r="G75" s="186">
        <f t="shared" si="28"/>
        <v>0.28959999999999997</v>
      </c>
      <c r="H75" s="478">
        <v>0</v>
      </c>
      <c r="I75" s="1292">
        <f t="shared" si="21"/>
        <v>578.73</v>
      </c>
      <c r="J75" s="1293">
        <f t="shared" si="22"/>
        <v>28.06789123869763</v>
      </c>
      <c r="K75" s="1294">
        <f t="shared" si="15"/>
        <v>13022.860250400001</v>
      </c>
      <c r="L75" s="1294">
        <f t="shared" si="23"/>
        <v>33785.821416896746</v>
      </c>
      <c r="M75" s="1295">
        <f t="shared" si="16"/>
        <v>33785.821416896746</v>
      </c>
      <c r="N75" s="1249">
        <f t="shared" si="30"/>
        <v>0.19892488097366726</v>
      </c>
      <c r="O75" s="1249">
        <f t="shared" si="30"/>
        <v>0.26585903447659598</v>
      </c>
      <c r="P75" s="1249">
        <f t="shared" si="30"/>
        <v>8.9228108703258049E-2</v>
      </c>
      <c r="Q75" s="1249">
        <f t="shared" si="30"/>
        <v>0</v>
      </c>
      <c r="R75" s="1249">
        <f t="shared" si="30"/>
        <v>0</v>
      </c>
      <c r="S75" s="1249">
        <f t="shared" si="30"/>
        <v>0</v>
      </c>
      <c r="T75" s="1249">
        <f t="shared" si="30"/>
        <v>0.4459879758464787</v>
      </c>
      <c r="U75" s="1282">
        <f t="shared" si="18"/>
        <v>1</v>
      </c>
      <c r="V75" s="1283">
        <f t="shared" si="31"/>
        <v>0.29028184578274857</v>
      </c>
      <c r="W75" s="1249">
        <f t="shared" si="31"/>
        <v>0.30317187715157518</v>
      </c>
      <c r="X75" s="1249">
        <f t="shared" si="31"/>
        <v>8.2805443243048754E-2</v>
      </c>
      <c r="Y75" s="1249">
        <f t="shared" si="31"/>
        <v>0</v>
      </c>
      <c r="Z75" s="1249">
        <f t="shared" si="31"/>
        <v>0</v>
      </c>
      <c r="AA75" s="1249">
        <f t="shared" si="31"/>
        <v>0</v>
      </c>
      <c r="AB75" s="1249">
        <f t="shared" si="31"/>
        <v>0.32374083382262742</v>
      </c>
      <c r="AC75" s="1282">
        <f t="shared" si="26"/>
        <v>0.99999999999999989</v>
      </c>
    </row>
    <row r="76" spans="1:29">
      <c r="A76" s="187">
        <f t="shared" si="20"/>
        <v>1976</v>
      </c>
      <c r="B76" s="1655">
        <v>22.993880000000001</v>
      </c>
      <c r="C76" s="528">
        <v>1230.8003365426916</v>
      </c>
      <c r="D76" s="1577">
        <v>0</v>
      </c>
      <c r="E76" s="1578">
        <v>0</v>
      </c>
      <c r="F76" s="186">
        <f t="shared" si="27"/>
        <v>0.71479999999999999</v>
      </c>
      <c r="G76" s="186">
        <f t="shared" si="28"/>
        <v>0.28959999999999997</v>
      </c>
      <c r="H76" s="478">
        <v>0</v>
      </c>
      <c r="I76" s="1292">
        <f t="shared" si="21"/>
        <v>578.73</v>
      </c>
      <c r="J76" s="1293">
        <f t="shared" si="22"/>
        <v>28.06789123869763</v>
      </c>
      <c r="K76" s="1294">
        <f t="shared" si="15"/>
        <v>13307.248172400001</v>
      </c>
      <c r="L76" s="1294">
        <f t="shared" si="23"/>
        <v>34545.969982632712</v>
      </c>
      <c r="M76" s="1295">
        <f t="shared" si="16"/>
        <v>34545.969982632712</v>
      </c>
      <c r="N76" s="1249">
        <f t="shared" si="30"/>
        <v>0.19892488097366726</v>
      </c>
      <c r="O76" s="1249">
        <f t="shared" si="30"/>
        <v>0.26585903447659598</v>
      </c>
      <c r="P76" s="1249">
        <f t="shared" si="30"/>
        <v>8.9228108703258049E-2</v>
      </c>
      <c r="Q76" s="1249">
        <f t="shared" si="30"/>
        <v>0</v>
      </c>
      <c r="R76" s="1249">
        <f t="shared" si="30"/>
        <v>0</v>
      </c>
      <c r="S76" s="1249">
        <f t="shared" si="30"/>
        <v>0</v>
      </c>
      <c r="T76" s="1249">
        <f t="shared" si="30"/>
        <v>0.4459879758464787</v>
      </c>
      <c r="U76" s="1282">
        <f t="shared" si="18"/>
        <v>1</v>
      </c>
      <c r="V76" s="1283">
        <f t="shared" si="31"/>
        <v>0.29028184578274857</v>
      </c>
      <c r="W76" s="1249">
        <f t="shared" si="31"/>
        <v>0.30317187715157518</v>
      </c>
      <c r="X76" s="1249">
        <f t="shared" si="31"/>
        <v>8.2805443243048754E-2</v>
      </c>
      <c r="Y76" s="1249">
        <f t="shared" si="31"/>
        <v>0</v>
      </c>
      <c r="Z76" s="1249">
        <f t="shared" si="31"/>
        <v>0</v>
      </c>
      <c r="AA76" s="1249">
        <f t="shared" si="31"/>
        <v>0</v>
      </c>
      <c r="AB76" s="1249">
        <f t="shared" si="31"/>
        <v>0.32374083382262742</v>
      </c>
      <c r="AC76" s="1282">
        <f t="shared" si="26"/>
        <v>0.99999999999999989</v>
      </c>
    </row>
    <row r="77" spans="1:29">
      <c r="A77" s="187">
        <f t="shared" si="20"/>
        <v>1977</v>
      </c>
      <c r="B77" s="1655">
        <v>23.483460000000001</v>
      </c>
      <c r="C77" s="528">
        <v>1229.6429222577431</v>
      </c>
      <c r="D77" s="1577">
        <v>0</v>
      </c>
      <c r="E77" s="1578">
        <v>0</v>
      </c>
      <c r="F77" s="186">
        <f t="shared" si="27"/>
        <v>0.71479999999999999</v>
      </c>
      <c r="G77" s="186">
        <f t="shared" si="28"/>
        <v>0.28959999999999997</v>
      </c>
      <c r="H77" s="478">
        <v>0</v>
      </c>
      <c r="I77" s="1292">
        <f t="shared" si="21"/>
        <v>578.73</v>
      </c>
      <c r="J77" s="1293">
        <f t="shared" si="22"/>
        <v>28.06789123869763</v>
      </c>
      <c r="K77" s="1294">
        <f t="shared" si="15"/>
        <v>13590.582805800001</v>
      </c>
      <c r="L77" s="1294">
        <f t="shared" si="23"/>
        <v>34513.48380436466</v>
      </c>
      <c r="M77" s="1295">
        <f t="shared" si="16"/>
        <v>34513.48380436466</v>
      </c>
      <c r="N77" s="1249">
        <f t="shared" si="30"/>
        <v>0.19892488097366726</v>
      </c>
      <c r="O77" s="1249">
        <f t="shared" si="30"/>
        <v>0.26585903447659598</v>
      </c>
      <c r="P77" s="1249">
        <f t="shared" si="30"/>
        <v>8.9228108703258049E-2</v>
      </c>
      <c r="Q77" s="1249">
        <f t="shared" si="30"/>
        <v>0</v>
      </c>
      <c r="R77" s="1249">
        <f t="shared" si="30"/>
        <v>0</v>
      </c>
      <c r="S77" s="1249">
        <f t="shared" si="30"/>
        <v>0</v>
      </c>
      <c r="T77" s="1249">
        <f t="shared" si="30"/>
        <v>0.4459879758464787</v>
      </c>
      <c r="U77" s="1282">
        <f t="shared" si="18"/>
        <v>1</v>
      </c>
      <c r="V77" s="1283">
        <f t="shared" si="31"/>
        <v>0.29028184578274857</v>
      </c>
      <c r="W77" s="1249">
        <f t="shared" si="31"/>
        <v>0.30317187715157518</v>
      </c>
      <c r="X77" s="1249">
        <f t="shared" si="31"/>
        <v>8.2805443243048754E-2</v>
      </c>
      <c r="Y77" s="1249">
        <f t="shared" si="31"/>
        <v>0</v>
      </c>
      <c r="Z77" s="1249">
        <f t="shared" si="31"/>
        <v>0</v>
      </c>
      <c r="AA77" s="1249">
        <f t="shared" si="31"/>
        <v>0</v>
      </c>
      <c r="AB77" s="1249">
        <f t="shared" si="31"/>
        <v>0.32374083382262742</v>
      </c>
      <c r="AC77" s="1282">
        <f t="shared" si="26"/>
        <v>0.99999999999999989</v>
      </c>
    </row>
    <row r="78" spans="1:29">
      <c r="A78" s="187">
        <f t="shared" si="20"/>
        <v>1978</v>
      </c>
      <c r="B78" s="1655">
        <v>23.983049999999999</v>
      </c>
      <c r="C78" s="528">
        <v>1266.711110256156</v>
      </c>
      <c r="D78" s="1577">
        <v>0</v>
      </c>
      <c r="E78" s="1578">
        <v>0</v>
      </c>
      <c r="F78" s="186">
        <f t="shared" si="27"/>
        <v>0.71479999999999999</v>
      </c>
      <c r="G78" s="186">
        <f t="shared" si="28"/>
        <v>0.28959999999999997</v>
      </c>
      <c r="H78" s="478">
        <v>0</v>
      </c>
      <c r="I78" s="1292">
        <f t="shared" si="21"/>
        <v>578.73</v>
      </c>
      <c r="J78" s="1293">
        <f t="shared" si="22"/>
        <v>28.06789123869763</v>
      </c>
      <c r="K78" s="1294">
        <f t="shared" si="15"/>
        <v>13879.710526499999</v>
      </c>
      <c r="L78" s="1294">
        <f t="shared" si="23"/>
        <v>35553.909673519709</v>
      </c>
      <c r="M78" s="1295">
        <f t="shared" si="16"/>
        <v>35553.909673519709</v>
      </c>
      <c r="N78" s="1249">
        <f t="shared" si="30"/>
        <v>0.19892488097366726</v>
      </c>
      <c r="O78" s="1249">
        <f t="shared" si="30"/>
        <v>0.26585903447659598</v>
      </c>
      <c r="P78" s="1249">
        <f t="shared" si="30"/>
        <v>8.9228108703258049E-2</v>
      </c>
      <c r="Q78" s="1249">
        <f t="shared" si="30"/>
        <v>0</v>
      </c>
      <c r="R78" s="1249">
        <f t="shared" si="30"/>
        <v>0</v>
      </c>
      <c r="S78" s="1249">
        <f t="shared" si="30"/>
        <v>0</v>
      </c>
      <c r="T78" s="1249">
        <f t="shared" si="30"/>
        <v>0.4459879758464787</v>
      </c>
      <c r="U78" s="1282">
        <f t="shared" si="18"/>
        <v>1</v>
      </c>
      <c r="V78" s="1283">
        <f t="shared" si="31"/>
        <v>0.29028184578274857</v>
      </c>
      <c r="W78" s="1249">
        <f t="shared" si="31"/>
        <v>0.30317187715157518</v>
      </c>
      <c r="X78" s="1249">
        <f t="shared" si="31"/>
        <v>8.2805443243048754E-2</v>
      </c>
      <c r="Y78" s="1249">
        <f t="shared" si="31"/>
        <v>0</v>
      </c>
      <c r="Z78" s="1249">
        <f t="shared" si="31"/>
        <v>0</v>
      </c>
      <c r="AA78" s="1249">
        <f t="shared" si="31"/>
        <v>0</v>
      </c>
      <c r="AB78" s="1249">
        <f t="shared" si="31"/>
        <v>0.32374083382262742</v>
      </c>
      <c r="AC78" s="1282">
        <f t="shared" si="26"/>
        <v>0.99999999999999989</v>
      </c>
    </row>
    <row r="79" spans="1:29">
      <c r="A79" s="187">
        <f t="shared" si="20"/>
        <v>1979</v>
      </c>
      <c r="B79" s="1655">
        <v>24.516309999999997</v>
      </c>
      <c r="C79" s="528">
        <v>1314.725843177443</v>
      </c>
      <c r="D79" s="1577">
        <v>0</v>
      </c>
      <c r="E79" s="1578">
        <v>0</v>
      </c>
      <c r="F79" s="186">
        <f t="shared" si="27"/>
        <v>0.71479999999999999</v>
      </c>
      <c r="G79" s="186">
        <f t="shared" si="28"/>
        <v>0.28959999999999997</v>
      </c>
      <c r="H79" s="478">
        <v>0</v>
      </c>
      <c r="I79" s="1292">
        <f t="shared" si="21"/>
        <v>578.73</v>
      </c>
      <c r="J79" s="1293">
        <f t="shared" si="22"/>
        <v>28.06789123869763</v>
      </c>
      <c r="K79" s="1294">
        <f t="shared" si="15"/>
        <v>14188.324086299999</v>
      </c>
      <c r="L79" s="1294">
        <f t="shared" si="23"/>
        <v>36901.581975009511</v>
      </c>
      <c r="M79" s="1295">
        <f t="shared" si="16"/>
        <v>36901.581975009511</v>
      </c>
      <c r="N79" s="1249">
        <f t="shared" si="30"/>
        <v>0.19892488097366726</v>
      </c>
      <c r="O79" s="1249">
        <f t="shared" si="30"/>
        <v>0.26585903447659598</v>
      </c>
      <c r="P79" s="1249">
        <f t="shared" si="30"/>
        <v>8.9228108703258049E-2</v>
      </c>
      <c r="Q79" s="1249">
        <f t="shared" si="30"/>
        <v>0</v>
      </c>
      <c r="R79" s="1249">
        <f t="shared" si="30"/>
        <v>0</v>
      </c>
      <c r="S79" s="1249">
        <f t="shared" si="30"/>
        <v>0</v>
      </c>
      <c r="T79" s="1249">
        <f t="shared" si="30"/>
        <v>0.4459879758464787</v>
      </c>
      <c r="U79" s="1282">
        <f t="shared" si="18"/>
        <v>1</v>
      </c>
      <c r="V79" s="1283">
        <f t="shared" si="31"/>
        <v>0.29028184578274857</v>
      </c>
      <c r="W79" s="1249">
        <f t="shared" si="31"/>
        <v>0.30317187715157518</v>
      </c>
      <c r="X79" s="1249">
        <f t="shared" si="31"/>
        <v>8.2805443243048754E-2</v>
      </c>
      <c r="Y79" s="1249">
        <f t="shared" si="31"/>
        <v>0</v>
      </c>
      <c r="Z79" s="1249">
        <f t="shared" si="31"/>
        <v>0</v>
      </c>
      <c r="AA79" s="1249">
        <f t="shared" si="31"/>
        <v>0</v>
      </c>
      <c r="AB79" s="1249">
        <f t="shared" si="31"/>
        <v>0.32374083382262742</v>
      </c>
      <c r="AC79" s="1282">
        <f t="shared" si="26"/>
        <v>0.99999999999999989</v>
      </c>
    </row>
    <row r="80" spans="1:29">
      <c r="A80" s="187">
        <f t="shared" si="20"/>
        <v>1980</v>
      </c>
      <c r="B80" s="1655">
        <v>25.094160000000002</v>
      </c>
      <c r="C80" s="528">
        <v>1401.7683862069005</v>
      </c>
      <c r="D80" s="1577">
        <v>0</v>
      </c>
      <c r="E80" s="1578">
        <v>0</v>
      </c>
      <c r="F80" s="186">
        <f t="shared" si="27"/>
        <v>0.71479999999999999</v>
      </c>
      <c r="G80" s="186">
        <f t="shared" si="28"/>
        <v>0.28959999999999997</v>
      </c>
      <c r="H80" s="478">
        <v>0</v>
      </c>
      <c r="I80" s="1292">
        <f t="shared" si="21"/>
        <v>578.73</v>
      </c>
      <c r="J80" s="1293">
        <f t="shared" si="22"/>
        <v>28.06789123869763</v>
      </c>
      <c r="K80" s="1294">
        <f t="shared" si="15"/>
        <v>14522.743216800001</v>
      </c>
      <c r="L80" s="1294">
        <f t="shared" si="23"/>
        <v>39344.68260589998</v>
      </c>
      <c r="M80" s="1295">
        <f t="shared" si="16"/>
        <v>39344.68260589998</v>
      </c>
      <c r="N80" s="1249">
        <f t="shared" si="30"/>
        <v>0.19892488097366726</v>
      </c>
      <c r="O80" s="1249">
        <f t="shared" si="30"/>
        <v>0.26585903447659598</v>
      </c>
      <c r="P80" s="1249">
        <f t="shared" si="30"/>
        <v>8.9228108703258049E-2</v>
      </c>
      <c r="Q80" s="1249">
        <f t="shared" si="30"/>
        <v>0</v>
      </c>
      <c r="R80" s="1249">
        <f t="shared" si="30"/>
        <v>0</v>
      </c>
      <c r="S80" s="1249">
        <f t="shared" si="30"/>
        <v>0</v>
      </c>
      <c r="T80" s="1249">
        <f t="shared" si="30"/>
        <v>0.4459879758464787</v>
      </c>
      <c r="U80" s="1282">
        <f t="shared" si="18"/>
        <v>1</v>
      </c>
      <c r="V80" s="1283">
        <f t="shared" si="31"/>
        <v>0.29028184578274857</v>
      </c>
      <c r="W80" s="1249">
        <f t="shared" si="31"/>
        <v>0.30317187715157518</v>
      </c>
      <c r="X80" s="1249">
        <f t="shared" si="31"/>
        <v>8.2805443243048754E-2</v>
      </c>
      <c r="Y80" s="1249">
        <f t="shared" si="31"/>
        <v>0</v>
      </c>
      <c r="Z80" s="1249">
        <f t="shared" si="31"/>
        <v>0</v>
      </c>
      <c r="AA80" s="1249">
        <f t="shared" si="31"/>
        <v>0</v>
      </c>
      <c r="AB80" s="1249">
        <f t="shared" si="31"/>
        <v>0.32374083382262742</v>
      </c>
      <c r="AC80" s="1282">
        <f t="shared" si="26"/>
        <v>0.99999999999999989</v>
      </c>
    </row>
    <row r="81" spans="1:29">
      <c r="A81" s="187">
        <f t="shared" si="20"/>
        <v>1981</v>
      </c>
      <c r="B81" s="1655">
        <v>25.712049999999998</v>
      </c>
      <c r="C81" s="528">
        <v>1476.9135086140063</v>
      </c>
      <c r="D81" s="1577">
        <v>0</v>
      </c>
      <c r="E81" s="1578">
        <v>0</v>
      </c>
      <c r="F81" s="186">
        <f t="shared" si="27"/>
        <v>0.71479999999999999</v>
      </c>
      <c r="G81" s="186">
        <f t="shared" si="28"/>
        <v>0.28959999999999997</v>
      </c>
      <c r="H81" s="478">
        <v>0</v>
      </c>
      <c r="I81" s="1292">
        <f t="shared" si="21"/>
        <v>578.73</v>
      </c>
      <c r="J81" s="1293">
        <f t="shared" si="22"/>
        <v>28.06789123869763</v>
      </c>
      <c r="K81" s="1294">
        <f t="shared" si="15"/>
        <v>14880.3346965</v>
      </c>
      <c r="L81" s="1294">
        <f t="shared" si="23"/>
        <v>41453.847728741246</v>
      </c>
      <c r="M81" s="1295">
        <f t="shared" si="16"/>
        <v>41453.847728741246</v>
      </c>
      <c r="N81" s="1249">
        <f t="shared" si="30"/>
        <v>0.19892488097366726</v>
      </c>
      <c r="O81" s="1249">
        <f t="shared" si="30"/>
        <v>0.26585903447659598</v>
      </c>
      <c r="P81" s="1249">
        <f t="shared" si="30"/>
        <v>8.9228108703258049E-2</v>
      </c>
      <c r="Q81" s="1249">
        <f t="shared" si="30"/>
        <v>0</v>
      </c>
      <c r="R81" s="1249">
        <f t="shared" si="30"/>
        <v>0</v>
      </c>
      <c r="S81" s="1249">
        <f t="shared" si="30"/>
        <v>0</v>
      </c>
      <c r="T81" s="1249">
        <f t="shared" si="30"/>
        <v>0.4459879758464787</v>
      </c>
      <c r="U81" s="1282">
        <f t="shared" si="18"/>
        <v>1</v>
      </c>
      <c r="V81" s="1283">
        <f t="shared" si="31"/>
        <v>0.29028184578274857</v>
      </c>
      <c r="W81" s="1249">
        <f t="shared" si="31"/>
        <v>0.30317187715157518</v>
      </c>
      <c r="X81" s="1249">
        <f t="shared" si="31"/>
        <v>8.2805443243048754E-2</v>
      </c>
      <c r="Y81" s="1249">
        <f t="shared" si="31"/>
        <v>0</v>
      </c>
      <c r="Z81" s="1249">
        <f t="shared" si="31"/>
        <v>0</v>
      </c>
      <c r="AA81" s="1249">
        <f t="shared" si="31"/>
        <v>0</v>
      </c>
      <c r="AB81" s="1249">
        <f t="shared" si="31"/>
        <v>0.32374083382262742</v>
      </c>
      <c r="AC81" s="1282">
        <f t="shared" si="26"/>
        <v>0.99999999999999989</v>
      </c>
    </row>
    <row r="82" spans="1:29">
      <c r="A82" s="187">
        <f t="shared" si="20"/>
        <v>1982</v>
      </c>
      <c r="B82" s="1655">
        <v>26.364520000000002</v>
      </c>
      <c r="C82" s="528">
        <v>1471.2511585558661</v>
      </c>
      <c r="D82" s="1577">
        <v>0</v>
      </c>
      <c r="E82" s="1578">
        <v>0</v>
      </c>
      <c r="F82" s="186">
        <f t="shared" si="27"/>
        <v>0.71479999999999999</v>
      </c>
      <c r="G82" s="186">
        <f t="shared" si="28"/>
        <v>0.28959999999999997</v>
      </c>
      <c r="H82" s="478">
        <v>0</v>
      </c>
      <c r="I82" s="1292">
        <f t="shared" si="21"/>
        <v>578.73</v>
      </c>
      <c r="J82" s="1293">
        <f t="shared" si="22"/>
        <v>28.06789123869763</v>
      </c>
      <c r="K82" s="1294">
        <f t="shared" si="15"/>
        <v>15257.938659600002</v>
      </c>
      <c r="L82" s="1294">
        <f t="shared" si="23"/>
        <v>41294.917503153934</v>
      </c>
      <c r="M82" s="1295">
        <f t="shared" si="16"/>
        <v>41294.917503153934</v>
      </c>
      <c r="N82" s="1249">
        <f t="shared" si="30"/>
        <v>0.19892488097366726</v>
      </c>
      <c r="O82" s="1249">
        <f t="shared" si="30"/>
        <v>0.26585903447659598</v>
      </c>
      <c r="P82" s="1249">
        <f t="shared" si="30"/>
        <v>8.9228108703258049E-2</v>
      </c>
      <c r="Q82" s="1249">
        <f t="shared" si="30"/>
        <v>0</v>
      </c>
      <c r="R82" s="1249">
        <f t="shared" si="30"/>
        <v>0</v>
      </c>
      <c r="S82" s="1249">
        <f t="shared" si="30"/>
        <v>0</v>
      </c>
      <c r="T82" s="1249">
        <f t="shared" si="30"/>
        <v>0.4459879758464787</v>
      </c>
      <c r="U82" s="1282">
        <f t="shared" ref="U82:U113" si="32">SUM(N82:T82)</f>
        <v>1</v>
      </c>
      <c r="V82" s="1283">
        <f t="shared" si="31"/>
        <v>0.29028184578274857</v>
      </c>
      <c r="W82" s="1249">
        <f t="shared" si="31"/>
        <v>0.30317187715157518</v>
      </c>
      <c r="X82" s="1249">
        <f t="shared" si="31"/>
        <v>8.2805443243048754E-2</v>
      </c>
      <c r="Y82" s="1249">
        <f t="shared" si="31"/>
        <v>0</v>
      </c>
      <c r="Z82" s="1249">
        <f t="shared" si="31"/>
        <v>0</v>
      </c>
      <c r="AA82" s="1249">
        <f t="shared" si="31"/>
        <v>0</v>
      </c>
      <c r="AB82" s="1249">
        <f t="shared" si="31"/>
        <v>0.32374083382262742</v>
      </c>
      <c r="AC82" s="1282">
        <f t="shared" si="26"/>
        <v>0.99999999999999989</v>
      </c>
    </row>
    <row r="83" spans="1:29">
      <c r="A83" s="187">
        <f t="shared" ref="A83:A114" si="33">A82+1</f>
        <v>1983</v>
      </c>
      <c r="B83" s="1655">
        <v>27.048839999999998</v>
      </c>
      <c r="C83" s="528">
        <v>1444.0838515447542</v>
      </c>
      <c r="D83" s="1577">
        <v>0</v>
      </c>
      <c r="E83" s="1578">
        <v>0</v>
      </c>
      <c r="F83" s="186">
        <f t="shared" si="27"/>
        <v>0.71479999999999999</v>
      </c>
      <c r="G83" s="186">
        <f t="shared" si="28"/>
        <v>0.28959999999999997</v>
      </c>
      <c r="H83" s="478">
        <v>0</v>
      </c>
      <c r="I83" s="1292">
        <f t="shared" si="21"/>
        <v>578.73</v>
      </c>
      <c r="J83" s="1293">
        <f t="shared" si="22"/>
        <v>28.06789123869763</v>
      </c>
      <c r="K83" s="1294">
        <f t="shared" si="15"/>
        <v>15653.9751732</v>
      </c>
      <c r="L83" s="1294">
        <f t="shared" si="23"/>
        <v>40532.38848471774</v>
      </c>
      <c r="M83" s="1295">
        <f t="shared" si="16"/>
        <v>40532.38848471774</v>
      </c>
      <c r="N83" s="1249">
        <f t="shared" ref="N83:T98" si="34">N82</f>
        <v>0.19892488097366726</v>
      </c>
      <c r="O83" s="1249">
        <f t="shared" si="34"/>
        <v>0.26585903447659598</v>
      </c>
      <c r="P83" s="1249">
        <f t="shared" si="34"/>
        <v>8.9228108703258049E-2</v>
      </c>
      <c r="Q83" s="1249">
        <f t="shared" si="34"/>
        <v>0</v>
      </c>
      <c r="R83" s="1249">
        <f t="shared" si="34"/>
        <v>0</v>
      </c>
      <c r="S83" s="1249">
        <f t="shared" si="34"/>
        <v>0</v>
      </c>
      <c r="T83" s="1249">
        <f t="shared" si="34"/>
        <v>0.4459879758464787</v>
      </c>
      <c r="U83" s="1282">
        <f t="shared" si="32"/>
        <v>1</v>
      </c>
      <c r="V83" s="1283">
        <f t="shared" si="31"/>
        <v>0.29028184578274857</v>
      </c>
      <c r="W83" s="1249">
        <f t="shared" si="31"/>
        <v>0.30317187715157518</v>
      </c>
      <c r="X83" s="1249">
        <f t="shared" si="31"/>
        <v>8.2805443243048754E-2</v>
      </c>
      <c r="Y83" s="1249">
        <f t="shared" si="31"/>
        <v>0</v>
      </c>
      <c r="Z83" s="1249">
        <f t="shared" si="31"/>
        <v>0</v>
      </c>
      <c r="AA83" s="1249">
        <f t="shared" si="31"/>
        <v>0</v>
      </c>
      <c r="AB83" s="1249">
        <f t="shared" si="31"/>
        <v>0.32374083382262742</v>
      </c>
      <c r="AC83" s="1282">
        <f t="shared" si="26"/>
        <v>0.99999999999999989</v>
      </c>
    </row>
    <row r="84" spans="1:29">
      <c r="A84" s="187">
        <f t="shared" si="33"/>
        <v>1984</v>
      </c>
      <c r="B84" s="1655">
        <v>27.759549999999997</v>
      </c>
      <c r="C84" s="528">
        <v>1517.7193465317748</v>
      </c>
      <c r="D84" s="1577">
        <v>0</v>
      </c>
      <c r="E84" s="1578">
        <v>0</v>
      </c>
      <c r="F84" s="186">
        <f t="shared" si="27"/>
        <v>0.71479999999999999</v>
      </c>
      <c r="G84" s="186">
        <f t="shared" si="28"/>
        <v>0.28959999999999997</v>
      </c>
      <c r="H84" s="478">
        <v>0</v>
      </c>
      <c r="I84" s="1292">
        <f t="shared" si="21"/>
        <v>578.73</v>
      </c>
      <c r="J84" s="1293">
        <f t="shared" si="22"/>
        <v>28.06789123869763</v>
      </c>
      <c r="K84" s="1294">
        <f t="shared" si="15"/>
        <v>16065.284371499998</v>
      </c>
      <c r="L84" s="1294">
        <f t="shared" si="23"/>
        <v>42599.181549321096</v>
      </c>
      <c r="M84" s="1295">
        <f t="shared" si="16"/>
        <v>42599.181549321096</v>
      </c>
      <c r="N84" s="1249">
        <f t="shared" si="34"/>
        <v>0.19892488097366726</v>
      </c>
      <c r="O84" s="1249">
        <f t="shared" si="34"/>
        <v>0.26585903447659598</v>
      </c>
      <c r="P84" s="1249">
        <f t="shared" si="34"/>
        <v>8.9228108703258049E-2</v>
      </c>
      <c r="Q84" s="1249">
        <f t="shared" si="34"/>
        <v>0</v>
      </c>
      <c r="R84" s="1249">
        <f t="shared" si="34"/>
        <v>0</v>
      </c>
      <c r="S84" s="1249">
        <f t="shared" si="34"/>
        <v>0</v>
      </c>
      <c r="T84" s="1249">
        <f t="shared" si="34"/>
        <v>0.4459879758464787</v>
      </c>
      <c r="U84" s="1282">
        <f t="shared" si="32"/>
        <v>1</v>
      </c>
      <c r="V84" s="1283">
        <f t="shared" ref="V84:AB99" si="35">V83</f>
        <v>0.29028184578274857</v>
      </c>
      <c r="W84" s="1249">
        <f t="shared" si="35"/>
        <v>0.30317187715157518</v>
      </c>
      <c r="X84" s="1249">
        <f t="shared" si="35"/>
        <v>8.2805443243048754E-2</v>
      </c>
      <c r="Y84" s="1249">
        <f t="shared" si="35"/>
        <v>0</v>
      </c>
      <c r="Z84" s="1249">
        <f t="shared" si="35"/>
        <v>0</v>
      </c>
      <c r="AA84" s="1249">
        <f t="shared" si="35"/>
        <v>0</v>
      </c>
      <c r="AB84" s="1249">
        <f t="shared" si="35"/>
        <v>0.32374083382262742</v>
      </c>
      <c r="AC84" s="1282">
        <f t="shared" si="26"/>
        <v>0.99999999999999989</v>
      </c>
    </row>
    <row r="85" spans="1:29">
      <c r="A85" s="187">
        <f t="shared" si="33"/>
        <v>1985</v>
      </c>
      <c r="B85" s="1655">
        <v>28.490279999999998</v>
      </c>
      <c r="C85" s="528">
        <v>1499.3324237484292</v>
      </c>
      <c r="D85" s="1577">
        <v>0</v>
      </c>
      <c r="E85" s="1578">
        <v>0</v>
      </c>
      <c r="F85" s="186">
        <f t="shared" si="27"/>
        <v>0.71479999999999999</v>
      </c>
      <c r="G85" s="186">
        <f t="shared" si="28"/>
        <v>0.28959999999999997</v>
      </c>
      <c r="H85" s="478">
        <v>0</v>
      </c>
      <c r="I85" s="1292">
        <f t="shared" si="21"/>
        <v>578.73</v>
      </c>
      <c r="J85" s="1293">
        <f t="shared" si="22"/>
        <v>28.06789123869763</v>
      </c>
      <c r="K85" s="1294">
        <f t="shared" si="15"/>
        <v>16488.1797444</v>
      </c>
      <c r="L85" s="1294">
        <f t="shared" si="23"/>
        <v>42083.099400423816</v>
      </c>
      <c r="M85" s="1295">
        <f t="shared" si="16"/>
        <v>42083.099400423816</v>
      </c>
      <c r="N85" s="1249">
        <f t="shared" si="34"/>
        <v>0.19892488097366726</v>
      </c>
      <c r="O85" s="1249">
        <f t="shared" si="34"/>
        <v>0.26585903447659598</v>
      </c>
      <c r="P85" s="1249">
        <f t="shared" si="34"/>
        <v>8.9228108703258049E-2</v>
      </c>
      <c r="Q85" s="1249">
        <f t="shared" si="34"/>
        <v>0</v>
      </c>
      <c r="R85" s="1249">
        <f t="shared" si="34"/>
        <v>0</v>
      </c>
      <c r="S85" s="1249">
        <f t="shared" si="34"/>
        <v>0</v>
      </c>
      <c r="T85" s="1249">
        <f t="shared" si="34"/>
        <v>0.4459879758464787</v>
      </c>
      <c r="U85" s="1282">
        <f t="shared" si="32"/>
        <v>1</v>
      </c>
      <c r="V85" s="1283">
        <f t="shared" si="35"/>
        <v>0.29028184578274857</v>
      </c>
      <c r="W85" s="1249">
        <f t="shared" si="35"/>
        <v>0.30317187715157518</v>
      </c>
      <c r="X85" s="1249">
        <f t="shared" si="35"/>
        <v>8.2805443243048754E-2</v>
      </c>
      <c r="Y85" s="1249">
        <f t="shared" si="35"/>
        <v>0</v>
      </c>
      <c r="Z85" s="1249">
        <f t="shared" si="35"/>
        <v>0</v>
      </c>
      <c r="AA85" s="1249">
        <f t="shared" si="35"/>
        <v>0</v>
      </c>
      <c r="AB85" s="1249">
        <f t="shared" si="35"/>
        <v>0.32374083382262742</v>
      </c>
      <c r="AC85" s="1282">
        <f t="shared" si="26"/>
        <v>0.99999999999999989</v>
      </c>
    </row>
    <row r="86" spans="1:29">
      <c r="A86" s="187">
        <f t="shared" si="33"/>
        <v>1986</v>
      </c>
      <c r="B86" s="1655">
        <v>29.230110000000003</v>
      </c>
      <c r="C86" s="528">
        <v>1499.5998263576867</v>
      </c>
      <c r="D86" s="1577">
        <v>0</v>
      </c>
      <c r="E86" s="1578">
        <v>0</v>
      </c>
      <c r="F86" s="186">
        <f t="shared" si="27"/>
        <v>0.71479999999999999</v>
      </c>
      <c r="G86" s="186">
        <f t="shared" si="28"/>
        <v>0.28959999999999997</v>
      </c>
      <c r="H86" s="478">
        <v>0</v>
      </c>
      <c r="I86" s="1292">
        <f t="shared" si="21"/>
        <v>578.73</v>
      </c>
      <c r="J86" s="1293">
        <f t="shared" si="22"/>
        <v>28.06789123869763</v>
      </c>
      <c r="K86" s="1294">
        <f t="shared" si="15"/>
        <v>16916.341560300003</v>
      </c>
      <c r="L86" s="1294">
        <f t="shared" si="23"/>
        <v>42090.604827777403</v>
      </c>
      <c r="M86" s="1295">
        <f t="shared" si="16"/>
        <v>42090.604827777403</v>
      </c>
      <c r="N86" s="1249">
        <f t="shared" si="34"/>
        <v>0.19892488097366726</v>
      </c>
      <c r="O86" s="1249">
        <f t="shared" si="34"/>
        <v>0.26585903447659598</v>
      </c>
      <c r="P86" s="1249">
        <f t="shared" si="34"/>
        <v>8.9228108703258049E-2</v>
      </c>
      <c r="Q86" s="1249">
        <f t="shared" si="34"/>
        <v>0</v>
      </c>
      <c r="R86" s="1249">
        <f t="shared" si="34"/>
        <v>0</v>
      </c>
      <c r="S86" s="1249">
        <f t="shared" si="34"/>
        <v>0</v>
      </c>
      <c r="T86" s="1249">
        <f t="shared" si="34"/>
        <v>0.4459879758464787</v>
      </c>
      <c r="U86" s="1282">
        <f t="shared" si="32"/>
        <v>1</v>
      </c>
      <c r="V86" s="1283">
        <f t="shared" si="35"/>
        <v>0.29028184578274857</v>
      </c>
      <c r="W86" s="1249">
        <f t="shared" si="35"/>
        <v>0.30317187715157518</v>
      </c>
      <c r="X86" s="1249">
        <f t="shared" si="35"/>
        <v>8.2805443243048754E-2</v>
      </c>
      <c r="Y86" s="1249">
        <f t="shared" si="35"/>
        <v>0</v>
      </c>
      <c r="Z86" s="1249">
        <f t="shared" si="35"/>
        <v>0</v>
      </c>
      <c r="AA86" s="1249">
        <f t="shared" si="35"/>
        <v>0</v>
      </c>
      <c r="AB86" s="1249">
        <f t="shared" si="35"/>
        <v>0.32374083382262742</v>
      </c>
      <c r="AC86" s="1282">
        <f t="shared" si="26"/>
        <v>0.99999999999999989</v>
      </c>
    </row>
    <row r="87" spans="1:29">
      <c r="A87" s="187">
        <f t="shared" si="33"/>
        <v>1987</v>
      </c>
      <c r="B87" s="1655">
        <v>29.96903</v>
      </c>
      <c r="C87" s="528">
        <v>1531.1024480840374</v>
      </c>
      <c r="D87" s="1577">
        <v>0</v>
      </c>
      <c r="E87" s="1578">
        <v>0</v>
      </c>
      <c r="F87" s="186">
        <f t="shared" si="27"/>
        <v>0.71479999999999999</v>
      </c>
      <c r="G87" s="186">
        <f t="shared" si="28"/>
        <v>0.28959999999999997</v>
      </c>
      <c r="H87" s="478">
        <v>0</v>
      </c>
      <c r="I87" s="1292">
        <f t="shared" si="21"/>
        <v>578.73</v>
      </c>
      <c r="J87" s="1293">
        <f t="shared" si="22"/>
        <v>28.06789123869763</v>
      </c>
      <c r="K87" s="1294">
        <f t="shared" si="15"/>
        <v>17343.976731900002</v>
      </c>
      <c r="L87" s="1294">
        <f t="shared" si="23"/>
        <v>42974.816988126448</v>
      </c>
      <c r="M87" s="1295">
        <f t="shared" si="16"/>
        <v>42974.816988126448</v>
      </c>
      <c r="N87" s="1249">
        <f t="shared" si="34"/>
        <v>0.19892488097366726</v>
      </c>
      <c r="O87" s="1249">
        <f t="shared" si="34"/>
        <v>0.26585903447659598</v>
      </c>
      <c r="P87" s="1249">
        <f t="shared" si="34"/>
        <v>8.9228108703258049E-2</v>
      </c>
      <c r="Q87" s="1249">
        <f t="shared" si="34"/>
        <v>0</v>
      </c>
      <c r="R87" s="1249">
        <f t="shared" si="34"/>
        <v>0</v>
      </c>
      <c r="S87" s="1249">
        <f t="shared" si="34"/>
        <v>0</v>
      </c>
      <c r="T87" s="1249">
        <f t="shared" si="34"/>
        <v>0.4459879758464787</v>
      </c>
      <c r="U87" s="1282">
        <f t="shared" si="32"/>
        <v>1</v>
      </c>
      <c r="V87" s="1283">
        <f t="shared" si="35"/>
        <v>0.29028184578274857</v>
      </c>
      <c r="W87" s="1249">
        <f t="shared" si="35"/>
        <v>0.30317187715157518</v>
      </c>
      <c r="X87" s="1249">
        <f t="shared" si="35"/>
        <v>8.2805443243048754E-2</v>
      </c>
      <c r="Y87" s="1249">
        <f t="shared" si="35"/>
        <v>0</v>
      </c>
      <c r="Z87" s="1249">
        <f t="shared" si="35"/>
        <v>0</v>
      </c>
      <c r="AA87" s="1249">
        <f t="shared" si="35"/>
        <v>0</v>
      </c>
      <c r="AB87" s="1249">
        <f t="shared" si="35"/>
        <v>0.32374083382262742</v>
      </c>
      <c r="AC87" s="1282">
        <f t="shared" si="26"/>
        <v>0.99999999999999989</v>
      </c>
    </row>
    <row r="88" spans="1:29">
      <c r="A88" s="187">
        <f t="shared" si="33"/>
        <v>1988</v>
      </c>
      <c r="B88" s="1655">
        <v>30.692480000000003</v>
      </c>
      <c r="C88" s="528">
        <v>1595.4107803645509</v>
      </c>
      <c r="D88" s="1577">
        <v>0</v>
      </c>
      <c r="E88" s="1578">
        <v>0</v>
      </c>
      <c r="F88" s="186">
        <f t="shared" si="27"/>
        <v>0.71479999999999999</v>
      </c>
      <c r="G88" s="186">
        <f t="shared" si="28"/>
        <v>0.28959999999999997</v>
      </c>
      <c r="H88" s="478">
        <v>0</v>
      </c>
      <c r="I88" s="1292">
        <f t="shared" si="21"/>
        <v>578.73</v>
      </c>
      <c r="J88" s="1293">
        <f t="shared" si="22"/>
        <v>28.06789123869763</v>
      </c>
      <c r="K88" s="1294">
        <f t="shared" si="15"/>
        <v>17762.658950400004</v>
      </c>
      <c r="L88" s="1294">
        <f t="shared" si="23"/>
        <v>44779.816264317924</v>
      </c>
      <c r="M88" s="1295">
        <f t="shared" si="16"/>
        <v>44779.816264317924</v>
      </c>
      <c r="N88" s="1249">
        <f t="shared" si="34"/>
        <v>0.19892488097366726</v>
      </c>
      <c r="O88" s="1249">
        <f t="shared" si="34"/>
        <v>0.26585903447659598</v>
      </c>
      <c r="P88" s="1249">
        <f t="shared" si="34"/>
        <v>8.9228108703258049E-2</v>
      </c>
      <c r="Q88" s="1249">
        <f t="shared" si="34"/>
        <v>0</v>
      </c>
      <c r="R88" s="1249">
        <f t="shared" si="34"/>
        <v>0</v>
      </c>
      <c r="S88" s="1249">
        <f t="shared" si="34"/>
        <v>0</v>
      </c>
      <c r="T88" s="1249">
        <f t="shared" si="34"/>
        <v>0.4459879758464787</v>
      </c>
      <c r="U88" s="1282">
        <f t="shared" si="32"/>
        <v>1</v>
      </c>
      <c r="V88" s="1283">
        <f t="shared" si="35"/>
        <v>0.29028184578274857</v>
      </c>
      <c r="W88" s="1249">
        <f t="shared" si="35"/>
        <v>0.30317187715157518</v>
      </c>
      <c r="X88" s="1249">
        <f t="shared" si="35"/>
        <v>8.2805443243048754E-2</v>
      </c>
      <c r="Y88" s="1249">
        <f t="shared" si="35"/>
        <v>0</v>
      </c>
      <c r="Z88" s="1249">
        <f t="shared" si="35"/>
        <v>0</v>
      </c>
      <c r="AA88" s="1249">
        <f t="shared" si="35"/>
        <v>0</v>
      </c>
      <c r="AB88" s="1249">
        <f t="shared" si="35"/>
        <v>0.32374083382262742</v>
      </c>
      <c r="AC88" s="1282">
        <f t="shared" si="26"/>
        <v>0.99999999999999989</v>
      </c>
    </row>
    <row r="89" spans="1:29">
      <c r="A89" s="187">
        <f t="shared" si="33"/>
        <v>1989</v>
      </c>
      <c r="B89" s="1655">
        <v>31.386810000000001</v>
      </c>
      <c r="C89" s="528">
        <v>1633.6174250036995</v>
      </c>
      <c r="D89" s="1577">
        <v>0</v>
      </c>
      <c r="E89" s="1578">
        <v>0</v>
      </c>
      <c r="F89" s="186">
        <f t="shared" si="27"/>
        <v>0.71479999999999999</v>
      </c>
      <c r="G89" s="186">
        <f t="shared" si="28"/>
        <v>0.28959999999999997</v>
      </c>
      <c r="H89" s="478">
        <v>0</v>
      </c>
      <c r="I89" s="1292">
        <f t="shared" si="21"/>
        <v>578.73</v>
      </c>
      <c r="J89" s="1293">
        <f t="shared" si="22"/>
        <v>28.06789123869763</v>
      </c>
      <c r="K89" s="1294">
        <f t="shared" si="15"/>
        <v>18164.488551300001</v>
      </c>
      <c r="L89" s="1294">
        <f t="shared" si="23"/>
        <v>45852.196210645117</v>
      </c>
      <c r="M89" s="1295">
        <f t="shared" si="16"/>
        <v>45852.196210645117</v>
      </c>
      <c r="N89" s="1249">
        <f t="shared" si="34"/>
        <v>0.19892488097366726</v>
      </c>
      <c r="O89" s="1249">
        <f t="shared" si="34"/>
        <v>0.26585903447659598</v>
      </c>
      <c r="P89" s="1249">
        <f t="shared" si="34"/>
        <v>8.9228108703258049E-2</v>
      </c>
      <c r="Q89" s="1249">
        <f t="shared" si="34"/>
        <v>0</v>
      </c>
      <c r="R89" s="1249">
        <f t="shared" si="34"/>
        <v>0</v>
      </c>
      <c r="S89" s="1249">
        <f t="shared" si="34"/>
        <v>0</v>
      </c>
      <c r="T89" s="1249">
        <f t="shared" si="34"/>
        <v>0.4459879758464787</v>
      </c>
      <c r="U89" s="1282">
        <f t="shared" si="32"/>
        <v>1</v>
      </c>
      <c r="V89" s="1283">
        <f t="shared" si="35"/>
        <v>0.29028184578274857</v>
      </c>
      <c r="W89" s="1249">
        <f t="shared" si="35"/>
        <v>0.30317187715157518</v>
      </c>
      <c r="X89" s="1249">
        <f t="shared" si="35"/>
        <v>8.2805443243048754E-2</v>
      </c>
      <c r="Y89" s="1249">
        <f t="shared" si="35"/>
        <v>0</v>
      </c>
      <c r="Z89" s="1249">
        <f t="shared" si="35"/>
        <v>0</v>
      </c>
      <c r="AA89" s="1249">
        <f t="shared" si="35"/>
        <v>0</v>
      </c>
      <c r="AB89" s="1249">
        <f t="shared" si="35"/>
        <v>0.32374083382262742</v>
      </c>
      <c r="AC89" s="1282">
        <f t="shared" si="26"/>
        <v>0.99999999999999989</v>
      </c>
    </row>
    <row r="90" spans="1:29">
      <c r="A90" s="187">
        <f t="shared" si="33"/>
        <v>1990</v>
      </c>
      <c r="B90" s="1655">
        <v>32.032000000000004</v>
      </c>
      <c r="C90" s="528">
        <v>1628.4260228263977</v>
      </c>
      <c r="D90" s="1577">
        <v>0</v>
      </c>
      <c r="E90" s="1578">
        <v>0</v>
      </c>
      <c r="F90" s="186">
        <f t="shared" si="27"/>
        <v>0.71479999999999999</v>
      </c>
      <c r="G90" s="186">
        <f t="shared" si="28"/>
        <v>0.28959999999999997</v>
      </c>
      <c r="H90" s="478">
        <v>0</v>
      </c>
      <c r="I90" s="1292">
        <f t="shared" si="21"/>
        <v>578.73</v>
      </c>
      <c r="J90" s="1293">
        <f t="shared" si="22"/>
        <v>28.06789123869763</v>
      </c>
      <c r="K90" s="1294">
        <f t="shared" si="15"/>
        <v>18537.879360000003</v>
      </c>
      <c r="L90" s="1294">
        <f t="shared" si="23"/>
        <v>45706.484498956277</v>
      </c>
      <c r="M90" s="1295">
        <f t="shared" si="16"/>
        <v>45706.484498956277</v>
      </c>
      <c r="N90" s="1249">
        <f t="shared" si="34"/>
        <v>0.19892488097366726</v>
      </c>
      <c r="O90" s="1249">
        <f t="shared" si="34"/>
        <v>0.26585903447659598</v>
      </c>
      <c r="P90" s="1249">
        <f t="shared" si="34"/>
        <v>8.9228108703258049E-2</v>
      </c>
      <c r="Q90" s="1249">
        <f t="shared" si="34"/>
        <v>0</v>
      </c>
      <c r="R90" s="1249">
        <f t="shared" si="34"/>
        <v>0</v>
      </c>
      <c r="S90" s="1249">
        <f t="shared" si="34"/>
        <v>0</v>
      </c>
      <c r="T90" s="1249">
        <f t="shared" si="34"/>
        <v>0.4459879758464787</v>
      </c>
      <c r="U90" s="1282">
        <f t="shared" si="32"/>
        <v>1</v>
      </c>
      <c r="V90" s="1283">
        <f t="shared" si="35"/>
        <v>0.29028184578274857</v>
      </c>
      <c r="W90" s="1249">
        <f t="shared" si="35"/>
        <v>0.30317187715157518</v>
      </c>
      <c r="X90" s="1249">
        <f t="shared" si="35"/>
        <v>8.2805443243048754E-2</v>
      </c>
      <c r="Y90" s="1249">
        <f t="shared" si="35"/>
        <v>0</v>
      </c>
      <c r="Z90" s="1249">
        <f t="shared" si="35"/>
        <v>0</v>
      </c>
      <c r="AA90" s="1249">
        <f t="shared" si="35"/>
        <v>0</v>
      </c>
      <c r="AB90" s="1249">
        <f t="shared" si="35"/>
        <v>0.32374083382262742</v>
      </c>
      <c r="AC90" s="1282">
        <f t="shared" si="26"/>
        <v>0.99999999999999989</v>
      </c>
    </row>
    <row r="91" spans="1:29">
      <c r="A91" s="187">
        <f t="shared" si="33"/>
        <v>1991</v>
      </c>
      <c r="B91" s="1655">
        <v>32.69903</v>
      </c>
      <c r="C91" s="528">
        <v>1611.8450654448757</v>
      </c>
      <c r="D91" s="1577">
        <v>0</v>
      </c>
      <c r="E91" s="1578">
        <v>0</v>
      </c>
      <c r="F91" s="186">
        <f t="shared" si="27"/>
        <v>0.71479999999999999</v>
      </c>
      <c r="G91" s="186">
        <f t="shared" si="28"/>
        <v>0.28959999999999997</v>
      </c>
      <c r="H91" s="478">
        <v>0</v>
      </c>
      <c r="I91" s="1292">
        <f t="shared" si="21"/>
        <v>578.73</v>
      </c>
      <c r="J91" s="1293">
        <f t="shared" si="22"/>
        <v>28.06789123869763</v>
      </c>
      <c r="K91" s="1294">
        <f t="shared" si="15"/>
        <v>18923.909631900002</v>
      </c>
      <c r="L91" s="1294">
        <f t="shared" si="23"/>
        <v>45241.091990538232</v>
      </c>
      <c r="M91" s="1295">
        <f t="shared" si="16"/>
        <v>45241.091990538232</v>
      </c>
      <c r="N91" s="1249">
        <f t="shared" si="34"/>
        <v>0.19892488097366726</v>
      </c>
      <c r="O91" s="1249">
        <f t="shared" si="34"/>
        <v>0.26585903447659598</v>
      </c>
      <c r="P91" s="1249">
        <f t="shared" si="34"/>
        <v>8.9228108703258049E-2</v>
      </c>
      <c r="Q91" s="1249">
        <f t="shared" si="34"/>
        <v>0</v>
      </c>
      <c r="R91" s="1249">
        <f t="shared" si="34"/>
        <v>0</v>
      </c>
      <c r="S91" s="1249">
        <f t="shared" si="34"/>
        <v>0</v>
      </c>
      <c r="T91" s="1249">
        <f t="shared" si="34"/>
        <v>0.4459879758464787</v>
      </c>
      <c r="U91" s="1282">
        <f t="shared" si="32"/>
        <v>1</v>
      </c>
      <c r="V91" s="1283">
        <f t="shared" si="35"/>
        <v>0.29028184578274857</v>
      </c>
      <c r="W91" s="1249">
        <f t="shared" si="35"/>
        <v>0.30317187715157518</v>
      </c>
      <c r="X91" s="1249">
        <f t="shared" si="35"/>
        <v>8.2805443243048754E-2</v>
      </c>
      <c r="Y91" s="1249">
        <f t="shared" si="35"/>
        <v>0</v>
      </c>
      <c r="Z91" s="1249">
        <f t="shared" si="35"/>
        <v>0</v>
      </c>
      <c r="AA91" s="1249">
        <f t="shared" si="35"/>
        <v>0</v>
      </c>
      <c r="AB91" s="1249">
        <f t="shared" si="35"/>
        <v>0.32374083382262742</v>
      </c>
      <c r="AC91" s="1282">
        <f t="shared" si="26"/>
        <v>0.99999999999999989</v>
      </c>
    </row>
    <row r="92" spans="1:29">
      <c r="A92" s="187">
        <f t="shared" si="33"/>
        <v>1992</v>
      </c>
      <c r="B92" s="1655">
        <v>33.388809999999999</v>
      </c>
      <c r="C92" s="528">
        <v>1577.3990194337794</v>
      </c>
      <c r="D92" s="1577">
        <v>0</v>
      </c>
      <c r="E92" s="1578">
        <v>0</v>
      </c>
      <c r="F92" s="186">
        <f t="shared" si="27"/>
        <v>0.71479999999999999</v>
      </c>
      <c r="G92" s="186">
        <f t="shared" si="28"/>
        <v>0.28959999999999997</v>
      </c>
      <c r="H92" s="478">
        <v>0</v>
      </c>
      <c r="I92" s="1292">
        <f t="shared" si="21"/>
        <v>578.73</v>
      </c>
      <c r="J92" s="1293">
        <f t="shared" si="22"/>
        <v>28.06789123869763</v>
      </c>
      <c r="K92" s="1294">
        <f t="shared" si="15"/>
        <v>19323.106011299998</v>
      </c>
      <c r="L92" s="1294">
        <f t="shared" si="23"/>
        <v>44274.264117495608</v>
      </c>
      <c r="M92" s="1295">
        <f t="shared" si="16"/>
        <v>44274.264117495608</v>
      </c>
      <c r="N92" s="1249">
        <f t="shared" si="34"/>
        <v>0.19892488097366726</v>
      </c>
      <c r="O92" s="1249">
        <f t="shared" si="34"/>
        <v>0.26585903447659598</v>
      </c>
      <c r="P92" s="1249">
        <f t="shared" si="34"/>
        <v>8.9228108703258049E-2</v>
      </c>
      <c r="Q92" s="1249">
        <f t="shared" si="34"/>
        <v>0</v>
      </c>
      <c r="R92" s="1249">
        <f t="shared" si="34"/>
        <v>0</v>
      </c>
      <c r="S92" s="1249">
        <f t="shared" si="34"/>
        <v>0</v>
      </c>
      <c r="T92" s="1249">
        <f t="shared" si="34"/>
        <v>0.4459879758464787</v>
      </c>
      <c r="U92" s="1282">
        <f t="shared" si="32"/>
        <v>1</v>
      </c>
      <c r="V92" s="1283">
        <f t="shared" si="35"/>
        <v>0.29028184578274857</v>
      </c>
      <c r="W92" s="1249">
        <f t="shared" si="35"/>
        <v>0.30317187715157518</v>
      </c>
      <c r="X92" s="1249">
        <f t="shared" si="35"/>
        <v>8.2805443243048754E-2</v>
      </c>
      <c r="Y92" s="1249">
        <f t="shared" si="35"/>
        <v>0</v>
      </c>
      <c r="Z92" s="1249">
        <f t="shared" si="35"/>
        <v>0</v>
      </c>
      <c r="AA92" s="1249">
        <f t="shared" si="35"/>
        <v>0</v>
      </c>
      <c r="AB92" s="1249">
        <f t="shared" si="35"/>
        <v>0.32374083382262742</v>
      </c>
      <c r="AC92" s="1282">
        <f t="shared" si="26"/>
        <v>0.99999999999999989</v>
      </c>
    </row>
    <row r="93" spans="1:29">
      <c r="A93" s="187">
        <f t="shared" si="33"/>
        <v>1993</v>
      </c>
      <c r="B93" s="1655">
        <v>34.101339999999993</v>
      </c>
      <c r="C93" s="528">
        <v>1596.8565504459618</v>
      </c>
      <c r="D93" s="1577">
        <v>0</v>
      </c>
      <c r="E93" s="1578">
        <v>0</v>
      </c>
      <c r="F93" s="186">
        <f t="shared" si="27"/>
        <v>0.71479999999999999</v>
      </c>
      <c r="G93" s="186">
        <f t="shared" si="28"/>
        <v>0.28959999999999997</v>
      </c>
      <c r="H93" s="478">
        <v>0</v>
      </c>
      <c r="I93" s="1292">
        <f t="shared" si="21"/>
        <v>578.73</v>
      </c>
      <c r="J93" s="1293">
        <f t="shared" si="22"/>
        <v>28.06789123869763</v>
      </c>
      <c r="K93" s="1294">
        <f t="shared" si="15"/>
        <v>19735.468498199996</v>
      </c>
      <c r="L93" s="1294">
        <f t="shared" si="23"/>
        <v>44820.395981719135</v>
      </c>
      <c r="M93" s="1295">
        <f t="shared" si="16"/>
        <v>44820.395981719135</v>
      </c>
      <c r="N93" s="1249">
        <f t="shared" si="34"/>
        <v>0.19892488097366726</v>
      </c>
      <c r="O93" s="1249">
        <f t="shared" si="34"/>
        <v>0.26585903447659598</v>
      </c>
      <c r="P93" s="1249">
        <f t="shared" si="34"/>
        <v>8.9228108703258049E-2</v>
      </c>
      <c r="Q93" s="1249">
        <f t="shared" si="34"/>
        <v>0</v>
      </c>
      <c r="R93" s="1249">
        <f t="shared" si="34"/>
        <v>0</v>
      </c>
      <c r="S93" s="1249">
        <f t="shared" si="34"/>
        <v>0</v>
      </c>
      <c r="T93" s="1249">
        <f t="shared" si="34"/>
        <v>0.4459879758464787</v>
      </c>
      <c r="U93" s="1282">
        <f t="shared" si="32"/>
        <v>1</v>
      </c>
      <c r="V93" s="1283">
        <f t="shared" si="35"/>
        <v>0.29028184578274857</v>
      </c>
      <c r="W93" s="1249">
        <f t="shared" si="35"/>
        <v>0.30317187715157518</v>
      </c>
      <c r="X93" s="1249">
        <f t="shared" si="35"/>
        <v>8.2805443243048754E-2</v>
      </c>
      <c r="Y93" s="1249">
        <f t="shared" si="35"/>
        <v>0</v>
      </c>
      <c r="Z93" s="1249">
        <f t="shared" si="35"/>
        <v>0</v>
      </c>
      <c r="AA93" s="1249">
        <f t="shared" si="35"/>
        <v>0</v>
      </c>
      <c r="AB93" s="1249">
        <f t="shared" si="35"/>
        <v>0.32374083382262742</v>
      </c>
      <c r="AC93" s="1282">
        <f t="shared" si="26"/>
        <v>0.99999999999999989</v>
      </c>
    </row>
    <row r="94" spans="1:29">
      <c r="A94" s="187">
        <f t="shared" si="33"/>
        <v>1994</v>
      </c>
      <c r="B94" s="1655">
        <v>34.837530000000001</v>
      </c>
      <c r="C94" s="528">
        <v>1647.9559768112579</v>
      </c>
      <c r="D94" s="1577">
        <v>0</v>
      </c>
      <c r="E94" s="1578">
        <v>0</v>
      </c>
      <c r="F94" s="186">
        <f t="shared" si="27"/>
        <v>0.71479999999999999</v>
      </c>
      <c r="G94" s="186">
        <f t="shared" si="28"/>
        <v>0.28959999999999997</v>
      </c>
      <c r="H94" s="478">
        <v>0</v>
      </c>
      <c r="I94" s="1292">
        <f t="shared" si="21"/>
        <v>578.73</v>
      </c>
      <c r="J94" s="1293">
        <f t="shared" si="22"/>
        <v>28.06789123869763</v>
      </c>
      <c r="K94" s="1294">
        <f t="shared" si="15"/>
        <v>20161.523736900002</v>
      </c>
      <c r="L94" s="1294">
        <f t="shared" si="23"/>
        <v>46254.6491233001</v>
      </c>
      <c r="M94" s="1295">
        <f t="shared" si="16"/>
        <v>46254.6491233001</v>
      </c>
      <c r="N94" s="1249">
        <f t="shared" si="34"/>
        <v>0.19892488097366726</v>
      </c>
      <c r="O94" s="1249">
        <f t="shared" si="34"/>
        <v>0.26585903447659598</v>
      </c>
      <c r="P94" s="1249">
        <f t="shared" si="34"/>
        <v>8.9228108703258049E-2</v>
      </c>
      <c r="Q94" s="1249">
        <f t="shared" si="34"/>
        <v>0</v>
      </c>
      <c r="R94" s="1249">
        <f t="shared" si="34"/>
        <v>0</v>
      </c>
      <c r="S94" s="1249">
        <f t="shared" si="34"/>
        <v>0</v>
      </c>
      <c r="T94" s="1249">
        <f t="shared" si="34"/>
        <v>0.4459879758464787</v>
      </c>
      <c r="U94" s="1282">
        <f t="shared" si="32"/>
        <v>1</v>
      </c>
      <c r="V94" s="1283">
        <f t="shared" si="35"/>
        <v>0.29028184578274857</v>
      </c>
      <c r="W94" s="1249">
        <f t="shared" si="35"/>
        <v>0.30317187715157518</v>
      </c>
      <c r="X94" s="1249">
        <f t="shared" si="35"/>
        <v>8.2805443243048754E-2</v>
      </c>
      <c r="Y94" s="1249">
        <f t="shared" si="35"/>
        <v>0</v>
      </c>
      <c r="Z94" s="1249">
        <f t="shared" si="35"/>
        <v>0</v>
      </c>
      <c r="AA94" s="1249">
        <f t="shared" si="35"/>
        <v>0</v>
      </c>
      <c r="AB94" s="1249">
        <f t="shared" si="35"/>
        <v>0.32374083382262742</v>
      </c>
      <c r="AC94" s="1282">
        <f t="shared" si="26"/>
        <v>0.99999999999999989</v>
      </c>
    </row>
    <row r="95" spans="1:29">
      <c r="A95" s="187">
        <f t="shared" si="33"/>
        <v>1995</v>
      </c>
      <c r="B95" s="1655">
        <v>35.599199999999996</v>
      </c>
      <c r="C95" s="528">
        <v>1699.0425365830638</v>
      </c>
      <c r="D95" s="1577">
        <v>0</v>
      </c>
      <c r="E95" s="1578">
        <v>0</v>
      </c>
      <c r="F95" s="186">
        <f t="shared" si="27"/>
        <v>0.71479999999999999</v>
      </c>
      <c r="G95" s="186">
        <f t="shared" si="28"/>
        <v>0.28959999999999997</v>
      </c>
      <c r="H95" s="478">
        <v>0</v>
      </c>
      <c r="I95" s="1292">
        <f t="shared" si="21"/>
        <v>578.73</v>
      </c>
      <c r="J95" s="1293">
        <f t="shared" si="22"/>
        <v>28.06789123869763</v>
      </c>
      <c r="K95" s="1294">
        <f t="shared" si="15"/>
        <v>20602.325015999999</v>
      </c>
      <c r="L95" s="1294">
        <f t="shared" si="23"/>
        <v>47688.541126734373</v>
      </c>
      <c r="M95" s="1295">
        <f t="shared" si="16"/>
        <v>47688.541126734373</v>
      </c>
      <c r="N95" s="1249">
        <f t="shared" si="34"/>
        <v>0.19892488097366726</v>
      </c>
      <c r="O95" s="1249">
        <f t="shared" si="34"/>
        <v>0.26585903447659598</v>
      </c>
      <c r="P95" s="1249">
        <f t="shared" si="34"/>
        <v>8.9228108703258049E-2</v>
      </c>
      <c r="Q95" s="1249">
        <f t="shared" si="34"/>
        <v>0</v>
      </c>
      <c r="R95" s="1249">
        <f t="shared" si="34"/>
        <v>0</v>
      </c>
      <c r="S95" s="1249">
        <f t="shared" si="34"/>
        <v>0</v>
      </c>
      <c r="T95" s="1249">
        <f t="shared" si="34"/>
        <v>0.4459879758464787</v>
      </c>
      <c r="U95" s="1282">
        <f t="shared" si="32"/>
        <v>1</v>
      </c>
      <c r="V95" s="1283">
        <f t="shared" si="35"/>
        <v>0.29028184578274857</v>
      </c>
      <c r="W95" s="1249">
        <f t="shared" si="35"/>
        <v>0.30317187715157518</v>
      </c>
      <c r="X95" s="1249">
        <f t="shared" si="35"/>
        <v>8.2805443243048754E-2</v>
      </c>
      <c r="Y95" s="1249">
        <f t="shared" si="35"/>
        <v>0</v>
      </c>
      <c r="Z95" s="1249">
        <f t="shared" si="35"/>
        <v>0</v>
      </c>
      <c r="AA95" s="1249">
        <f t="shared" si="35"/>
        <v>0</v>
      </c>
      <c r="AB95" s="1249">
        <f t="shared" si="35"/>
        <v>0.32374083382262742</v>
      </c>
      <c r="AC95" s="1282">
        <f t="shared" si="26"/>
        <v>0.99999999999999989</v>
      </c>
    </row>
    <row r="96" spans="1:29">
      <c r="A96" s="187">
        <f t="shared" si="33"/>
        <v>1996</v>
      </c>
      <c r="B96" s="1655">
        <v>36.4</v>
      </c>
      <c r="C96" s="528">
        <v>1772.1013480030836</v>
      </c>
      <c r="D96" s="1577">
        <v>0</v>
      </c>
      <c r="E96" s="1578">
        <v>0</v>
      </c>
      <c r="F96" s="186">
        <f t="shared" si="27"/>
        <v>0.71479999999999999</v>
      </c>
      <c r="G96" s="186">
        <f t="shared" si="28"/>
        <v>0.28959999999999997</v>
      </c>
      <c r="H96" s="478">
        <v>0</v>
      </c>
      <c r="I96" s="1292">
        <f t="shared" si="21"/>
        <v>578.73</v>
      </c>
      <c r="J96" s="1293">
        <f t="shared" si="22"/>
        <v>28.06789123869763</v>
      </c>
      <c r="K96" s="1294">
        <f t="shared" si="15"/>
        <v>21065.772000000001</v>
      </c>
      <c r="L96" s="1294">
        <f t="shared" si="23"/>
        <v>49739.147899700009</v>
      </c>
      <c r="M96" s="1295">
        <f t="shared" si="16"/>
        <v>49739.147899700009</v>
      </c>
      <c r="N96" s="1249">
        <f t="shared" si="34"/>
        <v>0.19892488097366726</v>
      </c>
      <c r="O96" s="1249">
        <f t="shared" si="34"/>
        <v>0.26585903447659598</v>
      </c>
      <c r="P96" s="1249">
        <f t="shared" si="34"/>
        <v>8.9228108703258049E-2</v>
      </c>
      <c r="Q96" s="1249">
        <f t="shared" si="34"/>
        <v>0</v>
      </c>
      <c r="R96" s="1249">
        <f t="shared" si="34"/>
        <v>0</v>
      </c>
      <c r="S96" s="1249">
        <f t="shared" si="34"/>
        <v>0</v>
      </c>
      <c r="T96" s="1249">
        <f t="shared" si="34"/>
        <v>0.4459879758464787</v>
      </c>
      <c r="U96" s="1282">
        <f t="shared" si="32"/>
        <v>1</v>
      </c>
      <c r="V96" s="1283">
        <f t="shared" si="35"/>
        <v>0.29028184578274857</v>
      </c>
      <c r="W96" s="1249">
        <f t="shared" si="35"/>
        <v>0.30317187715157518</v>
      </c>
      <c r="X96" s="1249">
        <f t="shared" si="35"/>
        <v>8.2805443243048754E-2</v>
      </c>
      <c r="Y96" s="1249">
        <f t="shared" si="35"/>
        <v>0</v>
      </c>
      <c r="Z96" s="1249">
        <f t="shared" si="35"/>
        <v>0</v>
      </c>
      <c r="AA96" s="1249">
        <f t="shared" si="35"/>
        <v>0</v>
      </c>
      <c r="AB96" s="1249">
        <f t="shared" si="35"/>
        <v>0.32374083382262742</v>
      </c>
      <c r="AC96" s="1282">
        <f t="shared" si="26"/>
        <v>0.99999999999999989</v>
      </c>
    </row>
    <row r="97" spans="1:29">
      <c r="A97" s="187">
        <f t="shared" si="33"/>
        <v>1997</v>
      </c>
      <c r="B97" s="1655">
        <v>37.242660000000001</v>
      </c>
      <c r="C97" s="528">
        <v>1818.1760205488283</v>
      </c>
      <c r="D97" s="1577">
        <v>0</v>
      </c>
      <c r="E97" s="1578">
        <v>0</v>
      </c>
      <c r="F97" s="186">
        <f t="shared" si="27"/>
        <v>0.71479999999999999</v>
      </c>
      <c r="G97" s="186">
        <f t="shared" si="28"/>
        <v>0.28959999999999997</v>
      </c>
      <c r="H97" s="478">
        <v>0</v>
      </c>
      <c r="I97" s="1292">
        <f t="shared" si="21"/>
        <v>578.73</v>
      </c>
      <c r="J97" s="1293">
        <f t="shared" si="22"/>
        <v>28.06789123869763</v>
      </c>
      <c r="K97" s="1294">
        <f t="shared" si="15"/>
        <v>21553.444621800001</v>
      </c>
      <c r="L97" s="1294">
        <f t="shared" si="23"/>
        <v>51032.366797572584</v>
      </c>
      <c r="M97" s="1295">
        <f t="shared" si="16"/>
        <v>51032.366797572584</v>
      </c>
      <c r="N97" s="1249">
        <f t="shared" si="34"/>
        <v>0.19892488097366726</v>
      </c>
      <c r="O97" s="1249">
        <f t="shared" si="34"/>
        <v>0.26585903447659598</v>
      </c>
      <c r="P97" s="1249">
        <f t="shared" si="34"/>
        <v>8.9228108703258049E-2</v>
      </c>
      <c r="Q97" s="1249">
        <f t="shared" si="34"/>
        <v>0</v>
      </c>
      <c r="R97" s="1249">
        <f t="shared" si="34"/>
        <v>0</v>
      </c>
      <c r="S97" s="1249">
        <f t="shared" si="34"/>
        <v>0</v>
      </c>
      <c r="T97" s="1249">
        <f t="shared" si="34"/>
        <v>0.4459879758464787</v>
      </c>
      <c r="U97" s="1282">
        <f t="shared" si="32"/>
        <v>1</v>
      </c>
      <c r="V97" s="1283">
        <f t="shared" si="35"/>
        <v>0.29028184578274857</v>
      </c>
      <c r="W97" s="1249">
        <f t="shared" si="35"/>
        <v>0.30317187715157518</v>
      </c>
      <c r="X97" s="1249">
        <f t="shared" si="35"/>
        <v>8.2805443243048754E-2</v>
      </c>
      <c r="Y97" s="1249">
        <f t="shared" si="35"/>
        <v>0</v>
      </c>
      <c r="Z97" s="1249">
        <f t="shared" si="35"/>
        <v>0</v>
      </c>
      <c r="AA97" s="1249">
        <f t="shared" si="35"/>
        <v>0</v>
      </c>
      <c r="AB97" s="1249">
        <f t="shared" si="35"/>
        <v>0.32374083382262742</v>
      </c>
      <c r="AC97" s="1282">
        <f t="shared" si="26"/>
        <v>0.99999999999999989</v>
      </c>
    </row>
    <row r="98" spans="1:29">
      <c r="A98" s="187">
        <f t="shared" si="33"/>
        <v>1998</v>
      </c>
      <c r="B98" s="1655">
        <v>38.128999999999998</v>
      </c>
      <c r="C98" s="528">
        <v>1827.2669171060654</v>
      </c>
      <c r="D98" s="1577">
        <v>0</v>
      </c>
      <c r="E98" s="1578">
        <v>0</v>
      </c>
      <c r="F98" s="186">
        <f t="shared" si="27"/>
        <v>0.71479999999999999</v>
      </c>
      <c r="G98" s="186">
        <f t="shared" si="28"/>
        <v>0.28959999999999997</v>
      </c>
      <c r="H98" s="478">
        <v>0</v>
      </c>
      <c r="I98" s="1292">
        <f t="shared" si="21"/>
        <v>578.73</v>
      </c>
      <c r="J98" s="1293">
        <f t="shared" si="22"/>
        <v>28.06789123869763</v>
      </c>
      <c r="K98" s="1294">
        <f t="shared" si="15"/>
        <v>22066.39617</v>
      </c>
      <c r="L98" s="1294">
        <f t="shared" si="23"/>
        <v>51287.529093403362</v>
      </c>
      <c r="M98" s="1295">
        <f t="shared" si="16"/>
        <v>51287.529093403362</v>
      </c>
      <c r="N98" s="1249">
        <f t="shared" si="34"/>
        <v>0.19892488097366726</v>
      </c>
      <c r="O98" s="1249">
        <f t="shared" si="34"/>
        <v>0.26585903447659598</v>
      </c>
      <c r="P98" s="1249">
        <f t="shared" si="34"/>
        <v>8.9228108703258049E-2</v>
      </c>
      <c r="Q98" s="1249">
        <f t="shared" si="34"/>
        <v>0</v>
      </c>
      <c r="R98" s="1249">
        <f t="shared" si="34"/>
        <v>0</v>
      </c>
      <c r="S98" s="1249">
        <f t="shared" si="34"/>
        <v>0</v>
      </c>
      <c r="T98" s="1249">
        <f t="shared" si="34"/>
        <v>0.4459879758464787</v>
      </c>
      <c r="U98" s="1282">
        <f t="shared" si="32"/>
        <v>1</v>
      </c>
      <c r="V98" s="1283">
        <f t="shared" si="35"/>
        <v>0.29028184578274857</v>
      </c>
      <c r="W98" s="1249">
        <f t="shared" si="35"/>
        <v>0.30317187715157518</v>
      </c>
      <c r="X98" s="1249">
        <f t="shared" si="35"/>
        <v>8.2805443243048754E-2</v>
      </c>
      <c r="Y98" s="1249">
        <f t="shared" si="35"/>
        <v>0</v>
      </c>
      <c r="Z98" s="1249">
        <f t="shared" si="35"/>
        <v>0</v>
      </c>
      <c r="AA98" s="1249">
        <f t="shared" si="35"/>
        <v>0</v>
      </c>
      <c r="AB98" s="1249">
        <f t="shared" si="35"/>
        <v>0.32374083382262742</v>
      </c>
      <c r="AC98" s="1282">
        <f t="shared" si="26"/>
        <v>0.99999999999999989</v>
      </c>
    </row>
    <row r="99" spans="1:29" ht="13.9" customHeight="1" thickBot="1">
      <c r="A99" s="187">
        <f t="shared" si="33"/>
        <v>1999</v>
      </c>
      <c r="B99" s="1655">
        <v>39.059930000000001</v>
      </c>
      <c r="C99" s="528">
        <v>1871.1212545027383</v>
      </c>
      <c r="D99" s="1577">
        <v>0</v>
      </c>
      <c r="E99" s="1578">
        <v>0</v>
      </c>
      <c r="F99" s="186">
        <f t="shared" si="27"/>
        <v>0.71479999999999999</v>
      </c>
      <c r="G99" s="186">
        <f t="shared" si="28"/>
        <v>0.28959999999999997</v>
      </c>
      <c r="H99" s="478">
        <v>0</v>
      </c>
      <c r="I99" s="1292">
        <f t="shared" si="21"/>
        <v>578.73</v>
      </c>
      <c r="J99" s="1293">
        <f t="shared" si="22"/>
        <v>28.06789123869763</v>
      </c>
      <c r="K99" s="1294">
        <f t="shared" si="15"/>
        <v>22605.153288900001</v>
      </c>
      <c r="L99" s="1294">
        <f t="shared" si="23"/>
        <v>52518.42786579833</v>
      </c>
      <c r="M99" s="1295">
        <f t="shared" si="16"/>
        <v>52518.42786579833</v>
      </c>
      <c r="N99" s="1249">
        <f t="shared" ref="N99:T114" si="36">N98</f>
        <v>0.19892488097366726</v>
      </c>
      <c r="O99" s="1249">
        <f t="shared" si="36"/>
        <v>0.26585903447659598</v>
      </c>
      <c r="P99" s="1249">
        <f t="shared" si="36"/>
        <v>8.9228108703258049E-2</v>
      </c>
      <c r="Q99" s="1249">
        <f t="shared" si="36"/>
        <v>0</v>
      </c>
      <c r="R99" s="1249">
        <f t="shared" si="36"/>
        <v>0</v>
      </c>
      <c r="S99" s="1249">
        <f t="shared" si="36"/>
        <v>0</v>
      </c>
      <c r="T99" s="1249">
        <f t="shared" si="36"/>
        <v>0.4459879758464787</v>
      </c>
      <c r="U99" s="1282">
        <f t="shared" si="32"/>
        <v>1</v>
      </c>
      <c r="V99" s="1283">
        <f t="shared" si="35"/>
        <v>0.29028184578274857</v>
      </c>
      <c r="W99" s="1249">
        <f t="shared" si="35"/>
        <v>0.30317187715157518</v>
      </c>
      <c r="X99" s="1249">
        <f t="shared" si="35"/>
        <v>8.2805443243048754E-2</v>
      </c>
      <c r="Y99" s="1249">
        <f t="shared" si="35"/>
        <v>0</v>
      </c>
      <c r="Z99" s="1249">
        <f t="shared" si="35"/>
        <v>0</v>
      </c>
      <c r="AA99" s="1249">
        <f t="shared" si="35"/>
        <v>0</v>
      </c>
      <c r="AB99" s="1249">
        <f t="shared" si="35"/>
        <v>0.32374083382262742</v>
      </c>
      <c r="AC99" s="1282">
        <f t="shared" si="26"/>
        <v>0.99999999999999989</v>
      </c>
    </row>
    <row r="100" spans="1:29">
      <c r="A100" s="1661">
        <f t="shared" si="33"/>
        <v>2000</v>
      </c>
      <c r="B100" s="1699">
        <v>44</v>
      </c>
      <c r="C100" s="1662">
        <v>1949.7084122320282</v>
      </c>
      <c r="D100" s="1663">
        <v>0</v>
      </c>
      <c r="E100" s="1664">
        <f>D100</f>
        <v>0</v>
      </c>
      <c r="F100" s="1665">
        <f t="shared" si="27"/>
        <v>0.71479999999999999</v>
      </c>
      <c r="G100" s="1665">
        <f t="shared" si="28"/>
        <v>0.28959999999999997</v>
      </c>
      <c r="H100" s="1666">
        <v>501</v>
      </c>
      <c r="I100" s="1667">
        <f t="shared" si="21"/>
        <v>578.73</v>
      </c>
      <c r="J100" s="1668">
        <f t="shared" si="22"/>
        <v>28.06789123869763</v>
      </c>
      <c r="K100" s="1669">
        <f t="shared" si="15"/>
        <v>25464.120000000003</v>
      </c>
      <c r="L100" s="1669">
        <f>C100*J100*1000/1000</f>
        <v>54724.203661702413</v>
      </c>
      <c r="M100" s="1670">
        <f t="shared" si="16"/>
        <v>54724.203661702413</v>
      </c>
      <c r="N100" s="1665">
        <f t="shared" si="36"/>
        <v>0.19892488097366726</v>
      </c>
      <c r="O100" s="1665">
        <f t="shared" si="36"/>
        <v>0.26585903447659598</v>
      </c>
      <c r="P100" s="1665">
        <f t="shared" si="36"/>
        <v>8.9228108703258049E-2</v>
      </c>
      <c r="Q100" s="1665">
        <f t="shared" si="36"/>
        <v>0</v>
      </c>
      <c r="R100" s="1665">
        <f t="shared" si="36"/>
        <v>0</v>
      </c>
      <c r="S100" s="1665">
        <f t="shared" si="36"/>
        <v>0</v>
      </c>
      <c r="T100" s="1665">
        <f t="shared" si="36"/>
        <v>0.4459879758464787</v>
      </c>
      <c r="U100" s="1671">
        <f t="shared" si="32"/>
        <v>1</v>
      </c>
      <c r="V100" s="1665">
        <f t="shared" ref="V100:AB115" si="37">V99</f>
        <v>0.29028184578274857</v>
      </c>
      <c r="W100" s="1665">
        <f t="shared" si="37"/>
        <v>0.30317187715157518</v>
      </c>
      <c r="X100" s="1665">
        <f t="shared" si="37"/>
        <v>8.2805443243048754E-2</v>
      </c>
      <c r="Y100" s="1665">
        <f t="shared" si="37"/>
        <v>0</v>
      </c>
      <c r="Z100" s="1665">
        <f t="shared" si="37"/>
        <v>0</v>
      </c>
      <c r="AA100" s="1665">
        <f t="shared" si="37"/>
        <v>0</v>
      </c>
      <c r="AB100" s="1665">
        <f t="shared" si="37"/>
        <v>0.32374083382262742</v>
      </c>
      <c r="AC100" s="1671">
        <f t="shared" si="26"/>
        <v>0.99999999999999989</v>
      </c>
    </row>
    <row r="101" spans="1:29">
      <c r="A101" s="748">
        <f t="shared" si="33"/>
        <v>2001</v>
      </c>
      <c r="B101" s="1700">
        <v>44.91</v>
      </c>
      <c r="C101" s="759">
        <v>2002.3504334346351</v>
      </c>
      <c r="D101" s="1113">
        <v>0</v>
      </c>
      <c r="E101" s="1100">
        <f t="shared" ref="E101:E117" si="38">D101</f>
        <v>0</v>
      </c>
      <c r="F101" s="754">
        <f t="shared" si="27"/>
        <v>0.71479999999999999</v>
      </c>
      <c r="G101" s="754">
        <f t="shared" si="28"/>
        <v>0.28959999999999997</v>
      </c>
      <c r="H101" s="755">
        <v>501</v>
      </c>
      <c r="I101" s="1297">
        <f t="shared" si="21"/>
        <v>578.73</v>
      </c>
      <c r="J101" s="1672">
        <f t="shared" si="22"/>
        <v>28.06789123869763</v>
      </c>
      <c r="K101" s="1673">
        <f t="shared" si="15"/>
        <v>25990.764299999999</v>
      </c>
      <c r="L101" s="1673">
        <f t="shared" ref="L101:L116" si="39">C101*J101*1000/1000</f>
        <v>56201.754187402395</v>
      </c>
      <c r="M101" s="756">
        <f t="shared" si="16"/>
        <v>56201.754187402395</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700">
        <v>45.533000000000001</v>
      </c>
      <c r="C102" s="759">
        <v>2076.4450554986461</v>
      </c>
      <c r="D102" s="1113">
        <v>0</v>
      </c>
      <c r="E102" s="1100">
        <f t="shared" si="38"/>
        <v>0</v>
      </c>
      <c r="F102" s="754">
        <f t="shared" si="27"/>
        <v>0.71479999999999999</v>
      </c>
      <c r="G102" s="754">
        <f t="shared" si="28"/>
        <v>0.28959999999999997</v>
      </c>
      <c r="H102" s="755">
        <v>501</v>
      </c>
      <c r="I102" s="1297">
        <f t="shared" si="21"/>
        <v>578.73</v>
      </c>
      <c r="J102" s="1672">
        <f t="shared" si="22"/>
        <v>28.06789123869763</v>
      </c>
      <c r="K102" s="1673">
        <f t="shared" si="15"/>
        <v>26351.313090000003</v>
      </c>
      <c r="L102" s="1673">
        <f t="shared" si="39"/>
        <v>58281.433980867463</v>
      </c>
      <c r="M102" s="756">
        <f t="shared" si="16"/>
        <v>58281.433980867463</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700">
        <v>46.116</v>
      </c>
      <c r="C103" s="759">
        <v>2137.6810634216249</v>
      </c>
      <c r="D103" s="1113">
        <v>0</v>
      </c>
      <c r="E103" s="1100">
        <f t="shared" si="38"/>
        <v>0</v>
      </c>
      <c r="F103" s="754">
        <f t="shared" si="27"/>
        <v>0.71479999999999999</v>
      </c>
      <c r="G103" s="754">
        <f t="shared" si="28"/>
        <v>0.28959999999999997</v>
      </c>
      <c r="H103" s="755">
        <v>501</v>
      </c>
      <c r="I103" s="1297">
        <f t="shared" si="21"/>
        <v>578.73</v>
      </c>
      <c r="J103" s="1672">
        <f t="shared" si="22"/>
        <v>28.06789123869763</v>
      </c>
      <c r="K103" s="1673">
        <f t="shared" si="15"/>
        <v>26688.712680000001</v>
      </c>
      <c r="L103" s="1673">
        <f t="shared" si="39"/>
        <v>60000.199591141652</v>
      </c>
      <c r="M103" s="756">
        <f t="shared" si="16"/>
        <v>60000.199591141652</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700">
        <v>46.664999999999999</v>
      </c>
      <c r="C104" s="759">
        <v>2235.0428749750399</v>
      </c>
      <c r="D104" s="1113">
        <v>0</v>
      </c>
      <c r="E104" s="1100">
        <f t="shared" si="38"/>
        <v>0</v>
      </c>
      <c r="F104" s="754">
        <f t="shared" si="27"/>
        <v>0.71479999999999999</v>
      </c>
      <c r="G104" s="754">
        <f t="shared" si="28"/>
        <v>0.28959999999999997</v>
      </c>
      <c r="H104" s="755">
        <v>501</v>
      </c>
      <c r="I104" s="1297">
        <f t="shared" si="21"/>
        <v>578.73</v>
      </c>
      <c r="J104" s="1672">
        <f t="shared" si="22"/>
        <v>28.06789123869763</v>
      </c>
      <c r="K104" s="1673">
        <f t="shared" si="15"/>
        <v>27006.435450000001</v>
      </c>
      <c r="L104" s="1673">
        <f t="shared" si="39"/>
        <v>62732.940328625482</v>
      </c>
      <c r="M104" s="756">
        <f t="shared" si="16"/>
        <v>62732.940328625482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700">
        <v>47.198</v>
      </c>
      <c r="C105" s="759">
        <v>2352.9873460848162</v>
      </c>
      <c r="D105" s="1113">
        <v>0</v>
      </c>
      <c r="E105" s="1100">
        <f t="shared" si="38"/>
        <v>0</v>
      </c>
      <c r="F105" s="754">
        <f t="shared" si="27"/>
        <v>0.71479999999999999</v>
      </c>
      <c r="G105" s="754">
        <f t="shared" si="28"/>
        <v>0.28959999999999997</v>
      </c>
      <c r="H105" s="755">
        <v>501</v>
      </c>
      <c r="I105" s="1297">
        <f t="shared" si="21"/>
        <v>578.73</v>
      </c>
      <c r="J105" s="1672">
        <f t="shared" si="22"/>
        <v>28.06789123869763</v>
      </c>
      <c r="K105" s="1673">
        <f t="shared" si="15"/>
        <v>27314.898540000002</v>
      </c>
      <c r="L105" s="1673">
        <f t="shared" si="39"/>
        <v>66043.392915940407</v>
      </c>
      <c r="M105" s="756">
        <f t="shared" si="16"/>
        <v>66043.392915940407</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700">
        <v>47.731000000000002</v>
      </c>
      <c r="C106" s="759">
        <v>2484.843995854224</v>
      </c>
      <c r="D106" s="1113">
        <v>0</v>
      </c>
      <c r="E106" s="1100">
        <f t="shared" si="38"/>
        <v>0</v>
      </c>
      <c r="F106" s="754">
        <f t="shared" si="27"/>
        <v>0.71479999999999999</v>
      </c>
      <c r="G106" s="754">
        <f t="shared" si="28"/>
        <v>0.28959999999999997</v>
      </c>
      <c r="H106" s="755">
        <v>501</v>
      </c>
      <c r="I106" s="1297">
        <f t="shared" si="21"/>
        <v>578.73</v>
      </c>
      <c r="J106" s="1672">
        <f t="shared" si="22"/>
        <v>28.06789123869763</v>
      </c>
      <c r="K106" s="1673">
        <f t="shared" si="15"/>
        <v>27623.361630000003</v>
      </c>
      <c r="L106" s="1673">
        <f t="shared" si="39"/>
        <v>69744.331020767189</v>
      </c>
      <c r="M106" s="756">
        <f t="shared" si="16"/>
        <v>69744.331020767189</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700">
        <v>48.256999999999998</v>
      </c>
      <c r="C107" s="759">
        <v>2618.0434591809503</v>
      </c>
      <c r="D107" s="1113">
        <v>0</v>
      </c>
      <c r="E107" s="1100">
        <f t="shared" si="38"/>
        <v>0</v>
      </c>
      <c r="F107" s="754">
        <f t="shared" si="27"/>
        <v>0.71479999999999999</v>
      </c>
      <c r="G107" s="754">
        <f t="shared" si="28"/>
        <v>0.28959999999999997</v>
      </c>
      <c r="H107" s="755">
        <v>501</v>
      </c>
      <c r="I107" s="1297">
        <f t="shared" si="21"/>
        <v>578.73</v>
      </c>
      <c r="J107" s="1672">
        <f t="shared" si="22"/>
        <v>28.06789123869763</v>
      </c>
      <c r="K107" s="1673">
        <f t="shared" si="15"/>
        <v>27927.77361</v>
      </c>
      <c r="L107" s="1673">
        <f t="shared" si="39"/>
        <v>73482.959070474637</v>
      </c>
      <c r="M107" s="756">
        <f t="shared" si="16"/>
        <v>73482.959070474637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700">
        <v>48.792999999999999</v>
      </c>
      <c r="C108" s="759">
        <v>2701.5864496631075</v>
      </c>
      <c r="D108" s="1113">
        <v>0</v>
      </c>
      <c r="E108" s="1100">
        <f t="shared" si="38"/>
        <v>0</v>
      </c>
      <c r="F108" s="754">
        <f t="shared" si="27"/>
        <v>0.71479999999999999</v>
      </c>
      <c r="G108" s="754">
        <f t="shared" si="28"/>
        <v>0.28959999999999997</v>
      </c>
      <c r="H108" s="755">
        <v>501</v>
      </c>
      <c r="I108" s="1297">
        <f t="shared" si="21"/>
        <v>578.73</v>
      </c>
      <c r="J108" s="1672">
        <f t="shared" si="22"/>
        <v>28.06789123869763</v>
      </c>
      <c r="K108" s="1673">
        <f t="shared" si="15"/>
        <v>28237.972890000001</v>
      </c>
      <c r="L108" s="1673">
        <f t="shared" si="39"/>
        <v>75827.834641083376</v>
      </c>
      <c r="M108" s="756">
        <f t="shared" si="16"/>
        <v>75827.834641083376</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700">
        <v>49.32</v>
      </c>
      <c r="C109" s="759">
        <v>2660.0336366320498</v>
      </c>
      <c r="D109" s="1113">
        <v>0</v>
      </c>
      <c r="E109" s="1100">
        <f t="shared" si="38"/>
        <v>0</v>
      </c>
      <c r="F109" s="754">
        <f t="shared" si="27"/>
        <v>0.71479999999999999</v>
      </c>
      <c r="G109" s="754">
        <f t="shared" si="28"/>
        <v>0.28959999999999997</v>
      </c>
      <c r="H109" s="755">
        <v>501</v>
      </c>
      <c r="I109" s="1297">
        <f t="shared" si="21"/>
        <v>578.73</v>
      </c>
      <c r="J109" s="1672">
        <f t="shared" si="22"/>
        <v>28.06789123869763</v>
      </c>
      <c r="K109" s="1673">
        <f t="shared" si="15"/>
        <v>28542.963600000003</v>
      </c>
      <c r="L109" s="1673">
        <f t="shared" si="39"/>
        <v>74661.534804265713</v>
      </c>
      <c r="M109" s="756">
        <f t="shared" si="16"/>
        <v>74661.534804265713</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700">
        <v>49.87</v>
      </c>
      <c r="C110" s="759">
        <v>2740.8914987475191</v>
      </c>
      <c r="D110" s="1113">
        <v>0</v>
      </c>
      <c r="E110" s="1100">
        <f t="shared" si="38"/>
        <v>0</v>
      </c>
      <c r="F110" s="749">
        <f t="shared" si="27"/>
        <v>0.71479999999999999</v>
      </c>
      <c r="G110" s="749">
        <f t="shared" si="28"/>
        <v>0.28959999999999997</v>
      </c>
      <c r="H110" s="750">
        <v>501</v>
      </c>
      <c r="I110" s="1296">
        <f t="shared" ref="I110:I116" si="40">($I$117-$I$109)/($A$117-$A$109)+I109</f>
        <v>559.42164173673609</v>
      </c>
      <c r="J110" s="1674">
        <f t="shared" si="22"/>
        <v>28.06789123869763</v>
      </c>
      <c r="K110" s="751">
        <f t="shared" si="15"/>
        <v>27898.357273411028</v>
      </c>
      <c r="L110" s="751">
        <f t="shared" si="39"/>
        <v>76931.04448391631</v>
      </c>
      <c r="M110" s="752">
        <f t="shared" si="16"/>
        <v>76931.04448391631</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700">
        <v>51.771000000000001</v>
      </c>
      <c r="C111" s="759">
        <v>2830.9069841561718</v>
      </c>
      <c r="D111" s="1113">
        <v>0</v>
      </c>
      <c r="E111" s="1100">
        <f t="shared" si="38"/>
        <v>0</v>
      </c>
      <c r="F111" s="754">
        <f t="shared" si="27"/>
        <v>0.71479999999999999</v>
      </c>
      <c r="G111" s="754">
        <f t="shared" si="28"/>
        <v>0.28959999999999997</v>
      </c>
      <c r="H111" s="755">
        <v>501</v>
      </c>
      <c r="I111" s="1297">
        <f t="shared" si="40"/>
        <v>540.11328347347217</v>
      </c>
      <c r="J111" s="1672">
        <f t="shared" si="22"/>
        <v>28.06789123869763</v>
      </c>
      <c r="K111" s="1673">
        <f>B111*I110</f>
        <v>28961.817814352566</v>
      </c>
      <c r="L111" s="1673">
        <f t="shared" si="39"/>
        <v>79457.589338164951</v>
      </c>
      <c r="M111" s="756">
        <f t="shared" si="16"/>
        <v>79457.589338164951</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701">
        <v>52.325432882070082</v>
      </c>
      <c r="C112" s="759">
        <v>2893.5650000000564</v>
      </c>
      <c r="D112" s="1113">
        <v>0</v>
      </c>
      <c r="E112" s="1100">
        <f t="shared" si="38"/>
        <v>0</v>
      </c>
      <c r="F112" s="754">
        <f t="shared" si="27"/>
        <v>0.71479999999999999</v>
      </c>
      <c r="G112" s="754">
        <f t="shared" si="28"/>
        <v>0.28959999999999997</v>
      </c>
      <c r="H112" s="755">
        <v>501</v>
      </c>
      <c r="I112" s="1297">
        <f t="shared" si="40"/>
        <v>520.80492521020824</v>
      </c>
      <c r="J112" s="1672">
        <f t="shared" si="22"/>
        <v>28.06789123869763</v>
      </c>
      <c r="K112" s="1673">
        <f t="shared" ref="K112:K150" si="41">B112*I112</f>
        <v>27251.34315873828</v>
      </c>
      <c r="L112" s="1673">
        <f t="shared" si="39"/>
        <v>81216.267712103698</v>
      </c>
      <c r="M112" s="756">
        <f t="shared" si="16"/>
        <v>81216.267712103698</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701">
        <v>53.104386458423342</v>
      </c>
      <c r="C113" s="759">
        <v>2969.1963051355538</v>
      </c>
      <c r="D113" s="1113">
        <v>0</v>
      </c>
      <c r="E113" s="1100">
        <f t="shared" si="38"/>
        <v>0</v>
      </c>
      <c r="F113" s="754">
        <f t="shared" si="27"/>
        <v>0.71479999999999999</v>
      </c>
      <c r="G113" s="754">
        <f t="shared" si="28"/>
        <v>0.28959999999999997</v>
      </c>
      <c r="H113" s="755">
        <v>501</v>
      </c>
      <c r="I113" s="1297">
        <f t="shared" si="40"/>
        <v>501.49656694694431</v>
      </c>
      <c r="J113" s="1672">
        <f t="shared" si="22"/>
        <v>28.06789123869763</v>
      </c>
      <c r="K113" s="1673">
        <f t="shared" si="41"/>
        <v>26631.667498723105</v>
      </c>
      <c r="L113" s="1673">
        <f t="shared" si="39"/>
        <v>83339.078958887578</v>
      </c>
      <c r="M113" s="756">
        <f t="shared" si="16"/>
        <v>83339.078958887578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701">
        <v>53.912365691429272</v>
      </c>
      <c r="C114" s="759">
        <v>3022.2173632302474</v>
      </c>
      <c r="D114" s="1113">
        <v>0</v>
      </c>
      <c r="E114" s="1100">
        <f t="shared" si="38"/>
        <v>0</v>
      </c>
      <c r="F114" s="754">
        <f t="shared" si="27"/>
        <v>0.71479999999999999</v>
      </c>
      <c r="G114" s="754">
        <f t="shared" si="28"/>
        <v>0.28959999999999997</v>
      </c>
      <c r="H114" s="755">
        <v>501</v>
      </c>
      <c r="I114" s="1297">
        <f t="shared" si="40"/>
        <v>482.18820868368039</v>
      </c>
      <c r="J114" s="1672">
        <f t="shared" si="22"/>
        <v>28.06789123869763</v>
      </c>
      <c r="K114" s="1673">
        <f t="shared" si="41"/>
        <v>25995.907038649788</v>
      </c>
      <c r="L114" s="1673">
        <f t="shared" si="39"/>
        <v>84827.268250850117</v>
      </c>
      <c r="M114" s="756">
        <f t="shared" ref="M114:M116" si="42">C114*J114*1000/1000</f>
        <v>84827.268250850117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701">
        <v>54.750491457321111</v>
      </c>
      <c r="C115" s="759">
        <v>3060.2316404410249</v>
      </c>
      <c r="D115" s="1113">
        <v>0</v>
      </c>
      <c r="E115" s="1100">
        <f t="shared" si="38"/>
        <v>0</v>
      </c>
      <c r="F115" s="754">
        <f t="shared" si="27"/>
        <v>0.71479999999999999</v>
      </c>
      <c r="G115" s="754">
        <f t="shared" si="28"/>
        <v>0.28959999999999997</v>
      </c>
      <c r="H115" s="755">
        <v>501</v>
      </c>
      <c r="I115" s="1297">
        <f t="shared" si="40"/>
        <v>462.87985042041646</v>
      </c>
      <c r="J115" s="1672">
        <f t="shared" ref="J115:J116" si="45">J114</f>
        <v>28.06789123869763</v>
      </c>
      <c r="K115" s="1673">
        <f t="shared" si="41"/>
        <v>25342.899296209085</v>
      </c>
      <c r="L115" s="1673">
        <f t="shared" si="39"/>
        <v>85894.248849119918</v>
      </c>
      <c r="M115" s="756">
        <f t="shared" si="42"/>
        <v>85894.248849119918</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701">
        <v>55.619940469824826</v>
      </c>
      <c r="C116" s="759">
        <v>3082.8658989519636</v>
      </c>
      <c r="D116" s="1113">
        <v>0</v>
      </c>
      <c r="E116" s="1100">
        <f t="shared" si="38"/>
        <v>0</v>
      </c>
      <c r="F116" s="754">
        <f t="shared" ref="F116:F117" si="48">F115</f>
        <v>0.71479999999999999</v>
      </c>
      <c r="G116" s="754">
        <f t="shared" ref="G116:G117" si="49">G115</f>
        <v>0.28959999999999997</v>
      </c>
      <c r="H116" s="755">
        <v>501</v>
      </c>
      <c r="I116" s="1297">
        <f t="shared" si="40"/>
        <v>443.57149215715253</v>
      </c>
      <c r="J116" s="1672">
        <f t="shared" si="45"/>
        <v>28.06789123869763</v>
      </c>
      <c r="K116" s="1673">
        <f t="shared" si="41"/>
        <v>24671.419987892194</v>
      </c>
      <c r="L116" s="1673">
        <f t="shared" si="39"/>
        <v>86529.544755273513</v>
      </c>
      <c r="M116" s="756">
        <f t="shared" si="42"/>
        <v>86529.544755273513</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c r="A117" s="748">
        <f>A116+1</f>
        <v>2017</v>
      </c>
      <c r="B117" s="1701">
        <v>56.521948041648095</v>
      </c>
      <c r="C117" s="759">
        <v>3117.5115237718705</v>
      </c>
      <c r="D117" s="751">
        <f>'Waste Summary 2017 SASOW'!J10+'Waste Summary 2017 SASOW'!J13</f>
        <v>49995051</v>
      </c>
      <c r="E117" s="1113">
        <f t="shared" si="38"/>
        <v>49995051</v>
      </c>
      <c r="F117" s="749">
        <f t="shared" si="48"/>
        <v>0.71479999999999999</v>
      </c>
      <c r="G117" s="749">
        <f t="shared" si="49"/>
        <v>0.28959999999999997</v>
      </c>
      <c r="H117" s="750">
        <v>501</v>
      </c>
      <c r="I117" s="1296">
        <f>C4</f>
        <v>424.26313389388866</v>
      </c>
      <c r="J117" s="1697">
        <f>$C$6</f>
        <v>12.031045626813224</v>
      </c>
      <c r="K117" s="751">
        <f t="shared" si="41"/>
        <v>23980.178809937162</v>
      </c>
      <c r="L117" s="751">
        <f>C117*J117*1000/1000+D117/1000</f>
        <v>87501.974384615402</v>
      </c>
      <c r="M117" s="752">
        <f>C117*J117*1000/1000+E117/1000</f>
        <v>87501.974384615402</v>
      </c>
      <c r="N117" s="749">
        <f t="shared" si="46"/>
        <v>0.19892488097366726</v>
      </c>
      <c r="O117" s="749">
        <f t="shared" si="46"/>
        <v>0.26585903447659598</v>
      </c>
      <c r="P117" s="749">
        <f t="shared" si="46"/>
        <v>8.9228108703258049E-2</v>
      </c>
      <c r="Q117" s="749">
        <f t="shared" si="46"/>
        <v>0</v>
      </c>
      <c r="R117" s="749">
        <f t="shared" si="46"/>
        <v>0</v>
      </c>
      <c r="S117" s="749">
        <f t="shared" si="46"/>
        <v>0</v>
      </c>
      <c r="T117" s="749">
        <f t="shared" si="46"/>
        <v>0.4459879758464787</v>
      </c>
      <c r="U117" s="753">
        <f t="shared" si="43"/>
        <v>1</v>
      </c>
      <c r="V117" s="749">
        <f t="shared" si="50"/>
        <v>0.29028184578274857</v>
      </c>
      <c r="W117" s="749">
        <f t="shared" si="50"/>
        <v>0.30317187715157518</v>
      </c>
      <c r="X117" s="749">
        <f t="shared" si="50"/>
        <v>8.2805443243048754E-2</v>
      </c>
      <c r="Y117" s="749">
        <f t="shared" si="50"/>
        <v>0</v>
      </c>
      <c r="Z117" s="749">
        <f t="shared" si="50"/>
        <v>0</v>
      </c>
      <c r="AA117" s="749">
        <f t="shared" si="50"/>
        <v>0</v>
      </c>
      <c r="AB117" s="749">
        <f t="shared" si="50"/>
        <v>0.32374083382262742</v>
      </c>
      <c r="AC117" s="753">
        <f t="shared" si="47"/>
        <v>0.99999999999999989</v>
      </c>
    </row>
    <row r="118" spans="1:29" ht="16.5" thickBot="1">
      <c r="A118" s="1695">
        <f t="shared" si="44"/>
        <v>2018</v>
      </c>
      <c r="B118" s="1702">
        <v>57.436000617299655</v>
      </c>
      <c r="C118" s="1698">
        <v>3154.0370052724184</v>
      </c>
      <c r="D118" s="1675">
        <v>50359792.847133137</v>
      </c>
      <c r="E118" s="1676">
        <f>D118</f>
        <v>50359792.847133137</v>
      </c>
      <c r="F118" s="1696"/>
      <c r="G118" s="1677"/>
      <c r="H118" s="1678"/>
      <c r="I118" s="1679">
        <f t="shared" ref="I118:I150" si="51">I117</f>
        <v>424.26313389388866</v>
      </c>
      <c r="J118" s="1680">
        <f>$C$6</f>
        <v>12.031045626813224</v>
      </c>
      <c r="K118" s="1675">
        <f>B118*I118</f>
        <v>24367.977620226877</v>
      </c>
      <c r="L118" s="1675">
        <f>C118*J118+D118/1000</f>
        <v>88306.155966222956</v>
      </c>
      <c r="M118" s="1681">
        <f>C118*J118*1000/1000+E118/1000</f>
        <v>88306.155966222956</v>
      </c>
      <c r="N118" s="1696">
        <f t="shared" si="46"/>
        <v>0.19892488097366726</v>
      </c>
      <c r="O118" s="1677">
        <f t="shared" si="46"/>
        <v>0.26585903447659598</v>
      </c>
      <c r="P118" s="1677">
        <f t="shared" si="46"/>
        <v>8.9228108703258049E-2</v>
      </c>
      <c r="Q118" s="1677">
        <f t="shared" si="46"/>
        <v>0</v>
      </c>
      <c r="R118" s="1677">
        <f t="shared" si="46"/>
        <v>0</v>
      </c>
      <c r="S118" s="1677">
        <f t="shared" si="46"/>
        <v>0</v>
      </c>
      <c r="T118" s="1677">
        <f t="shared" si="46"/>
        <v>0.4459879758464787</v>
      </c>
      <c r="U118" s="1682">
        <f t="shared" si="43"/>
        <v>1</v>
      </c>
      <c r="V118" s="1696">
        <f t="shared" si="50"/>
        <v>0.29028184578274857</v>
      </c>
      <c r="W118" s="1677">
        <f t="shared" si="50"/>
        <v>0.30317187715157518</v>
      </c>
      <c r="X118" s="1677">
        <f t="shared" si="50"/>
        <v>8.2805443243048754E-2</v>
      </c>
      <c r="Y118" s="1677">
        <f t="shared" si="50"/>
        <v>0</v>
      </c>
      <c r="Z118" s="1677">
        <f t="shared" si="50"/>
        <v>0</v>
      </c>
      <c r="AA118" s="1677">
        <f t="shared" si="50"/>
        <v>0</v>
      </c>
      <c r="AB118" s="1677">
        <f t="shared" si="50"/>
        <v>0.32374083382262742</v>
      </c>
      <c r="AC118" s="1682">
        <f t="shared" si="47"/>
        <v>0.99999999999999989</v>
      </c>
    </row>
    <row r="119" spans="1:29">
      <c r="A119" s="187">
        <f t="shared" si="44"/>
        <v>2019</v>
      </c>
      <c r="B119" s="1656">
        <f>INDEX(Drivers!$A$8:$AM$8,1,$A119-2018)/1000</f>
        <v>58.364834921819444</v>
      </c>
      <c r="C119" s="1660">
        <f>INDEX(Drivers!$A$16:$AM$16,1,$A119-2018)</f>
        <v>4436.7699999999986</v>
      </c>
      <c r="D119" s="1657">
        <f>INDEX(Drivers!$A$25:$AM$25,1,$A119-2018)/INDEX(Drivers!$A$25:$AM$25,1,$A119-2019)*D118</f>
        <v>53464172.913892828</v>
      </c>
      <c r="E119" s="762">
        <f t="shared" ref="E119:E150" si="52">D119</f>
        <v>53464172.913892828</v>
      </c>
      <c r="F119" s="1120"/>
      <c r="G119" s="1120"/>
      <c r="H119" s="1121"/>
      <c r="I119" s="1292">
        <f t="shared" si="51"/>
        <v>424.26313389388866</v>
      </c>
      <c r="J119" s="1293">
        <f t="shared" ref="J119:J150" si="53">$C$6</f>
        <v>12.031045626813224</v>
      </c>
      <c r="K119" s="1294">
        <f t="shared" si="41"/>
        <v>24762.047773130591</v>
      </c>
      <c r="L119" s="1294">
        <f t="shared" ref="L119:L150" si="54">C119*J119*1000/1000+D119/1000</f>
        <v>106843.15521956893</v>
      </c>
      <c r="M119" s="1295">
        <f t="shared" ref="M119:M150" si="55">C119*J119*1000/1000+E119/1000</f>
        <v>106843.15521956893</v>
      </c>
      <c r="N119" s="1249">
        <f t="shared" si="46"/>
        <v>0.19892488097366726</v>
      </c>
      <c r="O119" s="1249">
        <f t="shared" si="46"/>
        <v>0.26585903447659598</v>
      </c>
      <c r="P119" s="1249">
        <f t="shared" si="46"/>
        <v>8.9228108703258049E-2</v>
      </c>
      <c r="Q119" s="1249">
        <f t="shared" si="46"/>
        <v>0</v>
      </c>
      <c r="R119" s="1249">
        <f t="shared" si="46"/>
        <v>0</v>
      </c>
      <c r="S119" s="1249">
        <f t="shared" si="46"/>
        <v>0</v>
      </c>
      <c r="T119" s="1249">
        <f t="shared" si="46"/>
        <v>0.4459879758464787</v>
      </c>
      <c r="U119" s="1282">
        <f t="shared" si="43"/>
        <v>1</v>
      </c>
      <c r="V119" s="1283">
        <f t="shared" si="50"/>
        <v>0.29028184578274857</v>
      </c>
      <c r="W119" s="1249">
        <f t="shared" si="50"/>
        <v>0.30317187715157518</v>
      </c>
      <c r="X119" s="1249">
        <f t="shared" si="50"/>
        <v>8.2805443243048754E-2</v>
      </c>
      <c r="Y119" s="1249">
        <f t="shared" si="50"/>
        <v>0</v>
      </c>
      <c r="Z119" s="1249">
        <f t="shared" si="50"/>
        <v>0</v>
      </c>
      <c r="AA119" s="1249">
        <f t="shared" si="50"/>
        <v>0</v>
      </c>
      <c r="AB119" s="1249">
        <f t="shared" si="50"/>
        <v>0.32374083382262742</v>
      </c>
      <c r="AC119" s="1282">
        <f t="shared" si="47"/>
        <v>0.99999999999999989</v>
      </c>
    </row>
    <row r="120" spans="1:29">
      <c r="A120" s="187">
        <f t="shared" si="44"/>
        <v>2020</v>
      </c>
      <c r="B120" s="1656">
        <f>INDEX(Drivers!$A$8:$AM$8,1,$A120-2018)/1000</f>
        <v>59.233695328537607</v>
      </c>
      <c r="C120" s="1660">
        <f>INDEX(Drivers!$A$16:$AM$16,1,$A120-2018)</f>
        <v>4157.24</v>
      </c>
      <c r="D120" s="1657">
        <f>INDEX(Drivers!$A$25:$AM$25,1,$A120-2018)/INDEX(Drivers!$A$25:$AM$25,1,$A120-2019)*D119</f>
        <v>51247282.188414559</v>
      </c>
      <c r="E120" s="762">
        <f t="shared" si="52"/>
        <v>51247282.188414559</v>
      </c>
      <c r="F120" s="1120"/>
      <c r="G120" s="1120"/>
      <c r="H120" s="1121"/>
      <c r="I120" s="1292">
        <f t="shared" si="51"/>
        <v>424.26313389388866</v>
      </c>
      <c r="J120" s="1293">
        <f t="shared" si="53"/>
        <v>12.031045626813224</v>
      </c>
      <c r="K120" s="1294">
        <f t="shared" si="41"/>
        <v>25130.67321220116</v>
      </c>
      <c r="L120" s="1294">
        <f t="shared" si="54"/>
        <v>101263.22631002756</v>
      </c>
      <c r="M120" s="1295">
        <f t="shared" si="55"/>
        <v>101263.22631002756</v>
      </c>
      <c r="N120" s="1249">
        <f t="shared" si="46"/>
        <v>0.19892488097366726</v>
      </c>
      <c r="O120" s="1249">
        <f t="shared" si="46"/>
        <v>0.26585903447659598</v>
      </c>
      <c r="P120" s="1249">
        <f t="shared" si="46"/>
        <v>8.9228108703258049E-2</v>
      </c>
      <c r="Q120" s="1249">
        <f t="shared" si="46"/>
        <v>0</v>
      </c>
      <c r="R120" s="1249">
        <f t="shared" si="46"/>
        <v>0</v>
      </c>
      <c r="S120" s="1249">
        <f t="shared" si="46"/>
        <v>0</v>
      </c>
      <c r="T120" s="1249">
        <f t="shared" si="46"/>
        <v>0.4459879758464787</v>
      </c>
      <c r="U120" s="1282">
        <f t="shared" si="43"/>
        <v>1</v>
      </c>
      <c r="V120" s="1283">
        <f t="shared" si="50"/>
        <v>0.29028184578274857</v>
      </c>
      <c r="W120" s="1249">
        <f t="shared" si="50"/>
        <v>0.30317187715157518</v>
      </c>
      <c r="X120" s="1249">
        <f t="shared" si="50"/>
        <v>8.2805443243048754E-2</v>
      </c>
      <c r="Y120" s="1249">
        <f t="shared" si="50"/>
        <v>0</v>
      </c>
      <c r="Z120" s="1249">
        <f t="shared" si="50"/>
        <v>0</v>
      </c>
      <c r="AA120" s="1249">
        <f t="shared" si="50"/>
        <v>0</v>
      </c>
      <c r="AB120" s="1249">
        <f t="shared" si="50"/>
        <v>0.32374083382262742</v>
      </c>
      <c r="AC120" s="1282">
        <f t="shared" si="47"/>
        <v>0.99999999999999989</v>
      </c>
    </row>
    <row r="121" spans="1:29">
      <c r="A121" s="187">
        <f t="shared" si="44"/>
        <v>2021</v>
      </c>
      <c r="B121" s="1656">
        <f>INDEX(Drivers!$A$8:$AM$8,1,$A121-2018)/1000</f>
        <v>60.170135702880636</v>
      </c>
      <c r="C121" s="1660">
        <f>INDEX(Drivers!$A$16:$AM$16,1,$A121-2018)</f>
        <v>4296.6100000000006</v>
      </c>
      <c r="D121" s="1657">
        <f>INDEX(Drivers!$A$25:$AM$25,1,$A121-2018)/INDEX(Drivers!$A$25:$AM$25,1,$A121-2019)*D120</f>
        <v>50719928.257477686</v>
      </c>
      <c r="E121" s="762">
        <f t="shared" si="52"/>
        <v>50719928.257477686</v>
      </c>
      <c r="F121" s="1120"/>
      <c r="G121" s="1120"/>
      <c r="H121" s="1121"/>
      <c r="I121" s="1292">
        <f t="shared" si="51"/>
        <v>424.26313389388866</v>
      </c>
      <c r="J121" s="1293">
        <f t="shared" si="53"/>
        <v>12.031045626813224</v>
      </c>
      <c r="K121" s="1294">
        <f t="shared" si="41"/>
        <v>25527.970340124699</v>
      </c>
      <c r="L121" s="1294">
        <f t="shared" si="54"/>
        <v>102412.63920809966</v>
      </c>
      <c r="M121" s="1295">
        <f t="shared" si="55"/>
        <v>102412.63920809966</v>
      </c>
      <c r="N121" s="1249">
        <f t="shared" si="46"/>
        <v>0.19892488097366726</v>
      </c>
      <c r="O121" s="1249">
        <f t="shared" si="46"/>
        <v>0.26585903447659598</v>
      </c>
      <c r="P121" s="1249">
        <f t="shared" si="46"/>
        <v>8.9228108703258049E-2</v>
      </c>
      <c r="Q121" s="1249">
        <f t="shared" si="46"/>
        <v>0</v>
      </c>
      <c r="R121" s="1249">
        <f t="shared" si="46"/>
        <v>0</v>
      </c>
      <c r="S121" s="1249">
        <f t="shared" si="46"/>
        <v>0</v>
      </c>
      <c r="T121" s="1249">
        <f t="shared" si="46"/>
        <v>0.4459879758464787</v>
      </c>
      <c r="U121" s="1282">
        <f t="shared" si="43"/>
        <v>1</v>
      </c>
      <c r="V121" s="1283">
        <f t="shared" si="50"/>
        <v>0.29028184578274857</v>
      </c>
      <c r="W121" s="1249">
        <f t="shared" si="50"/>
        <v>0.30317187715157518</v>
      </c>
      <c r="X121" s="1249">
        <f t="shared" si="50"/>
        <v>8.2805443243048754E-2</v>
      </c>
      <c r="Y121" s="1249">
        <f t="shared" si="50"/>
        <v>0</v>
      </c>
      <c r="Z121" s="1249">
        <f t="shared" si="50"/>
        <v>0</v>
      </c>
      <c r="AA121" s="1249">
        <f t="shared" si="50"/>
        <v>0</v>
      </c>
      <c r="AB121" s="1249">
        <f t="shared" si="50"/>
        <v>0.32374083382262742</v>
      </c>
      <c r="AC121" s="1282">
        <f t="shared" si="47"/>
        <v>0.99999999999999989</v>
      </c>
    </row>
    <row r="122" spans="1:29">
      <c r="A122" s="187">
        <f t="shared" si="44"/>
        <v>2022</v>
      </c>
      <c r="B122" s="1656">
        <f>INDEX(Drivers!$A$8:$AM$8,1,$A122-2018)/1000</f>
        <v>61.14166465104848</v>
      </c>
      <c r="C122" s="1660">
        <f>INDEX(Drivers!$A$16:$AM$16,1,$A122-2018)</f>
        <v>4408.5100000000011</v>
      </c>
      <c r="D122" s="1657">
        <f>INDEX(Drivers!$A$25:$AM$25,1,$A122-2018)/INDEX(Drivers!$A$25:$AM$25,1,$A122-2019)*D121</f>
        <v>50359792.847133137</v>
      </c>
      <c r="E122" s="762">
        <f t="shared" si="52"/>
        <v>50359792.847133137</v>
      </c>
      <c r="F122" s="1120"/>
      <c r="G122" s="1120"/>
      <c r="H122" s="1121"/>
      <c r="I122" s="1292">
        <f t="shared" si="51"/>
        <v>424.26313389388866</v>
      </c>
      <c r="J122" s="1293">
        <f t="shared" si="53"/>
        <v>12.031045626813224</v>
      </c>
      <c r="K122" s="1294">
        <f t="shared" si="41"/>
        <v>25940.154256343019</v>
      </c>
      <c r="L122" s="1294">
        <f t="shared" si="54"/>
        <v>103398.77780339553</v>
      </c>
      <c r="M122" s="1295">
        <f t="shared" si="55"/>
        <v>103398.77780339553</v>
      </c>
      <c r="N122" s="1249">
        <f t="shared" si="46"/>
        <v>0.19892488097366726</v>
      </c>
      <c r="O122" s="1249">
        <f t="shared" si="46"/>
        <v>0.26585903447659598</v>
      </c>
      <c r="P122" s="1249">
        <f t="shared" si="46"/>
        <v>8.9228108703258049E-2</v>
      </c>
      <c r="Q122" s="1249">
        <f t="shared" si="46"/>
        <v>0</v>
      </c>
      <c r="R122" s="1249">
        <f t="shared" si="46"/>
        <v>0</v>
      </c>
      <c r="S122" s="1249">
        <f t="shared" si="46"/>
        <v>0</v>
      </c>
      <c r="T122" s="1249">
        <f t="shared" si="46"/>
        <v>0.4459879758464787</v>
      </c>
      <c r="U122" s="1282">
        <f t="shared" si="43"/>
        <v>1</v>
      </c>
      <c r="V122" s="1283">
        <f t="shared" si="50"/>
        <v>0.29028184578274857</v>
      </c>
      <c r="W122" s="1249">
        <f t="shared" si="50"/>
        <v>0.30317187715157518</v>
      </c>
      <c r="X122" s="1249">
        <f t="shared" si="50"/>
        <v>8.2805443243048754E-2</v>
      </c>
      <c r="Y122" s="1249">
        <f t="shared" si="50"/>
        <v>0</v>
      </c>
      <c r="Z122" s="1249">
        <f t="shared" si="50"/>
        <v>0</v>
      </c>
      <c r="AA122" s="1249">
        <f t="shared" si="50"/>
        <v>0</v>
      </c>
      <c r="AB122" s="1249">
        <f t="shared" si="50"/>
        <v>0.32374083382262742</v>
      </c>
      <c r="AC122" s="1282">
        <f t="shared" si="47"/>
        <v>0.99999999999999989</v>
      </c>
    </row>
    <row r="123" spans="1:29">
      <c r="A123" s="187">
        <f t="shared" si="44"/>
        <v>2023</v>
      </c>
      <c r="B123" s="1656">
        <f>INDEX(Drivers!$A$8:$AM$8,1,$A123-2018)/1000</f>
        <v>62.126086164056694</v>
      </c>
      <c r="C123" s="1660">
        <f>INDEX(Drivers!$A$16:$AM$16,1,$A123-2018)</f>
        <v>4511.7199999999984</v>
      </c>
      <c r="D123" s="1657">
        <f>INDEX(Drivers!$A$25:$AM$25,1,$A123-2018)/INDEX(Drivers!$A$25:$AM$25,1,$A123-2019)*D122</f>
        <v>48748213.106871188</v>
      </c>
      <c r="E123" s="762">
        <f t="shared" si="52"/>
        <v>48748213.106871188</v>
      </c>
      <c r="F123" s="1120"/>
      <c r="G123" s="1120"/>
      <c r="H123" s="1121"/>
      <c r="I123" s="1292">
        <f t="shared" si="51"/>
        <v>424.26313389388866</v>
      </c>
      <c r="J123" s="1293">
        <f t="shared" si="53"/>
        <v>12.031045626813224</v>
      </c>
      <c r="K123" s="1294">
        <f t="shared" si="41"/>
        <v>26357.808012524449</v>
      </c>
      <c r="L123" s="1294">
        <f t="shared" si="54"/>
        <v>103028.92228227694</v>
      </c>
      <c r="M123" s="1295">
        <f t="shared" si="55"/>
        <v>103028.92228227694</v>
      </c>
      <c r="N123" s="1249">
        <f t="shared" si="46"/>
        <v>0.19892488097366726</v>
      </c>
      <c r="O123" s="1249">
        <f t="shared" si="46"/>
        <v>0.26585903447659598</v>
      </c>
      <c r="P123" s="1249">
        <f t="shared" si="46"/>
        <v>8.9228108703258049E-2</v>
      </c>
      <c r="Q123" s="1249">
        <f t="shared" si="46"/>
        <v>0</v>
      </c>
      <c r="R123" s="1249">
        <f t="shared" si="46"/>
        <v>0</v>
      </c>
      <c r="S123" s="1249">
        <f t="shared" si="46"/>
        <v>0</v>
      </c>
      <c r="T123" s="1249">
        <f t="shared" si="46"/>
        <v>0.4459879758464787</v>
      </c>
      <c r="U123" s="1282">
        <f t="shared" si="43"/>
        <v>1</v>
      </c>
      <c r="V123" s="1283">
        <f t="shared" si="50"/>
        <v>0.29028184578274857</v>
      </c>
      <c r="W123" s="1249">
        <f t="shared" si="50"/>
        <v>0.30317187715157518</v>
      </c>
      <c r="X123" s="1249">
        <f t="shared" si="50"/>
        <v>8.2805443243048754E-2</v>
      </c>
      <c r="Y123" s="1249">
        <f t="shared" si="50"/>
        <v>0</v>
      </c>
      <c r="Z123" s="1249">
        <f t="shared" si="50"/>
        <v>0</v>
      </c>
      <c r="AA123" s="1249">
        <f t="shared" si="50"/>
        <v>0</v>
      </c>
      <c r="AB123" s="1249">
        <f t="shared" si="50"/>
        <v>0.32374083382262742</v>
      </c>
      <c r="AC123" s="1282">
        <f t="shared" si="47"/>
        <v>0.99999999999999989</v>
      </c>
    </row>
    <row r="124" spans="1:29">
      <c r="A124" s="187">
        <f t="shared" si="44"/>
        <v>2024</v>
      </c>
      <c r="B124" s="1656">
        <f>INDEX(Drivers!$A$8:$AM$8,1,$A124-2018)/1000</f>
        <v>63.126357518916684</v>
      </c>
      <c r="C124" s="1660">
        <f>INDEX(Drivers!$A$16:$AM$16,1,$A124-2018)</f>
        <v>4622.4800000000005</v>
      </c>
      <c r="D124" s="1657">
        <f>INDEX(Drivers!$A$25:$AM$25,1,$A124-2018)/INDEX(Drivers!$A$25:$AM$25,1,$A124-2019)*D123</f>
        <v>46900203.343432628</v>
      </c>
      <c r="E124" s="762">
        <f t="shared" si="52"/>
        <v>46900203.343432628</v>
      </c>
      <c r="F124" s="1120"/>
      <c r="G124" s="1120"/>
      <c r="H124" s="1121"/>
      <c r="I124" s="1292">
        <f t="shared" si="51"/>
        <v>424.26313389388866</v>
      </c>
      <c r="J124" s="1293">
        <f t="shared" si="53"/>
        <v>12.031045626813224</v>
      </c>
      <c r="K124" s="1294">
        <f t="shared" si="41"/>
        <v>26782.186272281633</v>
      </c>
      <c r="L124" s="1294">
        <f t="shared" si="54"/>
        <v>102513.47113246423</v>
      </c>
      <c r="M124" s="1295">
        <f t="shared" si="55"/>
        <v>102513.47113246423</v>
      </c>
      <c r="N124" s="1249">
        <f t="shared" si="46"/>
        <v>0.19892488097366726</v>
      </c>
      <c r="O124" s="1249">
        <f t="shared" si="46"/>
        <v>0.26585903447659598</v>
      </c>
      <c r="P124" s="1249">
        <f t="shared" si="46"/>
        <v>8.9228108703258049E-2</v>
      </c>
      <c r="Q124" s="1249">
        <f t="shared" si="46"/>
        <v>0</v>
      </c>
      <c r="R124" s="1249">
        <f t="shared" si="46"/>
        <v>0</v>
      </c>
      <c r="S124" s="1249">
        <f t="shared" si="46"/>
        <v>0</v>
      </c>
      <c r="T124" s="1249">
        <f t="shared" si="46"/>
        <v>0.4459879758464787</v>
      </c>
      <c r="U124" s="1282">
        <f t="shared" si="43"/>
        <v>1</v>
      </c>
      <c r="V124" s="1283">
        <f t="shared" si="50"/>
        <v>0.29028184578274857</v>
      </c>
      <c r="W124" s="1249">
        <f t="shared" si="50"/>
        <v>0.30317187715157518</v>
      </c>
      <c r="X124" s="1249">
        <f t="shared" si="50"/>
        <v>8.2805443243048754E-2</v>
      </c>
      <c r="Y124" s="1249">
        <f t="shared" si="50"/>
        <v>0</v>
      </c>
      <c r="Z124" s="1249">
        <f t="shared" si="50"/>
        <v>0</v>
      </c>
      <c r="AA124" s="1249">
        <f t="shared" si="50"/>
        <v>0</v>
      </c>
      <c r="AB124" s="1249">
        <f t="shared" si="50"/>
        <v>0.32374083382262742</v>
      </c>
      <c r="AC124" s="1282">
        <f t="shared" si="47"/>
        <v>0.99999999999999989</v>
      </c>
    </row>
    <row r="125" spans="1:29">
      <c r="A125" s="187">
        <f t="shared" si="44"/>
        <v>2025</v>
      </c>
      <c r="B125" s="1656">
        <f>INDEX(Drivers!$A$8:$AM$8,1,$A125-2018)/1000</f>
        <v>64.142733908636146</v>
      </c>
      <c r="C125" s="1660">
        <f>INDEX(Drivers!$A$16:$AM$16,1,$A125-2018)</f>
        <v>4727.3100000000004</v>
      </c>
      <c r="D125" s="1657">
        <f>INDEX(Drivers!$A$25:$AM$25,1,$A125-2018)/INDEX(Drivers!$A$25:$AM$25,1,$A125-2019)*D124</f>
        <v>41859241.005426526</v>
      </c>
      <c r="E125" s="762">
        <f t="shared" si="52"/>
        <v>41859241.005426526</v>
      </c>
      <c r="F125" s="1120"/>
      <c r="G125" s="1120"/>
      <c r="H125" s="1121"/>
      <c r="I125" s="1292">
        <f t="shared" si="51"/>
        <v>424.26313389388866</v>
      </c>
      <c r="J125" s="1293">
        <f t="shared" si="53"/>
        <v>12.031045626813224</v>
      </c>
      <c r="K125" s="1294">
        <f t="shared" si="41"/>
        <v>27213.39730459977</v>
      </c>
      <c r="L125" s="1294">
        <f t="shared" si="54"/>
        <v>98733.72330751695</v>
      </c>
      <c r="M125" s="1295">
        <f t="shared" si="55"/>
        <v>98733.72330751695</v>
      </c>
      <c r="N125" s="1249">
        <f t="shared" si="46"/>
        <v>0.19892488097366726</v>
      </c>
      <c r="O125" s="1249">
        <f t="shared" si="46"/>
        <v>0.26585903447659598</v>
      </c>
      <c r="P125" s="1249">
        <f t="shared" si="46"/>
        <v>8.9228108703258049E-2</v>
      </c>
      <c r="Q125" s="1249">
        <f t="shared" si="46"/>
        <v>0</v>
      </c>
      <c r="R125" s="1249">
        <f t="shared" si="46"/>
        <v>0</v>
      </c>
      <c r="S125" s="1249">
        <f t="shared" si="46"/>
        <v>0</v>
      </c>
      <c r="T125" s="1249">
        <f t="shared" si="46"/>
        <v>0.4459879758464787</v>
      </c>
      <c r="U125" s="1282">
        <f t="shared" si="43"/>
        <v>1</v>
      </c>
      <c r="V125" s="1283">
        <f t="shared" si="50"/>
        <v>0.29028184578274857</v>
      </c>
      <c r="W125" s="1249">
        <f t="shared" si="50"/>
        <v>0.30317187715157518</v>
      </c>
      <c r="X125" s="1249">
        <f t="shared" si="50"/>
        <v>8.2805443243048754E-2</v>
      </c>
      <c r="Y125" s="1249">
        <f t="shared" si="50"/>
        <v>0</v>
      </c>
      <c r="Z125" s="1249">
        <f t="shared" si="50"/>
        <v>0</v>
      </c>
      <c r="AA125" s="1249">
        <f t="shared" si="50"/>
        <v>0</v>
      </c>
      <c r="AB125" s="1249">
        <f t="shared" si="50"/>
        <v>0.32374083382262742</v>
      </c>
      <c r="AC125" s="1282">
        <f t="shared" si="47"/>
        <v>0.99999999999999989</v>
      </c>
    </row>
    <row r="126" spans="1:29">
      <c r="A126" s="187">
        <f t="shared" si="44"/>
        <v>2026</v>
      </c>
      <c r="B126" s="1656">
        <f>INDEX(Drivers!$A$8:$AM$8,1,$A126-2018)/1000</f>
        <v>65.115730264701668</v>
      </c>
      <c r="C126" s="1660">
        <f>INDEX(Drivers!$A$16:$AM$16,1,$A126-2018)</f>
        <v>4818.42</v>
      </c>
      <c r="D126" s="1657">
        <f>INDEX(Drivers!$A$25:$AM$25,1,$A126-2018)/INDEX(Drivers!$A$25:$AM$25,1,$A126-2019)*D125</f>
        <v>37757514.205797322</v>
      </c>
      <c r="E126" s="762">
        <f t="shared" si="52"/>
        <v>37757514.205797322</v>
      </c>
      <c r="F126" s="1120"/>
      <c r="G126" s="1120"/>
      <c r="H126" s="1121"/>
      <c r="I126" s="1292">
        <f t="shared" si="51"/>
        <v>424.26313389388866</v>
      </c>
      <c r="J126" s="1293">
        <f t="shared" si="53"/>
        <v>12.031045626813224</v>
      </c>
      <c r="K126" s="1294">
        <f t="shared" si="41"/>
        <v>27626.203787891463</v>
      </c>
      <c r="L126" s="1294">
        <f t="shared" si="54"/>
        <v>95728.145074946689</v>
      </c>
      <c r="M126" s="1295">
        <f t="shared" si="55"/>
        <v>95728.145074946689</v>
      </c>
      <c r="N126" s="1249">
        <f t="shared" si="46"/>
        <v>0.19892488097366726</v>
      </c>
      <c r="O126" s="1249">
        <f t="shared" si="46"/>
        <v>0.26585903447659598</v>
      </c>
      <c r="P126" s="1249">
        <f t="shared" si="46"/>
        <v>8.9228108703258049E-2</v>
      </c>
      <c r="Q126" s="1249">
        <f t="shared" si="46"/>
        <v>0</v>
      </c>
      <c r="R126" s="1249">
        <f t="shared" si="46"/>
        <v>0</v>
      </c>
      <c r="S126" s="1249">
        <f t="shared" si="46"/>
        <v>0</v>
      </c>
      <c r="T126" s="1249">
        <f t="shared" si="46"/>
        <v>0.4459879758464787</v>
      </c>
      <c r="U126" s="1282">
        <f t="shared" si="43"/>
        <v>1</v>
      </c>
      <c r="V126" s="1283">
        <f t="shared" si="50"/>
        <v>0.29028184578274857</v>
      </c>
      <c r="W126" s="1249">
        <f t="shared" si="50"/>
        <v>0.30317187715157518</v>
      </c>
      <c r="X126" s="1249">
        <f t="shared" si="50"/>
        <v>8.2805443243048754E-2</v>
      </c>
      <c r="Y126" s="1249">
        <f t="shared" si="50"/>
        <v>0</v>
      </c>
      <c r="Z126" s="1249">
        <f t="shared" si="50"/>
        <v>0</v>
      </c>
      <c r="AA126" s="1249">
        <f t="shared" si="50"/>
        <v>0</v>
      </c>
      <c r="AB126" s="1249">
        <f t="shared" si="50"/>
        <v>0.32374083382262742</v>
      </c>
      <c r="AC126" s="1282">
        <f t="shared" si="47"/>
        <v>0.99999999999999989</v>
      </c>
    </row>
    <row r="127" spans="1:29">
      <c r="A127" s="187">
        <f t="shared" si="44"/>
        <v>2027</v>
      </c>
      <c r="B127" s="1656">
        <f>INDEX(Drivers!$A$8:$AM$8,1,$A127-2018)/1000</f>
        <v>66.042835586617315</v>
      </c>
      <c r="C127" s="1660">
        <f>INDEX(Drivers!$A$16:$AM$16,1,$A127-2018)</f>
        <v>4908.8799999999992</v>
      </c>
      <c r="D127" s="1657">
        <f>INDEX(Drivers!$A$25:$AM$25,1,$A127-2018)/INDEX(Drivers!$A$25:$AM$25,1,$A127-2019)*D126</f>
        <v>35019614.880897872</v>
      </c>
      <c r="E127" s="762">
        <f t="shared" si="52"/>
        <v>35019614.880897872</v>
      </c>
      <c r="F127" s="1120"/>
      <c r="G127" s="1120"/>
      <c r="H127" s="1121"/>
      <c r="I127" s="1292">
        <f t="shared" si="51"/>
        <v>424.26313389388866</v>
      </c>
      <c r="J127" s="1293">
        <f t="shared" si="53"/>
        <v>12.031045626813224</v>
      </c>
      <c r="K127" s="1294">
        <f t="shared" si="41"/>
        <v>28019.540397217097</v>
      </c>
      <c r="L127" s="1294">
        <f t="shared" si="54"/>
        <v>94078.57413744877</v>
      </c>
      <c r="M127" s="1295">
        <f t="shared" si="55"/>
        <v>94078.57413744877</v>
      </c>
      <c r="N127" s="1249">
        <f t="shared" si="46"/>
        <v>0.19892488097366726</v>
      </c>
      <c r="O127" s="1249">
        <f t="shared" si="46"/>
        <v>0.26585903447659598</v>
      </c>
      <c r="P127" s="1249">
        <f t="shared" si="46"/>
        <v>8.9228108703258049E-2</v>
      </c>
      <c r="Q127" s="1249">
        <f t="shared" si="46"/>
        <v>0</v>
      </c>
      <c r="R127" s="1249">
        <f t="shared" si="46"/>
        <v>0</v>
      </c>
      <c r="S127" s="1249">
        <f t="shared" si="46"/>
        <v>0</v>
      </c>
      <c r="T127" s="1249">
        <f t="shared" si="46"/>
        <v>0.4459879758464787</v>
      </c>
      <c r="U127" s="1282">
        <f t="shared" si="43"/>
        <v>1</v>
      </c>
      <c r="V127" s="1283">
        <f t="shared" si="50"/>
        <v>0.29028184578274857</v>
      </c>
      <c r="W127" s="1249">
        <f t="shared" si="50"/>
        <v>0.30317187715157518</v>
      </c>
      <c r="X127" s="1249">
        <f t="shared" si="50"/>
        <v>8.2805443243048754E-2</v>
      </c>
      <c r="Y127" s="1249">
        <f t="shared" si="50"/>
        <v>0</v>
      </c>
      <c r="Z127" s="1249">
        <f t="shared" si="50"/>
        <v>0</v>
      </c>
      <c r="AA127" s="1249">
        <f t="shared" si="50"/>
        <v>0</v>
      </c>
      <c r="AB127" s="1249">
        <f t="shared" si="50"/>
        <v>0.32374083382262742</v>
      </c>
      <c r="AC127" s="1282">
        <f t="shared" si="47"/>
        <v>0.99999999999999989</v>
      </c>
    </row>
    <row r="128" spans="1:29">
      <c r="A128" s="187">
        <f t="shared" ref="A128:A150" si="56">A127+1</f>
        <v>2028</v>
      </c>
      <c r="B128" s="1656">
        <f>INDEX(Drivers!$A$8:$AM$8,1,$A128-2018)/1000</f>
        <v>66.921626677758155</v>
      </c>
      <c r="C128" s="1660">
        <f>INDEX(Drivers!$A$16:$AM$16,1,$A128-2018)</f>
        <v>5001.3400000000011</v>
      </c>
      <c r="D128" s="1657">
        <f>INDEX(Drivers!$A$25:$AM$25,1,$A128-2018)/INDEX(Drivers!$A$25:$AM$25,1,$A128-2019)*D127</f>
        <v>32897025.730580334</v>
      </c>
      <c r="E128" s="762">
        <f t="shared" si="52"/>
        <v>32897025.730580334</v>
      </c>
      <c r="F128" s="1120"/>
      <c r="G128" s="1120"/>
      <c r="H128" s="1121"/>
      <c r="I128" s="1292">
        <f t="shared" si="51"/>
        <v>424.26313389388866</v>
      </c>
      <c r="J128" s="1293">
        <f t="shared" si="53"/>
        <v>12.031045626813224</v>
      </c>
      <c r="K128" s="1294">
        <f t="shared" si="41"/>
        <v>28392.379059582541</v>
      </c>
      <c r="L128" s="1294">
        <f t="shared" si="54"/>
        <v>93068.375465786405</v>
      </c>
      <c r="M128" s="1295">
        <f t="shared" si="55"/>
        <v>93068.375465786405</v>
      </c>
      <c r="N128" s="1249">
        <f t="shared" si="46"/>
        <v>0.19892488097366726</v>
      </c>
      <c r="O128" s="1249">
        <f t="shared" si="46"/>
        <v>0.26585903447659598</v>
      </c>
      <c r="P128" s="1249">
        <f t="shared" si="46"/>
        <v>8.9228108703258049E-2</v>
      </c>
      <c r="Q128" s="1249">
        <f t="shared" si="46"/>
        <v>0</v>
      </c>
      <c r="R128" s="1249">
        <f t="shared" si="46"/>
        <v>0</v>
      </c>
      <c r="S128" s="1249">
        <f t="shared" si="46"/>
        <v>0</v>
      </c>
      <c r="T128" s="1249">
        <f t="shared" si="46"/>
        <v>0.4459879758464787</v>
      </c>
      <c r="U128" s="1282">
        <f t="shared" si="43"/>
        <v>1</v>
      </c>
      <c r="V128" s="1283">
        <f t="shared" si="50"/>
        <v>0.29028184578274857</v>
      </c>
      <c r="W128" s="1249">
        <f t="shared" si="50"/>
        <v>0.30317187715157518</v>
      </c>
      <c r="X128" s="1249">
        <f t="shared" si="50"/>
        <v>8.2805443243048754E-2</v>
      </c>
      <c r="Y128" s="1249">
        <f t="shared" si="50"/>
        <v>0</v>
      </c>
      <c r="Z128" s="1249">
        <f t="shared" si="50"/>
        <v>0</v>
      </c>
      <c r="AA128" s="1249">
        <f t="shared" si="50"/>
        <v>0</v>
      </c>
      <c r="AB128" s="1249">
        <f t="shared" si="50"/>
        <v>0.32374083382262742</v>
      </c>
      <c r="AC128" s="1282">
        <f t="shared" si="47"/>
        <v>0.99999999999999989</v>
      </c>
    </row>
    <row r="129" spans="1:29">
      <c r="A129" s="187">
        <f t="shared" si="56"/>
        <v>2029</v>
      </c>
      <c r="B129" s="1656">
        <f>INDEX(Drivers!$A$8:$AM$8,1,$A129-2018)/1000</f>
        <v>67.749778587208695</v>
      </c>
      <c r="C129" s="1660">
        <f>INDEX(Drivers!$A$16:$AM$16,1,$A129-2018)</f>
        <v>5124.16</v>
      </c>
      <c r="D129" s="1657">
        <f>INDEX(Drivers!$A$25:$AM$25,1,$A129-2018)/INDEX(Drivers!$A$25:$AM$25,1,$A129-2019)*D128</f>
        <v>31986451.408819646</v>
      </c>
      <c r="E129" s="762">
        <f t="shared" si="52"/>
        <v>31986451.408819646</v>
      </c>
      <c r="F129" s="1120"/>
      <c r="G129" s="1120"/>
      <c r="H129" s="1121"/>
      <c r="I129" s="1292">
        <f t="shared" si="51"/>
        <v>424.26313389388866</v>
      </c>
      <c r="J129" s="1293">
        <f t="shared" si="53"/>
        <v>12.031045626813224</v>
      </c>
      <c r="K129" s="1294">
        <f t="shared" si="41"/>
        <v>28743.733384026233</v>
      </c>
      <c r="L129" s="1294">
        <f t="shared" si="54"/>
        <v>93635.454167910895</v>
      </c>
      <c r="M129" s="1295">
        <f t="shared" si="55"/>
        <v>93635.454167910895</v>
      </c>
      <c r="N129" s="1249">
        <f t="shared" si="46"/>
        <v>0.19892488097366726</v>
      </c>
      <c r="O129" s="1249">
        <f t="shared" si="46"/>
        <v>0.26585903447659598</v>
      </c>
      <c r="P129" s="1249">
        <f t="shared" si="46"/>
        <v>8.9228108703258049E-2</v>
      </c>
      <c r="Q129" s="1249">
        <f t="shared" si="46"/>
        <v>0</v>
      </c>
      <c r="R129" s="1249">
        <f t="shared" si="46"/>
        <v>0</v>
      </c>
      <c r="S129" s="1249">
        <f t="shared" si="46"/>
        <v>0</v>
      </c>
      <c r="T129" s="1249">
        <f t="shared" si="46"/>
        <v>0.4459879758464787</v>
      </c>
      <c r="U129" s="1282">
        <f t="shared" si="43"/>
        <v>1</v>
      </c>
      <c r="V129" s="1283">
        <f t="shared" si="50"/>
        <v>0.29028184578274857</v>
      </c>
      <c r="W129" s="1249">
        <f t="shared" si="50"/>
        <v>0.30317187715157518</v>
      </c>
      <c r="X129" s="1249">
        <f t="shared" si="50"/>
        <v>8.2805443243048754E-2</v>
      </c>
      <c r="Y129" s="1249">
        <f t="shared" si="50"/>
        <v>0</v>
      </c>
      <c r="Z129" s="1249">
        <f t="shared" si="50"/>
        <v>0</v>
      </c>
      <c r="AA129" s="1249">
        <f t="shared" si="50"/>
        <v>0</v>
      </c>
      <c r="AB129" s="1249">
        <f t="shared" si="50"/>
        <v>0.32374083382262742</v>
      </c>
      <c r="AC129" s="1282">
        <f t="shared" si="47"/>
        <v>0.99999999999999989</v>
      </c>
    </row>
    <row r="130" spans="1:29">
      <c r="A130" s="187">
        <f t="shared" si="56"/>
        <v>2030</v>
      </c>
      <c r="B130" s="1656">
        <f>INDEX(Drivers!$A$8:$AM$8,1,$A130-2018)/1000</f>
        <v>68.525074762177482</v>
      </c>
      <c r="C130" s="1660">
        <f>INDEX(Drivers!$A$16:$AM$16,1,$A130-2018)</f>
        <v>5234.6499999999996</v>
      </c>
      <c r="D130" s="1657">
        <f>INDEX(Drivers!$A$25:$AM$25,1,$A130-2018)/INDEX(Drivers!$A$25:$AM$25,1,$A130-2019)*D129</f>
        <v>29783743.542171866</v>
      </c>
      <c r="E130" s="762">
        <f t="shared" si="52"/>
        <v>29783743.542171866</v>
      </c>
      <c r="F130" s="1120"/>
      <c r="G130" s="1120"/>
      <c r="H130" s="1121"/>
      <c r="I130" s="1292">
        <f t="shared" si="51"/>
        <v>424.26313389388866</v>
      </c>
      <c r="J130" s="1293">
        <f t="shared" si="53"/>
        <v>12.031045626813224</v>
      </c>
      <c r="K130" s="1294">
        <f t="shared" si="41"/>
        <v>29072.662968914436</v>
      </c>
      <c r="L130" s="1294">
        <f t="shared" si="54"/>
        <v>92762.05653256971</v>
      </c>
      <c r="M130" s="1295">
        <f t="shared" si="55"/>
        <v>92762.05653256971</v>
      </c>
      <c r="N130" s="1249">
        <f t="shared" si="46"/>
        <v>0.19892488097366726</v>
      </c>
      <c r="O130" s="1249">
        <f t="shared" si="46"/>
        <v>0.26585903447659598</v>
      </c>
      <c r="P130" s="1249">
        <f t="shared" si="46"/>
        <v>8.9228108703258049E-2</v>
      </c>
      <c r="Q130" s="1249">
        <f t="shared" si="46"/>
        <v>0</v>
      </c>
      <c r="R130" s="1249">
        <f t="shared" si="46"/>
        <v>0</v>
      </c>
      <c r="S130" s="1249">
        <f t="shared" si="46"/>
        <v>0</v>
      </c>
      <c r="T130" s="1249">
        <f t="shared" si="46"/>
        <v>0.4459879758464787</v>
      </c>
      <c r="U130" s="1282">
        <f t="shared" si="43"/>
        <v>1</v>
      </c>
      <c r="V130" s="1283">
        <f t="shared" si="50"/>
        <v>0.29028184578274857</v>
      </c>
      <c r="W130" s="1249">
        <f t="shared" si="50"/>
        <v>0.30317187715157518</v>
      </c>
      <c r="X130" s="1249">
        <f t="shared" si="50"/>
        <v>8.2805443243048754E-2</v>
      </c>
      <c r="Y130" s="1249">
        <f t="shared" si="50"/>
        <v>0</v>
      </c>
      <c r="Z130" s="1249">
        <f t="shared" si="50"/>
        <v>0</v>
      </c>
      <c r="AA130" s="1249">
        <f t="shared" si="50"/>
        <v>0</v>
      </c>
      <c r="AB130" s="1249">
        <f t="shared" si="50"/>
        <v>0.32374083382262742</v>
      </c>
      <c r="AC130" s="1282">
        <f t="shared" si="47"/>
        <v>0.99999999999999989</v>
      </c>
    </row>
    <row r="131" spans="1:29">
      <c r="A131" s="187">
        <f t="shared" si="56"/>
        <v>2031</v>
      </c>
      <c r="B131" s="1656">
        <f>INDEX(Drivers!$A$8:$AM$8,1,$A131-2018)/1000</f>
        <v>69.286388472916428</v>
      </c>
      <c r="C131" s="1660">
        <f>INDEX(Drivers!$A$16:$AM$16,1,$A131-2018)</f>
        <v>5365.4400000000005</v>
      </c>
      <c r="D131" s="1657">
        <f>INDEX(Drivers!$A$25:$AM$25,1,$A131-2018)/INDEX(Drivers!$A$25:$AM$25,1,$A131-2019)*D130</f>
        <v>28782558.928955987</v>
      </c>
      <c r="E131" s="762">
        <f t="shared" si="52"/>
        <v>28782558.928955987</v>
      </c>
      <c r="F131" s="1120"/>
      <c r="G131" s="1120"/>
      <c r="H131" s="1121"/>
      <c r="I131" s="1292">
        <f t="shared" si="51"/>
        <v>424.26313389388866</v>
      </c>
      <c r="J131" s="1293">
        <f t="shared" si="53"/>
        <v>12.031045626813224</v>
      </c>
      <c r="K131" s="1294">
        <f t="shared" si="41"/>
        <v>29395.660309708928</v>
      </c>
      <c r="L131" s="1294">
        <f t="shared" si="54"/>
        <v>93334.412376884735</v>
      </c>
      <c r="M131" s="1295">
        <f t="shared" si="55"/>
        <v>93334.412376884735</v>
      </c>
      <c r="N131" s="1249">
        <f t="shared" ref="N131:T146" si="57">N130</f>
        <v>0.19892488097366726</v>
      </c>
      <c r="O131" s="1249">
        <f t="shared" si="57"/>
        <v>0.26585903447659598</v>
      </c>
      <c r="P131" s="1249">
        <f t="shared" si="57"/>
        <v>8.9228108703258049E-2</v>
      </c>
      <c r="Q131" s="1249">
        <f t="shared" si="57"/>
        <v>0</v>
      </c>
      <c r="R131" s="1249">
        <f t="shared" si="57"/>
        <v>0</v>
      </c>
      <c r="S131" s="1249">
        <f t="shared" si="57"/>
        <v>0</v>
      </c>
      <c r="T131" s="1249">
        <f t="shared" si="57"/>
        <v>0.4459879758464787</v>
      </c>
      <c r="U131" s="1282">
        <f t="shared" si="43"/>
        <v>1</v>
      </c>
      <c r="V131" s="1283">
        <f t="shared" si="50"/>
        <v>0.29028184578274857</v>
      </c>
      <c r="W131" s="1249">
        <f t="shared" si="50"/>
        <v>0.30317187715157518</v>
      </c>
      <c r="X131" s="1249">
        <f t="shared" si="50"/>
        <v>8.2805443243048754E-2</v>
      </c>
      <c r="Y131" s="1249">
        <f t="shared" si="50"/>
        <v>0</v>
      </c>
      <c r="Z131" s="1249">
        <f t="shared" si="50"/>
        <v>0</v>
      </c>
      <c r="AA131" s="1249">
        <f t="shared" si="50"/>
        <v>0</v>
      </c>
      <c r="AB131" s="1249">
        <f t="shared" si="50"/>
        <v>0.32374083382262742</v>
      </c>
      <c r="AC131" s="1282">
        <f t="shared" si="47"/>
        <v>0.99999999999999989</v>
      </c>
    </row>
    <row r="132" spans="1:29">
      <c r="A132" s="187">
        <f t="shared" si="56"/>
        <v>2032</v>
      </c>
      <c r="B132" s="1656">
        <f>INDEX(Drivers!$A$8:$AM$8,1,$A132-2018)/1000</f>
        <v>70.033051881823098</v>
      </c>
      <c r="C132" s="1660">
        <f>INDEX(Drivers!$A$16:$AM$16,1,$A132-2018)</f>
        <v>5502.3</v>
      </c>
      <c r="D132" s="1657">
        <f>INDEX(Drivers!$A$25:$AM$25,1,$A132-2018)/INDEX(Drivers!$A$25:$AM$25,1,$A132-2019)*D131</f>
        <v>27987384.812012181</v>
      </c>
      <c r="E132" s="762">
        <f t="shared" si="52"/>
        <v>27987384.812012181</v>
      </c>
      <c r="F132" s="1120"/>
      <c r="G132" s="1120"/>
      <c r="H132" s="1121"/>
      <c r="I132" s="1292">
        <f t="shared" si="51"/>
        <v>424.26313389388866</v>
      </c>
      <c r="J132" s="1293">
        <f t="shared" si="53"/>
        <v>12.031045626813224</v>
      </c>
      <c r="K132" s="1294">
        <f t="shared" si="41"/>
        <v>29712.442067535565</v>
      </c>
      <c r="L132" s="1294">
        <f t="shared" si="54"/>
        <v>94185.807164426587</v>
      </c>
      <c r="M132" s="1295">
        <f t="shared" si="55"/>
        <v>94185.807164426587</v>
      </c>
      <c r="N132" s="1249">
        <f t="shared" si="57"/>
        <v>0.19892488097366726</v>
      </c>
      <c r="O132" s="1249">
        <f t="shared" si="57"/>
        <v>0.26585903447659598</v>
      </c>
      <c r="P132" s="1249">
        <f t="shared" si="57"/>
        <v>8.9228108703258049E-2</v>
      </c>
      <c r="Q132" s="1249">
        <f t="shared" si="57"/>
        <v>0</v>
      </c>
      <c r="R132" s="1249">
        <f t="shared" si="57"/>
        <v>0</v>
      </c>
      <c r="S132" s="1249">
        <f t="shared" si="57"/>
        <v>0</v>
      </c>
      <c r="T132" s="1249">
        <f t="shared" si="57"/>
        <v>0.4459879758464787</v>
      </c>
      <c r="U132" s="1282">
        <f t="shared" si="43"/>
        <v>1</v>
      </c>
      <c r="V132" s="1283">
        <f t="shared" ref="V132:AB147" si="58">V131</f>
        <v>0.29028184578274857</v>
      </c>
      <c r="W132" s="1249">
        <f t="shared" si="58"/>
        <v>0.30317187715157518</v>
      </c>
      <c r="X132" s="1249">
        <f t="shared" si="58"/>
        <v>8.2805443243048754E-2</v>
      </c>
      <c r="Y132" s="1249">
        <f t="shared" si="58"/>
        <v>0</v>
      </c>
      <c r="Z132" s="1249">
        <f t="shared" si="58"/>
        <v>0</v>
      </c>
      <c r="AA132" s="1249">
        <f t="shared" si="58"/>
        <v>0</v>
      </c>
      <c r="AB132" s="1249">
        <f t="shared" si="58"/>
        <v>0.32374083382262742</v>
      </c>
      <c r="AC132" s="1282">
        <f t="shared" si="47"/>
        <v>0.99999999999999989</v>
      </c>
    </row>
    <row r="133" spans="1:29">
      <c r="A133" s="187">
        <f t="shared" si="56"/>
        <v>2033</v>
      </c>
      <c r="B133" s="1656">
        <f>INDEX(Drivers!$A$8:$AM$8,1,$A133-2018)/1000</f>
        <v>70.764404167450692</v>
      </c>
      <c r="C133" s="1660">
        <f>INDEX(Drivers!$A$16:$AM$16,1,$A133-2018)</f>
        <v>5663.260000000002</v>
      </c>
      <c r="D133" s="1657">
        <f>INDEX(Drivers!$A$25:$AM$25,1,$A133-2018)/INDEX(Drivers!$A$25:$AM$25,1,$A133-2019)*D132</f>
        <v>28989172.151095852</v>
      </c>
      <c r="E133" s="762">
        <f t="shared" si="52"/>
        <v>28989172.151095852</v>
      </c>
      <c r="F133" s="1120"/>
      <c r="G133" s="1120"/>
      <c r="H133" s="1121"/>
      <c r="I133" s="1292">
        <f t="shared" si="51"/>
        <v>424.26313389388866</v>
      </c>
      <c r="J133" s="1293">
        <f t="shared" si="53"/>
        <v>12.031045626813224</v>
      </c>
      <c r="K133" s="1294">
        <f t="shared" si="41"/>
        <v>30022.727880216386</v>
      </c>
      <c r="L133" s="1294">
        <f t="shared" si="54"/>
        <v>97124.111607602128</v>
      </c>
      <c r="M133" s="1295">
        <f t="shared" si="55"/>
        <v>97124.111607602128</v>
      </c>
      <c r="N133" s="1249">
        <f t="shared" si="57"/>
        <v>0.19892488097366726</v>
      </c>
      <c r="O133" s="1249">
        <f t="shared" si="57"/>
        <v>0.26585903447659598</v>
      </c>
      <c r="P133" s="1249">
        <f t="shared" si="57"/>
        <v>8.9228108703258049E-2</v>
      </c>
      <c r="Q133" s="1249">
        <f t="shared" si="57"/>
        <v>0</v>
      </c>
      <c r="R133" s="1249">
        <f t="shared" si="57"/>
        <v>0</v>
      </c>
      <c r="S133" s="1249">
        <f t="shared" si="57"/>
        <v>0</v>
      </c>
      <c r="T133" s="1249">
        <f t="shared" si="57"/>
        <v>0.4459879758464787</v>
      </c>
      <c r="U133" s="1282">
        <f t="shared" si="43"/>
        <v>1</v>
      </c>
      <c r="V133" s="1283">
        <f t="shared" si="58"/>
        <v>0.29028184578274857</v>
      </c>
      <c r="W133" s="1249">
        <f t="shared" si="58"/>
        <v>0.30317187715157518</v>
      </c>
      <c r="X133" s="1249">
        <f t="shared" si="58"/>
        <v>8.2805443243048754E-2</v>
      </c>
      <c r="Y133" s="1249">
        <f t="shared" si="58"/>
        <v>0</v>
      </c>
      <c r="Z133" s="1249">
        <f t="shared" si="58"/>
        <v>0</v>
      </c>
      <c r="AA133" s="1249">
        <f t="shared" si="58"/>
        <v>0</v>
      </c>
      <c r="AB133" s="1249">
        <f t="shared" si="58"/>
        <v>0.32374083382262742</v>
      </c>
      <c r="AC133" s="1282">
        <f t="shared" si="47"/>
        <v>0.99999999999999989</v>
      </c>
    </row>
    <row r="134" spans="1:29">
      <c r="A134" s="187">
        <f t="shared" si="56"/>
        <v>2034</v>
      </c>
      <c r="B134" s="1656">
        <f>INDEX(Drivers!$A$8:$AM$8,1,$A134-2018)/1000</f>
        <v>71.479792486390252</v>
      </c>
      <c r="C134" s="1660">
        <f>INDEX(Drivers!$A$16:$AM$16,1,$A134-2018)</f>
        <v>5838.79</v>
      </c>
      <c r="D134" s="1657">
        <f>INDEX(Drivers!$A$25:$AM$25,1,$A134-2018)/INDEX(Drivers!$A$25:$AM$25,1,$A134-2019)*D133</f>
        <v>30478258.098855209</v>
      </c>
      <c r="E134" s="762">
        <f t="shared" si="52"/>
        <v>30478258.098855209</v>
      </c>
      <c r="F134" s="1120"/>
      <c r="G134" s="1120"/>
      <c r="H134" s="1121"/>
      <c r="I134" s="1292">
        <f t="shared" si="51"/>
        <v>424.26313389388866</v>
      </c>
      <c r="J134" s="1293">
        <f t="shared" si="53"/>
        <v>12.031045626813224</v>
      </c>
      <c r="K134" s="1294">
        <f t="shared" si="41"/>
        <v>30326.240770360764</v>
      </c>
      <c r="L134" s="1294">
        <f t="shared" si="54"/>
        <v>100725.006994236</v>
      </c>
      <c r="M134" s="1295">
        <f t="shared" si="55"/>
        <v>100725.006994236</v>
      </c>
      <c r="N134" s="1249">
        <f t="shared" si="57"/>
        <v>0.19892488097366726</v>
      </c>
      <c r="O134" s="1249">
        <f t="shared" si="57"/>
        <v>0.26585903447659598</v>
      </c>
      <c r="P134" s="1249">
        <f t="shared" si="57"/>
        <v>8.9228108703258049E-2</v>
      </c>
      <c r="Q134" s="1249">
        <f t="shared" si="57"/>
        <v>0</v>
      </c>
      <c r="R134" s="1249">
        <f t="shared" si="57"/>
        <v>0</v>
      </c>
      <c r="S134" s="1249">
        <f t="shared" si="57"/>
        <v>0</v>
      </c>
      <c r="T134" s="1249">
        <f t="shared" si="57"/>
        <v>0.4459879758464787</v>
      </c>
      <c r="U134" s="1282">
        <f t="shared" si="43"/>
        <v>1</v>
      </c>
      <c r="V134" s="1283">
        <f t="shared" si="58"/>
        <v>0.29028184578274857</v>
      </c>
      <c r="W134" s="1249">
        <f t="shared" si="58"/>
        <v>0.30317187715157518</v>
      </c>
      <c r="X134" s="1249">
        <f t="shared" si="58"/>
        <v>8.2805443243048754E-2</v>
      </c>
      <c r="Y134" s="1249">
        <f t="shared" si="58"/>
        <v>0</v>
      </c>
      <c r="Z134" s="1249">
        <f t="shared" si="58"/>
        <v>0</v>
      </c>
      <c r="AA134" s="1249">
        <f t="shared" si="58"/>
        <v>0</v>
      </c>
      <c r="AB134" s="1249">
        <f t="shared" si="58"/>
        <v>0.32374083382262742</v>
      </c>
      <c r="AC134" s="1282">
        <f t="shared" si="47"/>
        <v>0.99999999999999989</v>
      </c>
    </row>
    <row r="135" spans="1:29">
      <c r="A135" s="187">
        <f t="shared" si="56"/>
        <v>2035</v>
      </c>
      <c r="B135" s="1656">
        <f>INDEX(Drivers!$A$8:$AM$8,1,$A135-2018)/1000</f>
        <v>72.178572932855872</v>
      </c>
      <c r="C135" s="1660">
        <f>INDEX(Drivers!$A$16:$AM$16,1,$A135-2018)</f>
        <v>5978.8699999999981</v>
      </c>
      <c r="D135" s="1657">
        <f>INDEX(Drivers!$A$25:$AM$25,1,$A135-2018)/INDEX(Drivers!$A$25:$AM$25,1,$A135-2019)*D134</f>
        <v>23293526.984521989</v>
      </c>
      <c r="E135" s="762">
        <f t="shared" si="52"/>
        <v>23293526.984521989</v>
      </c>
      <c r="F135" s="1120"/>
      <c r="G135" s="1120"/>
      <c r="H135" s="1121"/>
      <c r="I135" s="1292">
        <f t="shared" si="51"/>
        <v>424.26313389388866</v>
      </c>
      <c r="J135" s="1293">
        <f t="shared" si="53"/>
        <v>12.031045626813224</v>
      </c>
      <c r="K135" s="1294">
        <f t="shared" si="41"/>
        <v>30622.707552482039</v>
      </c>
      <c r="L135" s="1294">
        <f t="shared" si="54"/>
        <v>95225.584751306742</v>
      </c>
      <c r="M135" s="1295">
        <f t="shared" si="55"/>
        <v>95225.584751306742</v>
      </c>
      <c r="N135" s="1249">
        <f t="shared" si="57"/>
        <v>0.19892488097366726</v>
      </c>
      <c r="O135" s="1249">
        <f t="shared" si="57"/>
        <v>0.26585903447659598</v>
      </c>
      <c r="P135" s="1249">
        <f t="shared" si="57"/>
        <v>8.9228108703258049E-2</v>
      </c>
      <c r="Q135" s="1249">
        <f t="shared" si="57"/>
        <v>0</v>
      </c>
      <c r="R135" s="1249">
        <f t="shared" si="57"/>
        <v>0</v>
      </c>
      <c r="S135" s="1249">
        <f t="shared" si="57"/>
        <v>0</v>
      </c>
      <c r="T135" s="1249">
        <f t="shared" si="57"/>
        <v>0.4459879758464787</v>
      </c>
      <c r="U135" s="1282">
        <f t="shared" si="43"/>
        <v>1</v>
      </c>
      <c r="V135" s="1283">
        <f t="shared" si="58"/>
        <v>0.29028184578274857</v>
      </c>
      <c r="W135" s="1249">
        <f t="shared" si="58"/>
        <v>0.30317187715157518</v>
      </c>
      <c r="X135" s="1249">
        <f t="shared" si="58"/>
        <v>8.2805443243048754E-2</v>
      </c>
      <c r="Y135" s="1249">
        <f t="shared" si="58"/>
        <v>0</v>
      </c>
      <c r="Z135" s="1249">
        <f t="shared" si="58"/>
        <v>0</v>
      </c>
      <c r="AA135" s="1249">
        <f t="shared" si="58"/>
        <v>0</v>
      </c>
      <c r="AB135" s="1249">
        <f t="shared" si="58"/>
        <v>0.32374083382262742</v>
      </c>
      <c r="AC135" s="1282">
        <f t="shared" si="47"/>
        <v>0.99999999999999989</v>
      </c>
    </row>
    <row r="136" spans="1:29">
      <c r="A136" s="187">
        <f t="shared" si="56"/>
        <v>2036</v>
      </c>
      <c r="B136" s="1656">
        <f>INDEX(Drivers!$A$8:$AM$8,1,$A136-2018)/1000</f>
        <v>72.865243718484663</v>
      </c>
      <c r="C136" s="1660">
        <f>INDEX(Drivers!$A$16:$AM$16,1,$A136-2018)</f>
        <v>6119.1299999999983</v>
      </c>
      <c r="D136" s="1657">
        <f>INDEX(Drivers!$A$25:$AM$25,1,$A136-2018)/INDEX(Drivers!$A$25:$AM$25,1,$A136-2019)*D135</f>
        <v>16814169.506355952</v>
      </c>
      <c r="E136" s="762">
        <f t="shared" si="52"/>
        <v>16814169.506355952</v>
      </c>
      <c r="F136" s="1120"/>
      <c r="G136" s="1120"/>
      <c r="H136" s="1121"/>
      <c r="I136" s="1292">
        <f t="shared" si="51"/>
        <v>424.26313389388866</v>
      </c>
      <c r="J136" s="1293">
        <f t="shared" si="53"/>
        <v>12.031045626813224</v>
      </c>
      <c r="K136" s="1294">
        <f t="shared" si="41"/>
        <v>30914.036651946288</v>
      </c>
      <c r="L136" s="1294">
        <f t="shared" si="54"/>
        <v>90433.70173275753</v>
      </c>
      <c r="M136" s="1295">
        <f t="shared" si="55"/>
        <v>90433.70173275753</v>
      </c>
      <c r="N136" s="1249">
        <f t="shared" si="57"/>
        <v>0.19892488097366726</v>
      </c>
      <c r="O136" s="1249">
        <f t="shared" si="57"/>
        <v>0.26585903447659598</v>
      </c>
      <c r="P136" s="1249">
        <f t="shared" si="57"/>
        <v>8.9228108703258049E-2</v>
      </c>
      <c r="Q136" s="1249">
        <f t="shared" si="57"/>
        <v>0</v>
      </c>
      <c r="R136" s="1249">
        <f t="shared" si="57"/>
        <v>0</v>
      </c>
      <c r="S136" s="1249">
        <f t="shared" si="57"/>
        <v>0</v>
      </c>
      <c r="T136" s="1249">
        <f t="shared" si="57"/>
        <v>0.4459879758464787</v>
      </c>
      <c r="U136" s="1282">
        <f t="shared" si="43"/>
        <v>1</v>
      </c>
      <c r="V136" s="1283">
        <f t="shared" si="58"/>
        <v>0.29028184578274857</v>
      </c>
      <c r="W136" s="1249">
        <f t="shared" si="58"/>
        <v>0.30317187715157518</v>
      </c>
      <c r="X136" s="1249">
        <f t="shared" si="58"/>
        <v>8.2805443243048754E-2</v>
      </c>
      <c r="Y136" s="1249">
        <f t="shared" si="58"/>
        <v>0</v>
      </c>
      <c r="Z136" s="1249">
        <f t="shared" si="58"/>
        <v>0</v>
      </c>
      <c r="AA136" s="1249">
        <f t="shared" si="58"/>
        <v>0</v>
      </c>
      <c r="AB136" s="1249">
        <f t="shared" si="58"/>
        <v>0.32374083382262742</v>
      </c>
      <c r="AC136" s="1282">
        <f t="shared" si="47"/>
        <v>0.99999999999999989</v>
      </c>
    </row>
    <row r="137" spans="1:29">
      <c r="A137" s="187">
        <f t="shared" si="56"/>
        <v>2037</v>
      </c>
      <c r="B137" s="1656">
        <f>INDEX(Drivers!$A$8:$AM$8,1,$A137-2018)/1000</f>
        <v>73.539326072165721</v>
      </c>
      <c r="C137" s="1660">
        <f>INDEX(Drivers!$A$16:$AM$16,1,$A137-2018)</f>
        <v>6283.2400000000007</v>
      </c>
      <c r="D137" s="1657">
        <f>INDEX(Drivers!$A$25:$AM$25,1,$A137-2018)/INDEX(Drivers!$A$25:$AM$25,1,$A137-2019)*D136</f>
        <v>17542322.49040458</v>
      </c>
      <c r="E137" s="762">
        <f t="shared" si="52"/>
        <v>17542322.49040458</v>
      </c>
      <c r="F137" s="1120"/>
      <c r="G137" s="1120"/>
      <c r="H137" s="1121"/>
      <c r="I137" s="1292">
        <f t="shared" si="51"/>
        <v>424.26313389388866</v>
      </c>
      <c r="J137" s="1293">
        <f t="shared" si="53"/>
        <v>12.031045626813224</v>
      </c>
      <c r="K137" s="1294">
        <f t="shared" si="41"/>
        <v>31200.024943821583</v>
      </c>
      <c r="L137" s="1294">
        <f t="shared" si="54"/>
        <v>93136.269614622506</v>
      </c>
      <c r="M137" s="1295">
        <f t="shared" si="55"/>
        <v>93136.269614622506</v>
      </c>
      <c r="N137" s="1249">
        <f t="shared" si="57"/>
        <v>0.19892488097366726</v>
      </c>
      <c r="O137" s="1249">
        <f t="shared" si="57"/>
        <v>0.26585903447659598</v>
      </c>
      <c r="P137" s="1249">
        <f t="shared" si="57"/>
        <v>8.9228108703258049E-2</v>
      </c>
      <c r="Q137" s="1249">
        <f t="shared" si="57"/>
        <v>0</v>
      </c>
      <c r="R137" s="1249">
        <f t="shared" si="57"/>
        <v>0</v>
      </c>
      <c r="S137" s="1249">
        <f t="shared" si="57"/>
        <v>0</v>
      </c>
      <c r="T137" s="1249">
        <f t="shared" si="57"/>
        <v>0.4459879758464787</v>
      </c>
      <c r="U137" s="1282">
        <f t="shared" si="43"/>
        <v>1</v>
      </c>
      <c r="V137" s="1283">
        <f t="shared" si="58"/>
        <v>0.29028184578274857</v>
      </c>
      <c r="W137" s="1249">
        <f t="shared" si="58"/>
        <v>0.30317187715157518</v>
      </c>
      <c r="X137" s="1249">
        <f t="shared" si="58"/>
        <v>8.2805443243048754E-2</v>
      </c>
      <c r="Y137" s="1249">
        <f t="shared" si="58"/>
        <v>0</v>
      </c>
      <c r="Z137" s="1249">
        <f t="shared" si="58"/>
        <v>0</v>
      </c>
      <c r="AA137" s="1249">
        <f t="shared" si="58"/>
        <v>0</v>
      </c>
      <c r="AB137" s="1249">
        <f t="shared" si="58"/>
        <v>0.32374083382262742</v>
      </c>
      <c r="AC137" s="1282">
        <f t="shared" si="47"/>
        <v>0.99999999999999989</v>
      </c>
    </row>
    <row r="138" spans="1:29">
      <c r="A138" s="187">
        <f t="shared" si="56"/>
        <v>2038</v>
      </c>
      <c r="B138" s="1656">
        <f>INDEX(Drivers!$A$8:$AM$8,1,$A138-2018)/1000</f>
        <v>74.200346452615136</v>
      </c>
      <c r="C138" s="1660">
        <f>INDEX(Drivers!$A$16:$AM$16,1,$A138-2018)</f>
        <v>6443.4999999999982</v>
      </c>
      <c r="D138" s="1657">
        <f>INDEX(Drivers!$A$25:$AM$25,1,$A138-2018)/INDEX(Drivers!$A$25:$AM$25,1,$A138-2019)*D137</f>
        <v>14615640.739395874</v>
      </c>
      <c r="E138" s="762">
        <f t="shared" si="52"/>
        <v>14615640.739395874</v>
      </c>
      <c r="F138" s="1120"/>
      <c r="G138" s="1120"/>
      <c r="H138" s="1121"/>
      <c r="I138" s="1292">
        <f t="shared" si="51"/>
        <v>424.26313389388866</v>
      </c>
      <c r="J138" s="1293">
        <f t="shared" si="53"/>
        <v>12.031045626813224</v>
      </c>
      <c r="K138" s="1294">
        <f t="shared" si="41"/>
        <v>31480.471521998781</v>
      </c>
      <c r="L138" s="1294">
        <f t="shared" si="54"/>
        <v>92137.683235766861</v>
      </c>
      <c r="M138" s="1295">
        <f t="shared" si="55"/>
        <v>92137.683235766861</v>
      </c>
      <c r="N138" s="1249">
        <f t="shared" si="57"/>
        <v>0.19892488097366726</v>
      </c>
      <c r="O138" s="1249">
        <f t="shared" si="57"/>
        <v>0.26585903447659598</v>
      </c>
      <c r="P138" s="1249">
        <f t="shared" si="57"/>
        <v>8.9228108703258049E-2</v>
      </c>
      <c r="Q138" s="1249">
        <f t="shared" si="57"/>
        <v>0</v>
      </c>
      <c r="R138" s="1249">
        <f t="shared" si="57"/>
        <v>0</v>
      </c>
      <c r="S138" s="1249">
        <f t="shared" si="57"/>
        <v>0</v>
      </c>
      <c r="T138" s="1249">
        <f t="shared" si="57"/>
        <v>0.4459879758464787</v>
      </c>
      <c r="U138" s="1282">
        <f t="shared" si="43"/>
        <v>1</v>
      </c>
      <c r="V138" s="1283">
        <f t="shared" si="58"/>
        <v>0.29028184578274857</v>
      </c>
      <c r="W138" s="1249">
        <f t="shared" si="58"/>
        <v>0.30317187715157518</v>
      </c>
      <c r="X138" s="1249">
        <f t="shared" si="58"/>
        <v>8.2805443243048754E-2</v>
      </c>
      <c r="Y138" s="1249">
        <f t="shared" si="58"/>
        <v>0</v>
      </c>
      <c r="Z138" s="1249">
        <f t="shared" si="58"/>
        <v>0</v>
      </c>
      <c r="AA138" s="1249">
        <f t="shared" si="58"/>
        <v>0</v>
      </c>
      <c r="AB138" s="1249">
        <f t="shared" si="58"/>
        <v>0.32374083382262742</v>
      </c>
      <c r="AC138" s="1282">
        <f t="shared" si="47"/>
        <v>0.99999999999999989</v>
      </c>
    </row>
    <row r="139" spans="1:29">
      <c r="A139" s="187">
        <f t="shared" si="56"/>
        <v>2039</v>
      </c>
      <c r="B139" s="1656">
        <f>INDEX(Drivers!$A$8:$AM$8,1,$A139-2018)/1000</f>
        <v>74.847837096563296</v>
      </c>
      <c r="C139" s="1660">
        <f>INDEX(Drivers!$A$16:$AM$16,1,$A139-2018)</f>
        <v>6615.260000000002</v>
      </c>
      <c r="D139" s="1657">
        <f>INDEX(Drivers!$A$25:$AM$25,1,$A139-2018)/INDEX(Drivers!$A$25:$AM$25,1,$A139-2019)*D138</f>
        <v>11688958.988387169</v>
      </c>
      <c r="E139" s="762">
        <f t="shared" si="52"/>
        <v>11688958.988387169</v>
      </c>
      <c r="F139" s="1120"/>
      <c r="G139" s="1120"/>
      <c r="H139" s="1121"/>
      <c r="I139" s="1292">
        <f t="shared" si="51"/>
        <v>424.26313389388866</v>
      </c>
      <c r="J139" s="1293">
        <f t="shared" si="53"/>
        <v>12.031045626813224</v>
      </c>
      <c r="K139" s="1294">
        <f t="shared" si="41"/>
        <v>31755.177931767201</v>
      </c>
      <c r="L139" s="1294">
        <f t="shared" si="54"/>
        <v>91277.453881619644</v>
      </c>
      <c r="M139" s="1295">
        <f t="shared" si="55"/>
        <v>91277.453881619644</v>
      </c>
      <c r="N139" s="1249">
        <f t="shared" si="57"/>
        <v>0.19892488097366726</v>
      </c>
      <c r="O139" s="1249">
        <f t="shared" si="57"/>
        <v>0.26585903447659598</v>
      </c>
      <c r="P139" s="1249">
        <f t="shared" si="57"/>
        <v>8.9228108703258049E-2</v>
      </c>
      <c r="Q139" s="1249">
        <f t="shared" si="57"/>
        <v>0</v>
      </c>
      <c r="R139" s="1249">
        <f t="shared" si="57"/>
        <v>0</v>
      </c>
      <c r="S139" s="1249">
        <f t="shared" si="57"/>
        <v>0</v>
      </c>
      <c r="T139" s="1249">
        <f t="shared" si="57"/>
        <v>0.4459879758464787</v>
      </c>
      <c r="U139" s="1282">
        <f t="shared" si="43"/>
        <v>1</v>
      </c>
      <c r="V139" s="1283">
        <f t="shared" si="58"/>
        <v>0.29028184578274857</v>
      </c>
      <c r="W139" s="1249">
        <f t="shared" si="58"/>
        <v>0.30317187715157518</v>
      </c>
      <c r="X139" s="1249">
        <f t="shared" si="58"/>
        <v>8.2805443243048754E-2</v>
      </c>
      <c r="Y139" s="1249">
        <f t="shared" si="58"/>
        <v>0</v>
      </c>
      <c r="Z139" s="1249">
        <f t="shared" si="58"/>
        <v>0</v>
      </c>
      <c r="AA139" s="1249">
        <f t="shared" si="58"/>
        <v>0</v>
      </c>
      <c r="AB139" s="1249">
        <f t="shared" si="58"/>
        <v>0.32374083382262742</v>
      </c>
      <c r="AC139" s="1282">
        <f t="shared" si="47"/>
        <v>0.99999999999999989</v>
      </c>
    </row>
    <row r="140" spans="1:29">
      <c r="A140" s="187">
        <f t="shared" si="56"/>
        <v>2040</v>
      </c>
      <c r="B140" s="1656">
        <f>INDEX(Drivers!$A$8:$AM$8,1,$A140-2018)/1000</f>
        <v>75.481336564720067</v>
      </c>
      <c r="C140" s="1660">
        <f>INDEX(Drivers!$A$16:$AM$16,1,$A140-2018)</f>
        <v>6787.6000000000013</v>
      </c>
      <c r="D140" s="1657">
        <f>INDEX(Drivers!$A$25:$AM$25,1,$A140-2018)/INDEX(Drivers!$A$25:$AM$25,1,$A140-2019)*D139</f>
        <v>8762277.2373784631</v>
      </c>
      <c r="E140" s="762">
        <f t="shared" si="52"/>
        <v>8762277.2373784631</v>
      </c>
      <c r="F140" s="1120"/>
      <c r="G140" s="1120"/>
      <c r="H140" s="1121"/>
      <c r="I140" s="1292">
        <f t="shared" si="51"/>
        <v>424.26313389388866</v>
      </c>
      <c r="J140" s="1293">
        <f t="shared" si="53"/>
        <v>12.031045626813224</v>
      </c>
      <c r="K140" s="1294">
        <f t="shared" si="41"/>
        <v>32023.948401447506</v>
      </c>
      <c r="L140" s="1294">
        <f t="shared" si="54"/>
        <v>90424.202533935924</v>
      </c>
      <c r="M140" s="1295">
        <f t="shared" si="55"/>
        <v>90424.202533935924</v>
      </c>
      <c r="N140" s="1249">
        <f t="shared" si="57"/>
        <v>0.19892488097366726</v>
      </c>
      <c r="O140" s="1249">
        <f t="shared" si="57"/>
        <v>0.26585903447659598</v>
      </c>
      <c r="P140" s="1249">
        <f t="shared" si="57"/>
        <v>8.9228108703258049E-2</v>
      </c>
      <c r="Q140" s="1249">
        <f t="shared" si="57"/>
        <v>0</v>
      </c>
      <c r="R140" s="1249">
        <f t="shared" si="57"/>
        <v>0</v>
      </c>
      <c r="S140" s="1249">
        <f t="shared" si="57"/>
        <v>0</v>
      </c>
      <c r="T140" s="1249">
        <f t="shared" si="57"/>
        <v>0.4459879758464787</v>
      </c>
      <c r="U140" s="1282">
        <f t="shared" si="43"/>
        <v>1</v>
      </c>
      <c r="V140" s="1283">
        <f t="shared" si="58"/>
        <v>0.29028184578274857</v>
      </c>
      <c r="W140" s="1249">
        <f t="shared" si="58"/>
        <v>0.30317187715157518</v>
      </c>
      <c r="X140" s="1249">
        <f t="shared" si="58"/>
        <v>8.2805443243048754E-2</v>
      </c>
      <c r="Y140" s="1249">
        <f t="shared" si="58"/>
        <v>0</v>
      </c>
      <c r="Z140" s="1249">
        <f t="shared" si="58"/>
        <v>0</v>
      </c>
      <c r="AA140" s="1249">
        <f t="shared" si="58"/>
        <v>0</v>
      </c>
      <c r="AB140" s="1249">
        <f t="shared" si="58"/>
        <v>0.32374083382262742</v>
      </c>
      <c r="AC140" s="1282">
        <f t="shared" si="47"/>
        <v>0.99999999999999989</v>
      </c>
    </row>
    <row r="141" spans="1:29">
      <c r="A141" s="187">
        <f t="shared" si="56"/>
        <v>2041</v>
      </c>
      <c r="B141" s="1656">
        <f>INDEX(Drivers!$A$8:$AM$8,1,$A141-2018)/1000</f>
        <v>76.101885632753024</v>
      </c>
      <c r="C141" s="1660">
        <f>INDEX(Drivers!$A$16:$AM$16,1,$A141-2018)</f>
        <v>6981.3799999999992</v>
      </c>
      <c r="D141" s="1657">
        <f>INDEX(Drivers!$A$25:$AM$25,1,$A141-2018)/INDEX(Drivers!$A$25:$AM$25,1,$A141-2019)*D140</f>
        <v>7249397.5356904445</v>
      </c>
      <c r="E141" s="762">
        <f t="shared" si="52"/>
        <v>7249397.5356904445</v>
      </c>
      <c r="F141" s="1120"/>
      <c r="G141" s="1120"/>
      <c r="H141" s="1121"/>
      <c r="I141" s="1292">
        <f t="shared" si="51"/>
        <v>424.26313389388866</v>
      </c>
      <c r="J141" s="1293">
        <f t="shared" si="53"/>
        <v>12.031045626813224</v>
      </c>
      <c r="K141" s="1294">
        <f t="shared" si="41"/>
        <v>32287.2244937861</v>
      </c>
      <c r="L141" s="1294">
        <f t="shared" si="54"/>
        <v>91242.698853811744</v>
      </c>
      <c r="M141" s="1295">
        <f t="shared" si="55"/>
        <v>91242.698853811744</v>
      </c>
      <c r="N141" s="1249">
        <f t="shared" si="57"/>
        <v>0.19892488097366726</v>
      </c>
      <c r="O141" s="1249">
        <f t="shared" si="57"/>
        <v>0.26585903447659598</v>
      </c>
      <c r="P141" s="1249">
        <f t="shared" si="57"/>
        <v>8.9228108703258049E-2</v>
      </c>
      <c r="Q141" s="1249">
        <f t="shared" si="57"/>
        <v>0</v>
      </c>
      <c r="R141" s="1249">
        <f t="shared" si="57"/>
        <v>0</v>
      </c>
      <c r="S141" s="1249">
        <f t="shared" si="57"/>
        <v>0</v>
      </c>
      <c r="T141" s="1249">
        <f t="shared" si="57"/>
        <v>0.4459879758464787</v>
      </c>
      <c r="U141" s="1282">
        <f t="shared" si="43"/>
        <v>1</v>
      </c>
      <c r="V141" s="1283">
        <f t="shared" si="58"/>
        <v>0.29028184578274857</v>
      </c>
      <c r="W141" s="1249">
        <f t="shared" si="58"/>
        <v>0.30317187715157518</v>
      </c>
      <c r="X141" s="1249">
        <f t="shared" si="58"/>
        <v>8.2805443243048754E-2</v>
      </c>
      <c r="Y141" s="1249">
        <f t="shared" si="58"/>
        <v>0</v>
      </c>
      <c r="Z141" s="1249">
        <f t="shared" si="58"/>
        <v>0</v>
      </c>
      <c r="AA141" s="1249">
        <f t="shared" si="58"/>
        <v>0</v>
      </c>
      <c r="AB141" s="1249">
        <f t="shared" si="58"/>
        <v>0.32374083382262742</v>
      </c>
      <c r="AC141" s="1282">
        <f t="shared" si="47"/>
        <v>0.99999999999999989</v>
      </c>
    </row>
    <row r="142" spans="1:29">
      <c r="A142" s="187">
        <f t="shared" si="56"/>
        <v>2042</v>
      </c>
      <c r="B142" s="1656">
        <f>INDEX(Drivers!$A$8:$AM$8,1,$A142-2018)/1000</f>
        <v>76.709073592680113</v>
      </c>
      <c r="C142" s="1660">
        <f>INDEX(Drivers!$A$16:$AM$16,1,$A142-2018)</f>
        <v>7178.2100000000019</v>
      </c>
      <c r="D142" s="1657">
        <f>INDEX(Drivers!$A$25:$AM$25,1,$A142-2018)/INDEX(Drivers!$A$25:$AM$25,1,$A142-2019)*D141</f>
        <v>5736517.8340024278</v>
      </c>
      <c r="E142" s="762">
        <f t="shared" si="52"/>
        <v>5736517.8340024278</v>
      </c>
      <c r="F142" s="1120"/>
      <c r="G142" s="1120"/>
      <c r="H142" s="1121"/>
      <c r="I142" s="1292">
        <f t="shared" si="51"/>
        <v>424.26313389388866</v>
      </c>
      <c r="J142" s="1293">
        <f t="shared" si="53"/>
        <v>12.031045626813224</v>
      </c>
      <c r="K142" s="1294">
        <f t="shared" si="41"/>
        <v>32544.831960527401</v>
      </c>
      <c r="L142" s="1294">
        <f t="shared" si="54"/>
        <v>92097.889862849406</v>
      </c>
      <c r="M142" s="1295">
        <f t="shared" si="55"/>
        <v>92097.889862849406</v>
      </c>
      <c r="N142" s="1249">
        <f t="shared" si="57"/>
        <v>0.19892488097366726</v>
      </c>
      <c r="O142" s="1249">
        <f t="shared" si="57"/>
        <v>0.26585903447659598</v>
      </c>
      <c r="P142" s="1249">
        <f t="shared" si="57"/>
        <v>8.9228108703258049E-2</v>
      </c>
      <c r="Q142" s="1249">
        <f t="shared" si="57"/>
        <v>0</v>
      </c>
      <c r="R142" s="1249">
        <f t="shared" si="57"/>
        <v>0</v>
      </c>
      <c r="S142" s="1249">
        <f t="shared" si="57"/>
        <v>0</v>
      </c>
      <c r="T142" s="1249">
        <f t="shared" si="57"/>
        <v>0.4459879758464787</v>
      </c>
      <c r="U142" s="1282">
        <f t="shared" si="43"/>
        <v>1</v>
      </c>
      <c r="V142" s="1283">
        <f t="shared" si="58"/>
        <v>0.29028184578274857</v>
      </c>
      <c r="W142" s="1249">
        <f t="shared" si="58"/>
        <v>0.30317187715157518</v>
      </c>
      <c r="X142" s="1249">
        <f t="shared" si="58"/>
        <v>8.2805443243048754E-2</v>
      </c>
      <c r="Y142" s="1249">
        <f t="shared" si="58"/>
        <v>0</v>
      </c>
      <c r="Z142" s="1249">
        <f t="shared" si="58"/>
        <v>0</v>
      </c>
      <c r="AA142" s="1249">
        <f t="shared" si="58"/>
        <v>0</v>
      </c>
      <c r="AB142" s="1249">
        <f t="shared" si="58"/>
        <v>0.32374083382262742</v>
      </c>
      <c r="AC142" s="1282">
        <f t="shared" si="47"/>
        <v>0.99999999999999989</v>
      </c>
    </row>
    <row r="143" spans="1:29">
      <c r="A143" s="187">
        <f t="shared" si="56"/>
        <v>2043</v>
      </c>
      <c r="B143" s="1656">
        <f>INDEX(Drivers!$A$8:$AM$8,1,$A143-2018)/1000</f>
        <v>77.302495984815266</v>
      </c>
      <c r="C143" s="1660">
        <f>INDEX(Drivers!$A$16:$AM$16,1,$A143-2018)</f>
        <v>7380.12</v>
      </c>
      <c r="D143" s="1657">
        <f>INDEX(Drivers!$A$25:$AM$25,1,$A143-2018)/INDEX(Drivers!$A$25:$AM$25,1,$A143-2019)*D142</f>
        <v>4223638.132314411</v>
      </c>
      <c r="E143" s="762">
        <f t="shared" si="52"/>
        <v>4223638.132314411</v>
      </c>
      <c r="F143" s="1120"/>
      <c r="G143" s="1120"/>
      <c r="H143" s="1121"/>
      <c r="I143" s="1292">
        <f t="shared" si="51"/>
        <v>424.26313389388866</v>
      </c>
      <c r="J143" s="1293">
        <f t="shared" si="53"/>
        <v>12.031045626813224</v>
      </c>
      <c r="K143" s="1294">
        <f t="shared" si="41"/>
        <v>32796.599204337472</v>
      </c>
      <c r="L143" s="1294">
        <f t="shared" si="54"/>
        <v>93014.198583671227</v>
      </c>
      <c r="M143" s="1295">
        <f t="shared" si="55"/>
        <v>93014.198583671227</v>
      </c>
      <c r="N143" s="1249">
        <f t="shared" si="57"/>
        <v>0.19892488097366726</v>
      </c>
      <c r="O143" s="1249">
        <f t="shared" si="57"/>
        <v>0.26585903447659598</v>
      </c>
      <c r="P143" s="1249">
        <f t="shared" si="57"/>
        <v>8.9228108703258049E-2</v>
      </c>
      <c r="Q143" s="1249">
        <f t="shared" si="57"/>
        <v>0</v>
      </c>
      <c r="R143" s="1249">
        <f t="shared" si="57"/>
        <v>0</v>
      </c>
      <c r="S143" s="1249">
        <f t="shared" si="57"/>
        <v>0</v>
      </c>
      <c r="T143" s="1249">
        <f t="shared" si="57"/>
        <v>0.4459879758464787</v>
      </c>
      <c r="U143" s="1282">
        <f t="shared" si="43"/>
        <v>1</v>
      </c>
      <c r="V143" s="1283">
        <f t="shared" si="58"/>
        <v>0.29028184578274857</v>
      </c>
      <c r="W143" s="1249">
        <f t="shared" si="58"/>
        <v>0.30317187715157518</v>
      </c>
      <c r="X143" s="1249">
        <f t="shared" si="58"/>
        <v>8.2805443243048754E-2</v>
      </c>
      <c r="Y143" s="1249">
        <f t="shared" si="58"/>
        <v>0</v>
      </c>
      <c r="Z143" s="1249">
        <f t="shared" si="58"/>
        <v>0</v>
      </c>
      <c r="AA143" s="1249">
        <f t="shared" si="58"/>
        <v>0</v>
      </c>
      <c r="AB143" s="1249">
        <f t="shared" si="58"/>
        <v>0.32374083382262742</v>
      </c>
      <c r="AC143" s="1282">
        <f t="shared" si="47"/>
        <v>0.99999999999999989</v>
      </c>
    </row>
    <row r="144" spans="1:29">
      <c r="A144" s="187">
        <f t="shared" si="56"/>
        <v>2044</v>
      </c>
      <c r="B144" s="1656">
        <f>INDEX(Drivers!$A$8:$AM$8,1,$A144-2018)/1000</f>
        <v>77.881755043150378</v>
      </c>
      <c r="C144" s="1660">
        <f>INDEX(Drivers!$A$16:$AM$16,1,$A144-2018)</f>
        <v>7589.87</v>
      </c>
      <c r="D144" s="1657">
        <f>INDEX(Drivers!$A$25:$AM$25,1,$A144-2018)/INDEX(Drivers!$A$25:$AM$25,1,$A144-2019)*D143</f>
        <v>2710758.4306263938</v>
      </c>
      <c r="E144" s="762">
        <f t="shared" si="52"/>
        <v>2710758.4306263938</v>
      </c>
      <c r="F144" s="1120"/>
      <c r="G144" s="1120"/>
      <c r="H144" s="1121"/>
      <c r="I144" s="1292">
        <f t="shared" si="51"/>
        <v>424.26313389388866</v>
      </c>
      <c r="J144" s="1293">
        <f t="shared" si="53"/>
        <v>12.031045626813224</v>
      </c>
      <c r="K144" s="1294">
        <f t="shared" si="41"/>
        <v>33042.357467763148</v>
      </c>
      <c r="L144" s="1294">
        <f t="shared" si="54"/>
        <v>94024.830702207269</v>
      </c>
      <c r="M144" s="1295">
        <f t="shared" si="55"/>
        <v>94024.830702207269</v>
      </c>
      <c r="N144" s="1249">
        <f t="shared" si="57"/>
        <v>0.19892488097366726</v>
      </c>
      <c r="O144" s="1249">
        <f t="shared" si="57"/>
        <v>0.26585903447659598</v>
      </c>
      <c r="P144" s="1249">
        <f t="shared" si="57"/>
        <v>8.9228108703258049E-2</v>
      </c>
      <c r="Q144" s="1249">
        <f t="shared" si="57"/>
        <v>0</v>
      </c>
      <c r="R144" s="1249">
        <f t="shared" si="57"/>
        <v>0</v>
      </c>
      <c r="S144" s="1249">
        <f t="shared" si="57"/>
        <v>0</v>
      </c>
      <c r="T144" s="1249">
        <f t="shared" si="57"/>
        <v>0.4459879758464787</v>
      </c>
      <c r="U144" s="1282">
        <f t="shared" si="43"/>
        <v>1</v>
      </c>
      <c r="V144" s="1283">
        <f t="shared" si="58"/>
        <v>0.29028184578274857</v>
      </c>
      <c r="W144" s="1249">
        <f t="shared" si="58"/>
        <v>0.30317187715157518</v>
      </c>
      <c r="X144" s="1249">
        <f t="shared" si="58"/>
        <v>8.2805443243048754E-2</v>
      </c>
      <c r="Y144" s="1249">
        <f t="shared" si="58"/>
        <v>0</v>
      </c>
      <c r="Z144" s="1249">
        <f t="shared" si="58"/>
        <v>0</v>
      </c>
      <c r="AA144" s="1249">
        <f t="shared" si="58"/>
        <v>0</v>
      </c>
      <c r="AB144" s="1249">
        <f t="shared" si="58"/>
        <v>0.32374083382262742</v>
      </c>
      <c r="AC144" s="1282">
        <f t="shared" si="47"/>
        <v>0.99999999999999989</v>
      </c>
    </row>
    <row r="145" spans="1:29">
      <c r="A145" s="187">
        <f t="shared" si="56"/>
        <v>2045</v>
      </c>
      <c r="B145" s="1656">
        <f>INDEX(Drivers!$A$8:$AM$8,1,$A145-2018)/1000</f>
        <v>78.446460136387472</v>
      </c>
      <c r="C145" s="1660">
        <f>INDEX(Drivers!$A$16:$AM$16,1,$A145-2018)</f>
        <v>7808.4800000000005</v>
      </c>
      <c r="D145" s="1657">
        <f>INDEX(Drivers!$A$25:$AM$25,1,$A145-2018)/INDEX(Drivers!$A$25:$AM$25,1,$A145-2019)*D144</f>
        <v>1197878.7289383768</v>
      </c>
      <c r="E145" s="762">
        <f t="shared" si="52"/>
        <v>1197878.7289383768</v>
      </c>
      <c r="F145" s="1120"/>
      <c r="G145" s="1120"/>
      <c r="H145" s="1121"/>
      <c r="I145" s="1292">
        <f t="shared" si="51"/>
        <v>424.26313389388866</v>
      </c>
      <c r="J145" s="1293">
        <f t="shared" si="53"/>
        <v>12.031045626813224</v>
      </c>
      <c r="K145" s="1294">
        <f t="shared" si="41"/>
        <v>33281.941020345759</v>
      </c>
      <c r="L145" s="1294">
        <f t="shared" si="54"/>
        <v>95142.057884996902</v>
      </c>
      <c r="M145" s="1295">
        <f t="shared" si="55"/>
        <v>95142.057884996902</v>
      </c>
      <c r="N145" s="1249">
        <f t="shared" si="57"/>
        <v>0.19892488097366726</v>
      </c>
      <c r="O145" s="1249">
        <f t="shared" si="57"/>
        <v>0.26585903447659598</v>
      </c>
      <c r="P145" s="1249">
        <f t="shared" si="57"/>
        <v>8.9228108703258049E-2</v>
      </c>
      <c r="Q145" s="1249">
        <f t="shared" si="57"/>
        <v>0</v>
      </c>
      <c r="R145" s="1249">
        <f t="shared" si="57"/>
        <v>0</v>
      </c>
      <c r="S145" s="1249">
        <f t="shared" si="57"/>
        <v>0</v>
      </c>
      <c r="T145" s="1249">
        <f t="shared" si="57"/>
        <v>0.4459879758464787</v>
      </c>
      <c r="U145" s="1282">
        <f t="shared" si="43"/>
        <v>1</v>
      </c>
      <c r="V145" s="1283">
        <f t="shared" si="58"/>
        <v>0.29028184578274857</v>
      </c>
      <c r="W145" s="1249">
        <f t="shared" si="58"/>
        <v>0.30317187715157518</v>
      </c>
      <c r="X145" s="1249">
        <f t="shared" si="58"/>
        <v>8.2805443243048754E-2</v>
      </c>
      <c r="Y145" s="1249">
        <f t="shared" si="58"/>
        <v>0</v>
      </c>
      <c r="Z145" s="1249">
        <f t="shared" si="58"/>
        <v>0</v>
      </c>
      <c r="AA145" s="1249">
        <f t="shared" si="58"/>
        <v>0</v>
      </c>
      <c r="AB145" s="1249">
        <f t="shared" si="58"/>
        <v>0.32374083382262742</v>
      </c>
      <c r="AC145" s="1282">
        <f t="shared" si="47"/>
        <v>0.99999999999999989</v>
      </c>
    </row>
    <row r="146" spans="1:29">
      <c r="A146" s="187">
        <f t="shared" si="56"/>
        <v>2046</v>
      </c>
      <c r="B146" s="1656">
        <f>INDEX(Drivers!$A$8:$AM$8,1,$A146-2018)/1000</f>
        <v>78.997842335977523</v>
      </c>
      <c r="C146" s="1660">
        <f>INDEX(Drivers!$A$16:$AM$16,1,$A146-2018)</f>
        <v>8042.25</v>
      </c>
      <c r="D146" s="1657">
        <f>INDEX(Drivers!$A$25:$AM$25,1,$A146-2018)/INDEX(Drivers!$A$25:$AM$25,1,$A146-2019)*D145</f>
        <v>1000767.4916723419</v>
      </c>
      <c r="E146" s="762">
        <f t="shared" si="52"/>
        <v>1000767.4916723419</v>
      </c>
      <c r="F146" s="1120"/>
      <c r="G146" s="1120"/>
      <c r="H146" s="1121"/>
      <c r="I146" s="1292">
        <f t="shared" si="51"/>
        <v>424.26313389388866</v>
      </c>
      <c r="J146" s="1293">
        <f t="shared" si="53"/>
        <v>12.031045626813224</v>
      </c>
      <c r="K146" s="1294">
        <f t="shared" si="41"/>
        <v>33515.872160317136</v>
      </c>
      <c r="L146" s="1294">
        <f t="shared" si="54"/>
        <v>97757.444183911008</v>
      </c>
      <c r="M146" s="1295">
        <f t="shared" si="55"/>
        <v>97757.444183911008</v>
      </c>
      <c r="N146" s="1249">
        <f t="shared" si="57"/>
        <v>0.19892488097366726</v>
      </c>
      <c r="O146" s="1249">
        <f t="shared" si="57"/>
        <v>0.26585903447659598</v>
      </c>
      <c r="P146" s="1249">
        <f t="shared" si="57"/>
        <v>8.9228108703258049E-2</v>
      </c>
      <c r="Q146" s="1249">
        <f t="shared" si="57"/>
        <v>0</v>
      </c>
      <c r="R146" s="1249">
        <f t="shared" si="57"/>
        <v>0</v>
      </c>
      <c r="S146" s="1249">
        <f t="shared" si="57"/>
        <v>0</v>
      </c>
      <c r="T146" s="1249">
        <f t="shared" si="57"/>
        <v>0.4459879758464787</v>
      </c>
      <c r="U146" s="1282">
        <f t="shared" ref="U146:U150" si="59">SUM(N146:T146)</f>
        <v>1</v>
      </c>
      <c r="V146" s="1283">
        <f t="shared" si="58"/>
        <v>0.29028184578274857</v>
      </c>
      <c r="W146" s="1249">
        <f t="shared" si="58"/>
        <v>0.30317187715157518</v>
      </c>
      <c r="X146" s="1249">
        <f t="shared" si="58"/>
        <v>8.2805443243048754E-2</v>
      </c>
      <c r="Y146" s="1249">
        <f t="shared" si="58"/>
        <v>0</v>
      </c>
      <c r="Z146" s="1249">
        <f t="shared" si="58"/>
        <v>0</v>
      </c>
      <c r="AA146" s="1249">
        <f t="shared" si="58"/>
        <v>0</v>
      </c>
      <c r="AB146" s="1249">
        <f t="shared" si="58"/>
        <v>0.32374083382262742</v>
      </c>
      <c r="AC146" s="1282">
        <f t="shared" si="47"/>
        <v>0.99999999999999989</v>
      </c>
    </row>
    <row r="147" spans="1:29">
      <c r="A147" s="187">
        <f t="shared" si="56"/>
        <v>2047</v>
      </c>
      <c r="B147" s="1656">
        <f>INDEX(Drivers!$A$8:$AM$8,1,$A147-2018)/1000</f>
        <v>79.535560193629763</v>
      </c>
      <c r="C147" s="1660">
        <f>INDEX(Drivers!$A$16:$AM$16,1,$A147-2018)</f>
        <v>8187.4100000000008</v>
      </c>
      <c r="D147" s="1657">
        <f>INDEX(Drivers!$A$25:$AM$25,1,$A147-2018)/INDEX(Drivers!$A$25:$AM$25,1,$A147-2019)*D146</f>
        <v>803656.25440630724</v>
      </c>
      <c r="E147" s="762">
        <f t="shared" si="52"/>
        <v>803656.25440630724</v>
      </c>
      <c r="F147" s="1120"/>
      <c r="G147" s="1120"/>
      <c r="H147" s="1121"/>
      <c r="I147" s="1292">
        <f t="shared" si="51"/>
        <v>424.26313389388866</v>
      </c>
      <c r="J147" s="1293">
        <f t="shared" si="53"/>
        <v>12.031045626813224</v>
      </c>
      <c r="K147" s="1294">
        <f t="shared" si="41"/>
        <v>33744.006023755384</v>
      </c>
      <c r="L147" s="1294">
        <f t="shared" si="54"/>
        <v>99306.759529833173</v>
      </c>
      <c r="M147" s="1295">
        <f t="shared" si="55"/>
        <v>99306.759529833173</v>
      </c>
      <c r="N147" s="1249">
        <f t="shared" ref="N147:T150" si="60">N146</f>
        <v>0.19892488097366726</v>
      </c>
      <c r="O147" s="1249">
        <f t="shared" si="60"/>
        <v>0.26585903447659598</v>
      </c>
      <c r="P147" s="1249">
        <f t="shared" si="60"/>
        <v>8.9228108703258049E-2</v>
      </c>
      <c r="Q147" s="1249">
        <f t="shared" si="60"/>
        <v>0</v>
      </c>
      <c r="R147" s="1249">
        <f t="shared" si="60"/>
        <v>0</v>
      </c>
      <c r="S147" s="1249">
        <f t="shared" si="60"/>
        <v>0</v>
      </c>
      <c r="T147" s="1249">
        <f t="shared" si="60"/>
        <v>0.4459879758464787</v>
      </c>
      <c r="U147" s="1282">
        <f t="shared" si="59"/>
        <v>1</v>
      </c>
      <c r="V147" s="1283">
        <f t="shared" si="58"/>
        <v>0.29028184578274857</v>
      </c>
      <c r="W147" s="1249">
        <f t="shared" si="58"/>
        <v>0.30317187715157518</v>
      </c>
      <c r="X147" s="1249">
        <f t="shared" si="58"/>
        <v>8.2805443243048754E-2</v>
      </c>
      <c r="Y147" s="1249">
        <f t="shared" si="58"/>
        <v>0</v>
      </c>
      <c r="Z147" s="1249">
        <f t="shared" si="58"/>
        <v>0</v>
      </c>
      <c r="AA147" s="1249">
        <f t="shared" si="58"/>
        <v>0</v>
      </c>
      <c r="AB147" s="1249">
        <f t="shared" si="58"/>
        <v>0.32374083382262742</v>
      </c>
      <c r="AC147" s="1282">
        <f t="shared" si="47"/>
        <v>0.99999999999999989</v>
      </c>
    </row>
    <row r="148" spans="1:29">
      <c r="A148" s="187">
        <f t="shared" si="56"/>
        <v>2048</v>
      </c>
      <c r="B148" s="1656">
        <f>INDEX(Drivers!$A$8:$AM$8,1,$A148-2018)/1000</f>
        <v>80.059278886956378</v>
      </c>
      <c r="C148" s="1660">
        <f>INDEX(Drivers!$A$16:$AM$16,1,$A148-2018)</f>
        <v>8322.6399999999976</v>
      </c>
      <c r="D148" s="1657">
        <f>INDEX(Drivers!$A$25:$AM$25,1,$A148-2018)/INDEX(Drivers!$A$25:$AM$25,1,$A148-2019)*D147</f>
        <v>606545.01714027242</v>
      </c>
      <c r="E148" s="762">
        <f t="shared" si="52"/>
        <v>606545.01714027242</v>
      </c>
      <c r="F148" s="1120"/>
      <c r="G148" s="1120"/>
      <c r="H148" s="1121"/>
      <c r="I148" s="1292">
        <f t="shared" si="51"/>
        <v>424.26313389388866</v>
      </c>
      <c r="J148" s="1293">
        <f t="shared" si="53"/>
        <v>12.031045626813224</v>
      </c>
      <c r="K148" s="1294">
        <f t="shared" si="41"/>
        <v>33966.200557864948</v>
      </c>
      <c r="L148" s="1294">
        <f t="shared" si="54"/>
        <v>100736.60659268106</v>
      </c>
      <c r="M148" s="1295">
        <f t="shared" si="55"/>
        <v>100736.60659268106</v>
      </c>
      <c r="N148" s="1249">
        <f t="shared" si="60"/>
        <v>0.19892488097366726</v>
      </c>
      <c r="O148" s="1249">
        <f t="shared" si="60"/>
        <v>0.26585903447659598</v>
      </c>
      <c r="P148" s="1249">
        <f t="shared" si="60"/>
        <v>8.9228108703258049E-2</v>
      </c>
      <c r="Q148" s="1249">
        <f t="shared" si="60"/>
        <v>0</v>
      </c>
      <c r="R148" s="1249">
        <f t="shared" si="60"/>
        <v>0</v>
      </c>
      <c r="S148" s="1249">
        <f t="shared" si="60"/>
        <v>0</v>
      </c>
      <c r="T148" s="1249">
        <f t="shared" si="60"/>
        <v>0.4459879758464787</v>
      </c>
      <c r="U148" s="1282">
        <f t="shared" si="59"/>
        <v>1</v>
      </c>
      <c r="V148" s="1283">
        <f t="shared" ref="V148:AB150" si="61">V147</f>
        <v>0.29028184578274857</v>
      </c>
      <c r="W148" s="1249">
        <f t="shared" si="61"/>
        <v>0.30317187715157518</v>
      </c>
      <c r="X148" s="1249">
        <f t="shared" si="61"/>
        <v>8.2805443243048754E-2</v>
      </c>
      <c r="Y148" s="1249">
        <f t="shared" si="61"/>
        <v>0</v>
      </c>
      <c r="Z148" s="1249">
        <f t="shared" si="61"/>
        <v>0</v>
      </c>
      <c r="AA148" s="1249">
        <f t="shared" si="61"/>
        <v>0</v>
      </c>
      <c r="AB148" s="1249">
        <f t="shared" si="61"/>
        <v>0.32374083382262742</v>
      </c>
      <c r="AC148" s="1282">
        <f t="shared" si="47"/>
        <v>0.99999999999999989</v>
      </c>
    </row>
    <row r="149" spans="1:29">
      <c r="A149" s="187">
        <f t="shared" si="56"/>
        <v>2049</v>
      </c>
      <c r="B149" s="1656">
        <f>INDEX(Drivers!$A$8:$AM$8,1,$A149-2018)/1000</f>
        <v>80.568670564877792</v>
      </c>
      <c r="C149" s="1660">
        <f>INDEX(Drivers!$A$16:$AM$16,1,$A149-2018)</f>
        <v>8457.3799999999992</v>
      </c>
      <c r="D149" s="1657">
        <f>INDEX(Drivers!$A$25:$AM$25,1,$A149-2018)/INDEX(Drivers!$A$25:$AM$25,1,$A149-2019)*D148</f>
        <v>409433.77987423755</v>
      </c>
      <c r="E149" s="762">
        <f t="shared" si="52"/>
        <v>409433.77987423755</v>
      </c>
      <c r="F149" s="1120"/>
      <c r="G149" s="1120"/>
      <c r="H149" s="1121"/>
      <c r="I149" s="1292">
        <f t="shared" si="51"/>
        <v>424.26313389388866</v>
      </c>
      <c r="J149" s="1293">
        <f t="shared" si="53"/>
        <v>12.031045626813224</v>
      </c>
      <c r="K149" s="1294">
        <f t="shared" si="41"/>
        <v>34182.31666751935</v>
      </c>
      <c r="L149" s="1294">
        <f t="shared" si="54"/>
        <v>102160.55844317185</v>
      </c>
      <c r="M149" s="1295">
        <f t="shared" si="55"/>
        <v>102160.55844317185</v>
      </c>
      <c r="N149" s="1249">
        <f t="shared" si="60"/>
        <v>0.19892488097366726</v>
      </c>
      <c r="O149" s="1249">
        <f t="shared" si="60"/>
        <v>0.26585903447659598</v>
      </c>
      <c r="P149" s="1249">
        <f t="shared" si="60"/>
        <v>8.9228108703258049E-2</v>
      </c>
      <c r="Q149" s="1249">
        <f t="shared" si="60"/>
        <v>0</v>
      </c>
      <c r="R149" s="1249">
        <f t="shared" si="60"/>
        <v>0</v>
      </c>
      <c r="S149" s="1249">
        <f t="shared" si="60"/>
        <v>0</v>
      </c>
      <c r="T149" s="1249">
        <f t="shared" si="60"/>
        <v>0.4459879758464787</v>
      </c>
      <c r="U149" s="1282">
        <f t="shared" si="59"/>
        <v>1</v>
      </c>
      <c r="V149" s="1283">
        <f t="shared" si="61"/>
        <v>0.29028184578274857</v>
      </c>
      <c r="W149" s="1249">
        <f t="shared" si="61"/>
        <v>0.30317187715157518</v>
      </c>
      <c r="X149" s="1249">
        <f t="shared" si="61"/>
        <v>8.2805443243048754E-2</v>
      </c>
      <c r="Y149" s="1249">
        <f t="shared" si="61"/>
        <v>0</v>
      </c>
      <c r="Z149" s="1249">
        <f t="shared" si="61"/>
        <v>0</v>
      </c>
      <c r="AA149" s="1249">
        <f t="shared" si="61"/>
        <v>0</v>
      </c>
      <c r="AB149" s="1249">
        <f t="shared" si="61"/>
        <v>0.32374083382262742</v>
      </c>
      <c r="AC149" s="1282">
        <f t="shared" si="47"/>
        <v>0.99999999999999989</v>
      </c>
    </row>
    <row r="150" spans="1:29" ht="16.5" thickBot="1">
      <c r="A150" s="758">
        <f t="shared" si="56"/>
        <v>2050</v>
      </c>
      <c r="B150" s="1656">
        <f>INDEX(Drivers!$A$8:$AM$8,1,$A150-2018)/1000</f>
        <v>81.063414687793369</v>
      </c>
      <c r="C150" s="1658">
        <f>INDEX(Drivers!$A$16:$AM$16,1,$A150-2018)</f>
        <v>8589.119999999999</v>
      </c>
      <c r="D150" s="1659">
        <f>INDEX(Drivers!$A$25:$AM$25,1,$A150-2018)/INDEX(Drivers!$A$25:$AM$25,1,$A150-2019)*D149</f>
        <v>212322.54260820278</v>
      </c>
      <c r="E150" s="762">
        <f t="shared" si="52"/>
        <v>212322.54260820278</v>
      </c>
      <c r="F150" s="1122"/>
      <c r="G150" s="1122"/>
      <c r="H150" s="1123"/>
      <c r="I150" s="1298">
        <f t="shared" si="51"/>
        <v>424.26313389388866</v>
      </c>
      <c r="J150" s="1299">
        <f t="shared" si="53"/>
        <v>12.031045626813224</v>
      </c>
      <c r="K150" s="1300">
        <f t="shared" si="41"/>
        <v>34392.218359583101</v>
      </c>
      <c r="L150" s="1300">
        <f t="shared" si="54"/>
        <v>103548.41715678219</v>
      </c>
      <c r="M150" s="1301">
        <f t="shared" si="55"/>
        <v>103548.41715678219</v>
      </c>
      <c r="N150" s="1284">
        <f t="shared" si="60"/>
        <v>0.19892488097366726</v>
      </c>
      <c r="O150" s="1284">
        <f t="shared" si="60"/>
        <v>0.26585903447659598</v>
      </c>
      <c r="P150" s="1284">
        <f t="shared" si="60"/>
        <v>8.9228108703258049E-2</v>
      </c>
      <c r="Q150" s="1284">
        <f t="shared" si="60"/>
        <v>0</v>
      </c>
      <c r="R150" s="1284">
        <f t="shared" si="60"/>
        <v>0</v>
      </c>
      <c r="S150" s="1284">
        <f t="shared" si="60"/>
        <v>0</v>
      </c>
      <c r="T150" s="1284">
        <f t="shared" si="60"/>
        <v>0.4459879758464787</v>
      </c>
      <c r="U150" s="1285">
        <f t="shared" si="59"/>
        <v>1</v>
      </c>
      <c r="V150" s="1286">
        <f t="shared" si="61"/>
        <v>0.29028184578274857</v>
      </c>
      <c r="W150" s="1284">
        <f t="shared" si="61"/>
        <v>0.30317187715157518</v>
      </c>
      <c r="X150" s="1284">
        <f t="shared" si="61"/>
        <v>8.2805443243048754E-2</v>
      </c>
      <c r="Y150" s="1284">
        <f t="shared" si="61"/>
        <v>0</v>
      </c>
      <c r="Z150" s="1284">
        <f t="shared" si="61"/>
        <v>0</v>
      </c>
      <c r="AA150" s="1284">
        <f t="shared" si="61"/>
        <v>0</v>
      </c>
      <c r="AB150" s="1284">
        <f t="shared" si="61"/>
        <v>0.32374083382262742</v>
      </c>
      <c r="AC150" s="1285">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25" t="s">
        <v>665</v>
      </c>
      <c r="X3" s="1726"/>
      <c r="Y3" s="1726"/>
      <c r="Z3" s="1726"/>
      <c r="AA3" s="1726"/>
      <c r="AB3" s="1726"/>
      <c r="AC3" s="1726"/>
      <c r="AD3" s="1727"/>
      <c r="AE3" s="1" t="s">
        <v>782</v>
      </c>
    </row>
    <row r="4" spans="1:16381" ht="15.75" thickBot="1"/>
    <row r="5" spans="1:16381" ht="16.149999999999999" customHeight="1" thickBot="1">
      <c r="C5" s="1728" t="s">
        <v>294</v>
      </c>
      <c r="D5" s="1729"/>
      <c r="E5" s="1729"/>
      <c r="F5" s="1729"/>
      <c r="G5" s="1729"/>
      <c r="H5" s="1729"/>
      <c r="I5" s="1729"/>
      <c r="J5" s="1729"/>
      <c r="K5" s="1730"/>
      <c r="L5" s="1761" t="s">
        <v>516</v>
      </c>
      <c r="M5" s="1762"/>
      <c r="N5" s="1762"/>
      <c r="O5" s="1762"/>
      <c r="P5" s="1763"/>
      <c r="Q5" s="1767" t="s">
        <v>518</v>
      </c>
      <c r="R5" s="1768"/>
      <c r="S5" s="1768"/>
      <c r="T5" s="1768"/>
      <c r="U5" s="1769"/>
      <c r="W5" s="736"/>
      <c r="X5" s="1733" t="s">
        <v>643</v>
      </c>
      <c r="Y5" s="1734"/>
      <c r="Z5" s="1734"/>
      <c r="AA5" s="1734"/>
      <c r="AB5" s="1735"/>
      <c r="AC5" s="115"/>
      <c r="AD5" s="1736" t="s">
        <v>641</v>
      </c>
      <c r="AE5" s="1737"/>
      <c r="AF5" s="1737"/>
      <c r="AG5" s="1737"/>
      <c r="AH5" s="1738"/>
      <c r="AI5" s="1634"/>
      <c r="AJ5" s="1736" t="s">
        <v>645</v>
      </c>
      <c r="AK5" s="1737"/>
      <c r="AL5" s="1737"/>
      <c r="AM5" s="1737"/>
      <c r="AN5" s="1738"/>
      <c r="AO5" s="1683"/>
      <c r="AP5" s="1736" t="s">
        <v>649</v>
      </c>
      <c r="AQ5" s="1737"/>
      <c r="AR5" s="1737"/>
      <c r="AS5" s="1737"/>
      <c r="AT5" s="1738"/>
      <c r="AU5" s="1683"/>
      <c r="AV5" s="1736" t="s">
        <v>659</v>
      </c>
      <c r="AW5" s="1737"/>
      <c r="AX5" s="1737"/>
      <c r="AY5" s="1737"/>
      <c r="AZ5" s="1738"/>
      <c r="BA5" s="1634"/>
      <c r="BB5" s="1736" t="s">
        <v>655</v>
      </c>
      <c r="BC5" s="1737"/>
      <c r="BD5" s="1737"/>
      <c r="BE5" s="1737"/>
      <c r="BF5" s="1738"/>
      <c r="BH5" s="1772" t="s">
        <v>217</v>
      </c>
      <c r="BI5" s="1752" t="s">
        <v>635</v>
      </c>
      <c r="BJ5" s="1753"/>
      <c r="BK5" s="1756"/>
      <c r="BL5" s="1753" t="s">
        <v>638</v>
      </c>
      <c r="BM5" s="1753"/>
      <c r="BN5" s="1756"/>
      <c r="BO5" s="1752" t="s">
        <v>646</v>
      </c>
      <c r="BP5" s="1753"/>
      <c r="BQ5" s="1753"/>
      <c r="BR5" s="1752" t="s">
        <v>650</v>
      </c>
      <c r="BS5" s="1753"/>
      <c r="BT5" s="1756"/>
      <c r="BU5" s="1752" t="s">
        <v>660</v>
      </c>
      <c r="BV5" s="1753"/>
      <c r="BW5" s="1756"/>
      <c r="BX5" s="1752" t="s">
        <v>656</v>
      </c>
      <c r="BY5" s="1753"/>
      <c r="BZ5" s="1756"/>
      <c r="CB5" s="1752" t="s">
        <v>796</v>
      </c>
      <c r="CC5" s="1753"/>
      <c r="CD5" s="1753"/>
      <c r="CE5" s="1756"/>
      <c r="CF5" s="1752" t="s">
        <v>796</v>
      </c>
      <c r="CG5" s="1753"/>
      <c r="CH5" s="1753"/>
      <c r="CI5" s="1756"/>
      <c r="CJ5" s="1752" t="s">
        <v>796</v>
      </c>
      <c r="CK5" s="1753"/>
      <c r="CL5" s="1753"/>
      <c r="CM5" s="1756"/>
    </row>
    <row r="6" spans="1:16381" ht="16.149999999999999" customHeight="1" thickBot="1">
      <c r="A6" s="1739" t="s">
        <v>217</v>
      </c>
      <c r="B6" s="1747" t="s">
        <v>292</v>
      </c>
      <c r="C6" s="306" t="s">
        <v>187</v>
      </c>
      <c r="D6" s="1749" t="s">
        <v>194</v>
      </c>
      <c r="E6" s="1750"/>
      <c r="F6" s="1751"/>
      <c r="G6" s="1749" t="s">
        <v>189</v>
      </c>
      <c r="H6" s="1750"/>
      <c r="I6" s="1751"/>
      <c r="J6" s="1749" t="s">
        <v>192</v>
      </c>
      <c r="K6" s="1751"/>
      <c r="L6" s="507" t="s">
        <v>187</v>
      </c>
      <c r="M6" s="1770" t="s">
        <v>194</v>
      </c>
      <c r="N6" s="1771"/>
      <c r="O6" s="505" t="s">
        <v>189</v>
      </c>
      <c r="P6" s="510" t="s">
        <v>514</v>
      </c>
      <c r="Q6" s="509" t="s">
        <v>187</v>
      </c>
      <c r="R6" s="512" t="s">
        <v>194</v>
      </c>
      <c r="S6" s="512" t="s">
        <v>513</v>
      </c>
      <c r="T6" s="512" t="s">
        <v>517</v>
      </c>
      <c r="U6" s="513">
        <v>4</v>
      </c>
      <c r="W6" s="1731" t="s">
        <v>217</v>
      </c>
      <c r="X6" s="1130" t="s">
        <v>187</v>
      </c>
      <c r="Y6" s="1131" t="s">
        <v>194</v>
      </c>
      <c r="Z6" s="1131" t="s">
        <v>513</v>
      </c>
      <c r="AA6" s="1131" t="s">
        <v>517</v>
      </c>
      <c r="AB6" s="1132">
        <v>4</v>
      </c>
      <c r="AC6" s="104"/>
      <c r="AD6" s="1130" t="s">
        <v>187</v>
      </c>
      <c r="AE6" s="1131" t="s">
        <v>194</v>
      </c>
      <c r="AF6" s="1131" t="s">
        <v>513</v>
      </c>
      <c r="AG6" s="1131" t="s">
        <v>517</v>
      </c>
      <c r="AH6" s="1132">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73"/>
      <c r="BI6" s="1754"/>
      <c r="BJ6" s="1755"/>
      <c r="BK6" s="1757"/>
      <c r="BL6" s="1755"/>
      <c r="BM6" s="1755"/>
      <c r="BN6" s="1757"/>
      <c r="BO6" s="1754"/>
      <c r="BP6" s="1755"/>
      <c r="BQ6" s="1755"/>
      <c r="BR6" s="1754"/>
      <c r="BS6" s="1755"/>
      <c r="BT6" s="1757"/>
      <c r="BU6" s="1754"/>
      <c r="BV6" s="1755"/>
      <c r="BW6" s="1757"/>
      <c r="BX6" s="1754"/>
      <c r="BY6" s="1755"/>
      <c r="BZ6" s="1757"/>
      <c r="CB6" s="1775"/>
      <c r="CC6" s="1776"/>
      <c r="CD6" s="1776"/>
      <c r="CE6" s="1777"/>
      <c r="CF6" s="1775"/>
      <c r="CG6" s="1776"/>
      <c r="CH6" s="1776"/>
      <c r="CI6" s="1777"/>
      <c r="CJ6" s="1775"/>
      <c r="CK6" s="1776"/>
      <c r="CL6" s="1776"/>
      <c r="CM6" s="1777"/>
    </row>
    <row r="7" spans="1:16381" ht="90.75" thickBot="1">
      <c r="A7" s="1740"/>
      <c r="B7" s="1748"/>
      <c r="C7" s="502" t="s">
        <v>233</v>
      </c>
      <c r="D7" s="503" t="s">
        <v>234</v>
      </c>
      <c r="E7" s="1743" t="s">
        <v>176</v>
      </c>
      <c r="F7" s="1744"/>
      <c r="G7" s="1742" t="s">
        <v>284</v>
      </c>
      <c r="H7" s="1743"/>
      <c r="I7" s="1744"/>
      <c r="J7" s="1745" t="s">
        <v>193</v>
      </c>
      <c r="K7" s="1746"/>
      <c r="L7" s="508" t="s">
        <v>233</v>
      </c>
      <c r="M7" s="506" t="s">
        <v>234</v>
      </c>
      <c r="N7" s="506" t="s">
        <v>176</v>
      </c>
      <c r="O7" s="506" t="s">
        <v>284</v>
      </c>
      <c r="P7" s="511" t="s">
        <v>193</v>
      </c>
      <c r="Q7" s="509" t="s">
        <v>233</v>
      </c>
      <c r="R7" s="512" t="s">
        <v>512</v>
      </c>
      <c r="S7" s="512" t="s">
        <v>38</v>
      </c>
      <c r="T7" s="512" t="s">
        <v>193</v>
      </c>
      <c r="U7" s="513" t="s">
        <v>627</v>
      </c>
      <c r="W7" s="1732"/>
      <c r="X7" s="1136" t="s">
        <v>233</v>
      </c>
      <c r="Y7" s="1137" t="s">
        <v>512</v>
      </c>
      <c r="Z7" s="1137" t="s">
        <v>38</v>
      </c>
      <c r="AA7" s="1137" t="s">
        <v>193</v>
      </c>
      <c r="AB7" s="1138" t="s">
        <v>627</v>
      </c>
      <c r="AC7" s="1162" t="s">
        <v>745</v>
      </c>
      <c r="AD7" s="1133" t="s">
        <v>233</v>
      </c>
      <c r="AE7" s="1134" t="s">
        <v>512</v>
      </c>
      <c r="AF7" s="1134" t="s">
        <v>38</v>
      </c>
      <c r="AG7" s="1134" t="s">
        <v>193</v>
      </c>
      <c r="AH7" s="1135" t="s">
        <v>627</v>
      </c>
      <c r="AI7" s="1162" t="s">
        <v>745</v>
      </c>
      <c r="AJ7" s="509" t="s">
        <v>233</v>
      </c>
      <c r="AK7" s="512" t="s">
        <v>512</v>
      </c>
      <c r="AL7" s="512" t="s">
        <v>38</v>
      </c>
      <c r="AM7" s="512" t="s">
        <v>193</v>
      </c>
      <c r="AN7" s="513" t="s">
        <v>627</v>
      </c>
      <c r="AO7" s="1162" t="s">
        <v>745</v>
      </c>
      <c r="AP7" s="509" t="s">
        <v>233</v>
      </c>
      <c r="AQ7" s="512" t="s">
        <v>512</v>
      </c>
      <c r="AR7" s="512" t="s">
        <v>38</v>
      </c>
      <c r="AS7" s="512" t="s">
        <v>193</v>
      </c>
      <c r="AT7" s="513" t="s">
        <v>627</v>
      </c>
      <c r="AU7" s="1162" t="s">
        <v>745</v>
      </c>
      <c r="AV7" s="509" t="s">
        <v>233</v>
      </c>
      <c r="AW7" s="512" t="s">
        <v>512</v>
      </c>
      <c r="AX7" s="512" t="s">
        <v>38</v>
      </c>
      <c r="AY7" s="512" t="s">
        <v>193</v>
      </c>
      <c r="AZ7" s="513" t="s">
        <v>627</v>
      </c>
      <c r="BA7" s="1162" t="s">
        <v>745</v>
      </c>
      <c r="BB7" s="509" t="s">
        <v>233</v>
      </c>
      <c r="BC7" s="512" t="s">
        <v>512</v>
      </c>
      <c r="BD7" s="512" t="s">
        <v>38</v>
      </c>
      <c r="BE7" s="512" t="s">
        <v>193</v>
      </c>
      <c r="BF7" s="513" t="s">
        <v>627</v>
      </c>
      <c r="BG7" s="1162" t="s">
        <v>745</v>
      </c>
      <c r="BH7" s="1773"/>
      <c r="BI7" s="1098" t="s">
        <v>644</v>
      </c>
      <c r="BJ7" s="40" t="s">
        <v>794</v>
      </c>
      <c r="BK7" s="1099" t="s">
        <v>783</v>
      </c>
      <c r="BL7" s="1389" t="s">
        <v>642</v>
      </c>
      <c r="BM7" s="1390" t="s">
        <v>793</v>
      </c>
      <c r="BN7" s="1391" t="s">
        <v>784</v>
      </c>
      <c r="BO7" s="1159" t="s">
        <v>648</v>
      </c>
      <c r="BP7" s="40" t="s">
        <v>792</v>
      </c>
      <c r="BQ7" s="513" t="s">
        <v>785</v>
      </c>
      <c r="BR7" s="1098" t="s">
        <v>652</v>
      </c>
      <c r="BS7" s="40" t="s">
        <v>791</v>
      </c>
      <c r="BT7" s="1099" t="s">
        <v>786</v>
      </c>
      <c r="BU7" s="1098" t="s">
        <v>662</v>
      </c>
      <c r="BV7" s="40" t="s">
        <v>790</v>
      </c>
      <c r="BW7" s="513" t="s">
        <v>787</v>
      </c>
      <c r="BX7" s="1098" t="s">
        <v>658</v>
      </c>
      <c r="BY7" s="40" t="s">
        <v>789</v>
      </c>
      <c r="BZ7" s="513" t="s">
        <v>788</v>
      </c>
      <c r="CB7" s="1098" t="s">
        <v>805</v>
      </c>
      <c r="CC7" s="1099" t="s">
        <v>806</v>
      </c>
      <c r="CD7" s="40" t="s">
        <v>805</v>
      </c>
      <c r="CE7" s="1099" t="s">
        <v>804</v>
      </c>
      <c r="CF7" s="40" t="s">
        <v>803</v>
      </c>
      <c r="CG7" s="1099" t="s">
        <v>802</v>
      </c>
      <c r="CH7" s="40" t="s">
        <v>801</v>
      </c>
      <c r="CI7" s="1160" t="s">
        <v>800</v>
      </c>
      <c r="CJ7" s="1098" t="s">
        <v>799</v>
      </c>
      <c r="CK7" s="40" t="s">
        <v>798</v>
      </c>
      <c r="CL7" s="40" t="s">
        <v>795</v>
      </c>
      <c r="CM7" s="1099" t="s">
        <v>797</v>
      </c>
    </row>
    <row r="8" spans="1:16381" ht="15.75" thickBot="1">
      <c r="A8" s="1741"/>
      <c r="B8" s="307" t="s">
        <v>293</v>
      </c>
      <c r="C8" s="307" t="s">
        <v>188</v>
      </c>
      <c r="D8" s="308" t="s">
        <v>188</v>
      </c>
      <c r="E8" s="309" t="s">
        <v>188</v>
      </c>
      <c r="F8" s="310" t="s">
        <v>191</v>
      </c>
      <c r="G8" s="311" t="s">
        <v>190</v>
      </c>
      <c r="H8" s="309" t="s">
        <v>188</v>
      </c>
      <c r="I8" s="310" t="s">
        <v>191</v>
      </c>
      <c r="J8" s="985" t="s">
        <v>188</v>
      </c>
      <c r="K8" s="504" t="s">
        <v>191</v>
      </c>
      <c r="L8" s="1758" t="s">
        <v>515</v>
      </c>
      <c r="M8" s="1759"/>
      <c r="N8" s="1759"/>
      <c r="O8" s="1759"/>
      <c r="P8" s="1760"/>
      <c r="Q8" s="1764" t="s">
        <v>515</v>
      </c>
      <c r="R8" s="1765"/>
      <c r="S8" s="1765"/>
      <c r="T8" s="1765"/>
      <c r="U8" s="1766"/>
      <c r="W8" s="127"/>
      <c r="X8" s="1148" t="s">
        <v>643</v>
      </c>
      <c r="Y8" s="335" t="s">
        <v>643</v>
      </c>
      <c r="Z8" s="335" t="s">
        <v>643</v>
      </c>
      <c r="AA8" s="335" t="s">
        <v>643</v>
      </c>
      <c r="AB8" s="1149" t="s">
        <v>643</v>
      </c>
      <c r="AC8" s="104"/>
      <c r="AD8" s="1146" t="s">
        <v>641</v>
      </c>
      <c r="AE8" s="1139" t="s">
        <v>641</v>
      </c>
      <c r="AF8" s="1139" t="s">
        <v>641</v>
      </c>
      <c r="AG8" s="1139" t="s">
        <v>641</v>
      </c>
      <c r="AH8" s="1140" t="s">
        <v>641</v>
      </c>
      <c r="AI8" s="131"/>
      <c r="AJ8" s="1146" t="s">
        <v>645</v>
      </c>
      <c r="AK8" s="1139" t="s">
        <v>645</v>
      </c>
      <c r="AL8" s="1139" t="s">
        <v>645</v>
      </c>
      <c r="AM8" s="1139" t="s">
        <v>645</v>
      </c>
      <c r="AN8" s="1140" t="s">
        <v>645</v>
      </c>
      <c r="AO8" s="169"/>
      <c r="AP8" s="1146" t="s">
        <v>649</v>
      </c>
      <c r="AQ8" s="1139" t="s">
        <v>649</v>
      </c>
      <c r="AR8" s="1139" t="s">
        <v>649</v>
      </c>
      <c r="AS8" s="1139" t="s">
        <v>649</v>
      </c>
      <c r="AT8" s="1140" t="s">
        <v>649</v>
      </c>
      <c r="AU8" s="169"/>
      <c r="AV8" s="1146" t="s">
        <v>659</v>
      </c>
      <c r="AW8" s="1139" t="s">
        <v>659</v>
      </c>
      <c r="AX8" s="1139" t="s">
        <v>659</v>
      </c>
      <c r="AY8" s="1139" t="s">
        <v>659</v>
      </c>
      <c r="AZ8" s="1140" t="s">
        <v>659</v>
      </c>
      <c r="BA8" s="131"/>
      <c r="BB8" s="1146" t="s">
        <v>655</v>
      </c>
      <c r="BC8" s="1139" t="s">
        <v>655</v>
      </c>
      <c r="BD8" s="1139" t="s">
        <v>655</v>
      </c>
      <c r="BE8" s="1139" t="s">
        <v>655</v>
      </c>
      <c r="BF8" s="1140" t="s">
        <v>655</v>
      </c>
      <c r="BH8" s="1774"/>
      <c r="BI8" s="1153" t="s">
        <v>625</v>
      </c>
      <c r="BJ8" s="1154" t="s">
        <v>229</v>
      </c>
      <c r="BK8" s="1155" t="s">
        <v>625</v>
      </c>
      <c r="BL8" s="1153" t="s">
        <v>625</v>
      </c>
      <c r="BM8" s="1154" t="s">
        <v>229</v>
      </c>
      <c r="BN8" s="1155" t="s">
        <v>625</v>
      </c>
      <c r="BO8" s="1302" t="s">
        <v>625</v>
      </c>
      <c r="BP8" s="1154" t="s">
        <v>229</v>
      </c>
      <c r="BQ8" s="1155" t="s">
        <v>625</v>
      </c>
      <c r="BR8" s="1153" t="s">
        <v>625</v>
      </c>
      <c r="BS8" s="1154" t="s">
        <v>229</v>
      </c>
      <c r="BT8" s="1155" t="s">
        <v>625</v>
      </c>
      <c r="BU8" s="1153" t="s">
        <v>625</v>
      </c>
      <c r="BV8" s="1154" t="s">
        <v>229</v>
      </c>
      <c r="BW8" s="1155" t="s">
        <v>625</v>
      </c>
      <c r="BX8" s="1153" t="s">
        <v>625</v>
      </c>
      <c r="BY8" s="1154" t="s">
        <v>229</v>
      </c>
      <c r="BZ8" s="1155" t="s">
        <v>625</v>
      </c>
      <c r="CB8" s="67" t="s">
        <v>229</v>
      </c>
      <c r="CC8" s="68" t="s">
        <v>229</v>
      </c>
      <c r="CD8" s="1158" t="s">
        <v>229</v>
      </c>
      <c r="CE8" s="68" t="s">
        <v>229</v>
      </c>
      <c r="CF8" s="1158" t="s">
        <v>229</v>
      </c>
      <c r="CG8" s="68" t="s">
        <v>229</v>
      </c>
      <c r="CH8" s="1158" t="s">
        <v>229</v>
      </c>
      <c r="CI8" s="1161" t="s">
        <v>229</v>
      </c>
      <c r="CJ8" s="67" t="s">
        <v>229</v>
      </c>
      <c r="CK8" s="1158" t="s">
        <v>229</v>
      </c>
      <c r="CL8" s="1158"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747.5995646284382</v>
      </c>
      <c r="D10" s="515">
        <f>'4B Biological treatment '!T63</f>
        <v>0</v>
      </c>
      <c r="E10" s="472">
        <f>'4B Biological treatment '!U63</f>
        <v>8.0224619830130912</v>
      </c>
      <c r="F10" s="472">
        <f>'4B Biological treatment '!W63</f>
        <v>0.48134771898078543</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15699.590857197203</v>
      </c>
      <c r="M10" s="515">
        <f t="shared" ref="M10:M25" si="0">D10*$B$3</f>
        <v>0</v>
      </c>
      <c r="N10" s="471">
        <f>E10*$B$3+F10*$C$3</f>
        <v>317.6894945273184</v>
      </c>
      <c r="O10" s="514">
        <f>G10+H10*$B$3+I10*$C$3</f>
        <v>252.83335953932928</v>
      </c>
      <c r="P10" s="471">
        <f>J10*$B$3+K10*$C$3</f>
        <v>2831.8730929925982</v>
      </c>
      <c r="Q10" s="471">
        <f>L10</f>
        <v>15699.590857197203</v>
      </c>
      <c r="R10" s="516">
        <f>M10+N10</f>
        <v>317.6894945273184</v>
      </c>
      <c r="S10" s="514">
        <f>O10</f>
        <v>252.83335953932928</v>
      </c>
      <c r="T10" s="471">
        <f>P10</f>
        <v>2831.8730929925982</v>
      </c>
      <c r="U10" s="471">
        <f>SUM(Q10:T10)</f>
        <v>19101.986804256449</v>
      </c>
      <c r="V10" s="515"/>
      <c r="W10" s="596">
        <f>A10</f>
        <v>2000</v>
      </c>
      <c r="X10" s="1101">
        <f>Q10</f>
        <v>15699.590857197203</v>
      </c>
      <c r="Y10" s="1102">
        <f t="shared" ref="Y10:AA10" si="1">R10</f>
        <v>317.6894945273184</v>
      </c>
      <c r="Z10" s="1102">
        <f t="shared" si="1"/>
        <v>252.83335953932928</v>
      </c>
      <c r="AA10" s="1102">
        <f t="shared" si="1"/>
        <v>2831.8730929925982</v>
      </c>
      <c r="AB10" s="1142">
        <f>SUM(X10:AA10)</f>
        <v>19101.986804256449</v>
      </c>
      <c r="AC10" s="1102"/>
      <c r="AD10" s="1101">
        <f>Q10</f>
        <v>15699.590857197203</v>
      </c>
      <c r="AE10" s="1102">
        <f t="shared" ref="AE10:AG10" si="2">R10</f>
        <v>317.6894945273184</v>
      </c>
      <c r="AF10" s="1102">
        <f t="shared" si="2"/>
        <v>252.83335953932928</v>
      </c>
      <c r="AG10" s="1102">
        <f t="shared" si="2"/>
        <v>2831.8730929925982</v>
      </c>
      <c r="AH10" s="1142">
        <f>SUM(AD10:AG10)</f>
        <v>19101.986804256449</v>
      </c>
      <c r="AI10" s="1421"/>
      <c r="AJ10" s="1101">
        <f>Q10</f>
        <v>15699.590857197203</v>
      </c>
      <c r="AK10" s="1102">
        <f t="shared" ref="AK10:AM10" si="3">R10</f>
        <v>317.6894945273184</v>
      </c>
      <c r="AL10" s="1102">
        <f t="shared" si="3"/>
        <v>252.83335953932928</v>
      </c>
      <c r="AM10" s="1102">
        <f t="shared" si="3"/>
        <v>2831.8730929925982</v>
      </c>
      <c r="AN10" s="1142">
        <f>SUM(AJ10:AM10)</f>
        <v>19101.986804256449</v>
      </c>
      <c r="AO10" s="1418"/>
      <c r="AP10" s="1101">
        <f>Q10</f>
        <v>15699.590857197203</v>
      </c>
      <c r="AQ10" s="1102">
        <f t="shared" ref="AQ10:AS10" si="4">R10</f>
        <v>317.6894945273184</v>
      </c>
      <c r="AR10" s="1102">
        <f t="shared" si="4"/>
        <v>252.83335953932928</v>
      </c>
      <c r="AS10" s="1102">
        <f t="shared" si="4"/>
        <v>2831.8730929925982</v>
      </c>
      <c r="AT10" s="1142">
        <f>SUM(AP10:AS10)</f>
        <v>19101.986804256449</v>
      </c>
      <c r="AU10" s="1414"/>
      <c r="AV10" s="1101">
        <f>X10</f>
        <v>15699.590857197203</v>
      </c>
      <c r="AW10" s="1102">
        <f>Y10</f>
        <v>317.6894945273184</v>
      </c>
      <c r="AX10" s="1102">
        <f>Z10</f>
        <v>252.83335953932928</v>
      </c>
      <c r="AY10" s="1102">
        <f>AA10</f>
        <v>2831.8730929925982</v>
      </c>
      <c r="AZ10" s="1142">
        <f>SUM(AV10:AY10)</f>
        <v>19101.986804256449</v>
      </c>
      <c r="BA10" s="1424"/>
      <c r="BB10" s="1101">
        <f>Q10</f>
        <v>15699.590857197203</v>
      </c>
      <c r="BC10" s="1102">
        <f t="shared" ref="BC10:BE10" si="5">R10</f>
        <v>317.6894945273184</v>
      </c>
      <c r="BD10" s="1102">
        <f t="shared" si="5"/>
        <v>252.83335953932928</v>
      </c>
      <c r="BE10" s="1102">
        <f t="shared" si="5"/>
        <v>2831.8730929925982</v>
      </c>
      <c r="BF10" s="1142">
        <f>SUM(BB10:BE10)</f>
        <v>19101.986804256449</v>
      </c>
      <c r="BG10" s="1426"/>
      <c r="BH10" s="596">
        <f>W10</f>
        <v>2000</v>
      </c>
      <c r="BI10" s="1102">
        <f>'Baseline data (from input)'!AZ56</f>
        <v>80.188323661702427</v>
      </c>
      <c r="BJ10" s="576">
        <f>'Baseline data (from input)'!BA56</f>
        <v>0.14223993776609636</v>
      </c>
      <c r="BK10" s="1103"/>
      <c r="BL10" s="1101">
        <f>BI10</f>
        <v>80.188323661702427</v>
      </c>
      <c r="BM10" s="576">
        <f>BJ10</f>
        <v>0.14223993776609636</v>
      </c>
      <c r="BN10" s="1103"/>
      <c r="BO10" s="1102">
        <f t="shared" ref="BO10:BP26" si="6">BI10</f>
        <v>80.188323661702427</v>
      </c>
      <c r="BP10" s="417">
        <f t="shared" si="6"/>
        <v>0.14223993776609636</v>
      </c>
      <c r="BQ10" s="1103"/>
      <c r="BR10" s="1101">
        <f>'Baseline data (from input)'!AZ56</f>
        <v>80.188323661702427</v>
      </c>
      <c r="BS10" s="417">
        <f>'Baseline data (from input)'!BA56</f>
        <v>0.14223993776609636</v>
      </c>
      <c r="BT10" s="1103"/>
      <c r="BU10" s="1102">
        <f t="shared" ref="BU10:BV26" si="7">BI10</f>
        <v>80.188323661702427</v>
      </c>
      <c r="BV10" s="417">
        <f t="shared" si="7"/>
        <v>0.14223993776609636</v>
      </c>
      <c r="BW10" s="1103"/>
      <c r="BX10" s="1101">
        <f>BU10</f>
        <v>80.188323661702427</v>
      </c>
      <c r="BY10" s="417">
        <f>BV10</f>
        <v>0.14223993776609636</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771.20144163921236</v>
      </c>
      <c r="D11" s="3">
        <f>'4B Biological treatment '!T64</f>
        <v>0</v>
      </c>
      <c r="E11" s="178">
        <f>'4B Biological treatment '!U64</f>
        <v>8.215170232401265</v>
      </c>
      <c r="F11" s="178">
        <f>'4B Biological treatment '!W64</f>
        <v>0.49291021394407586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16195.23027442346</v>
      </c>
      <c r="M11" s="3">
        <f t="shared" si="0"/>
        <v>0</v>
      </c>
      <c r="N11" s="419">
        <f t="shared" ref="N11:N27" si="9">E11*$B$3+F11*$C$3</f>
        <v>325.32074120309005</v>
      </c>
      <c r="O11" s="518">
        <f t="shared" ref="O11:O27" si="10">G11+H11*$B$3+I11*$C$3</f>
        <v>258.06241311161995</v>
      </c>
      <c r="P11" s="419">
        <f t="shared" ref="P11:P27" si="11">J11*$B$3+K11*$C$3</f>
        <v>2890.4413774158538</v>
      </c>
      <c r="Q11" s="519">
        <f t="shared" ref="Q11:Q27" si="12">L11</f>
        <v>16195.23027442346</v>
      </c>
      <c r="R11" s="520">
        <f t="shared" ref="R11:R27" si="13">M11+N11</f>
        <v>325.32074120309005</v>
      </c>
      <c r="S11" s="518">
        <f t="shared" ref="S11:S27" si="14">O11</f>
        <v>258.06241311161995</v>
      </c>
      <c r="T11" s="519">
        <f t="shared" ref="T11:T27" si="15">P11</f>
        <v>2890.4413774158538</v>
      </c>
      <c r="U11" s="519">
        <f t="shared" ref="U11:U27" si="16">SUM(Q11:T11)</f>
        <v>19669.054806154025</v>
      </c>
      <c r="V11" s="3"/>
      <c r="W11" s="596">
        <f t="shared" ref="W11:W27" si="17">A11</f>
        <v>2001</v>
      </c>
      <c r="X11" s="1101">
        <f t="shared" ref="X11:X27" si="18">Q11</f>
        <v>16195.23027442346</v>
      </c>
      <c r="Y11" s="1102">
        <f t="shared" ref="Y11:Y27" si="19">R11</f>
        <v>325.32074120309005</v>
      </c>
      <c r="Z11" s="1102">
        <f t="shared" ref="Z11:Z27" si="20">S11</f>
        <v>258.06241311161995</v>
      </c>
      <c r="AA11" s="1102">
        <f t="shared" ref="AA11:AA27" si="21">T11</f>
        <v>2890.4413774158538</v>
      </c>
      <c r="AB11" s="1142">
        <f t="shared" ref="AB11:AB60" si="22">SUM(X11:AA11)</f>
        <v>19669.054806154025</v>
      </c>
      <c r="AC11" s="1102"/>
      <c r="AD11" s="1101">
        <f t="shared" ref="AD11:AD26" si="23">Q11</f>
        <v>16195.23027442346</v>
      </c>
      <c r="AE11" s="1102">
        <f t="shared" ref="AE11:AE27" si="24">R11</f>
        <v>325.32074120309005</v>
      </c>
      <c r="AF11" s="1102">
        <f t="shared" ref="AF11:AF27" si="25">S11</f>
        <v>258.06241311161995</v>
      </c>
      <c r="AG11" s="1102">
        <f t="shared" ref="AG11:AG27" si="26">T11</f>
        <v>2890.4413774158538</v>
      </c>
      <c r="AH11" s="1142">
        <f t="shared" ref="AH11:AH26" si="27">SUM(AD11:AG11)</f>
        <v>19669.054806154025</v>
      </c>
      <c r="AI11" s="1422"/>
      <c r="AJ11" s="1101">
        <f t="shared" ref="AJ11:AJ27" si="28">X11</f>
        <v>16195.23027442346</v>
      </c>
      <c r="AK11" s="1102">
        <f t="shared" ref="AK11:AK27" si="29">Y11</f>
        <v>325.32074120309005</v>
      </c>
      <c r="AL11" s="1102">
        <f t="shared" ref="AL11:AL27" si="30">Z11</f>
        <v>258.06241311161995</v>
      </c>
      <c r="AM11" s="1102">
        <f t="shared" ref="AM11:AM27" si="31">AA11</f>
        <v>2890.4413774158538</v>
      </c>
      <c r="AN11" s="1142">
        <f t="shared" ref="AN11:AN27" si="32">AB11</f>
        <v>19669.054806154025</v>
      </c>
      <c r="AO11" s="1419"/>
      <c r="AP11" s="1101">
        <f t="shared" ref="AP11:AP26" si="33">Q11</f>
        <v>16195.23027442346</v>
      </c>
      <c r="AQ11" s="1102">
        <f t="shared" ref="AQ11:AQ26" si="34">R11</f>
        <v>325.32074120309005</v>
      </c>
      <c r="AR11" s="1102">
        <f t="shared" ref="AR11:AR26" si="35">S11</f>
        <v>258.06241311161995</v>
      </c>
      <c r="AS11" s="1102">
        <f t="shared" ref="AS11:AS26" si="36">T11</f>
        <v>2890.4413774158538</v>
      </c>
      <c r="AT11" s="1142">
        <f t="shared" ref="AT11:AT60" si="37">SUM(AP11:AS11)</f>
        <v>19669.054806154025</v>
      </c>
      <c r="AU11" s="1414"/>
      <c r="AV11" s="1101">
        <f t="shared" ref="AV11:AV27" si="38">X11</f>
        <v>16195.23027442346</v>
      </c>
      <c r="AW11" s="1102">
        <f t="shared" ref="AW11:AW27" si="39">Y11</f>
        <v>325.32074120309005</v>
      </c>
      <c r="AX11" s="1102">
        <f t="shared" ref="AX11:AX27" si="40">Z11</f>
        <v>258.06241311161995</v>
      </c>
      <c r="AY11" s="1102">
        <f t="shared" ref="AY11:AY27" si="41">AA11</f>
        <v>2890.4413774158538</v>
      </c>
      <c r="AZ11" s="1142">
        <f t="shared" ref="AZ11:AZ27" si="42">AB11</f>
        <v>19669.054806154025</v>
      </c>
      <c r="BA11" s="1424"/>
      <c r="BB11" s="1101">
        <f t="shared" ref="BB11:BB27" si="43">Q11</f>
        <v>16195.23027442346</v>
      </c>
      <c r="BC11" s="1102">
        <f t="shared" ref="BC11:BC27" si="44">R11</f>
        <v>325.32074120309005</v>
      </c>
      <c r="BD11" s="1102">
        <f t="shared" ref="BD11:BD27" si="45">S11</f>
        <v>258.06241311161995</v>
      </c>
      <c r="BE11" s="1102">
        <f t="shared" ref="BE11:BE27" si="46">T11</f>
        <v>2890.4413774158538</v>
      </c>
      <c r="BF11" s="1142">
        <f t="shared" ref="BF11:BF60" si="47">SUM(BB11:BE11)</f>
        <v>19669.054806154025</v>
      </c>
      <c r="BG11" s="1427"/>
      <c r="BH11" s="596">
        <f t="shared" ref="BH11:BH60" si="48">W11</f>
        <v>2001</v>
      </c>
      <c r="BI11" s="1102">
        <f>'Baseline data (from input)'!AZ57</f>
        <v>82.192518487402396</v>
      </c>
      <c r="BJ11" s="576">
        <f>'Baseline data (from input)'!BA57</f>
        <v>0.14212687687042144</v>
      </c>
      <c r="BK11" s="1103"/>
      <c r="BL11" s="1101">
        <f t="shared" ref="BL11:BL26" si="49">BI11</f>
        <v>82.192518487402396</v>
      </c>
      <c r="BM11" s="576">
        <f t="shared" ref="BM11:BM26" si="50">BJ11</f>
        <v>0.14212687687042144</v>
      </c>
      <c r="BN11" s="1103"/>
      <c r="BO11" s="1102">
        <f t="shared" si="6"/>
        <v>82.192518487402396</v>
      </c>
      <c r="BP11" s="417">
        <f t="shared" si="6"/>
        <v>0.14212687687042144</v>
      </c>
      <c r="BQ11" s="1103"/>
      <c r="BR11" s="1101">
        <f>'Baseline data (from input)'!AZ57</f>
        <v>82.192518487402396</v>
      </c>
      <c r="BS11" s="417">
        <f>'Baseline data (from input)'!BA57</f>
        <v>0.14212687687042144</v>
      </c>
      <c r="BT11" s="1103"/>
      <c r="BU11" s="1102">
        <f t="shared" si="7"/>
        <v>82.192518487402396</v>
      </c>
      <c r="BV11" s="417">
        <f t="shared" si="7"/>
        <v>0.14212687687042144</v>
      </c>
      <c r="BW11" s="1103"/>
      <c r="BX11" s="1101">
        <f t="shared" ref="BX11:BX25" si="51">BU11</f>
        <v>82.192518487402396</v>
      </c>
      <c r="BY11" s="417">
        <f t="shared" ref="BY11:BY25" si="52">BV11</f>
        <v>0.14212687687042144</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795.07217127238346</v>
      </c>
      <c r="D12" s="3">
        <f>'4B Biological treatment '!T65</f>
        <v>0</v>
      </c>
      <c r="E12" s="178">
        <f>'4B Biological treatment '!U65</f>
        <v>8.4298599460466228</v>
      </c>
      <c r="F12" s="178">
        <f>'4B Biological treatment '!W65</f>
        <v>0.50579159676279739</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16696.515596720052</v>
      </c>
      <c r="M12" s="3">
        <f t="shared" si="0"/>
        <v>0</v>
      </c>
      <c r="N12" s="419">
        <f t="shared" si="9"/>
        <v>333.8224538634463</v>
      </c>
      <c r="O12" s="518">
        <f t="shared" si="10"/>
        <v>261.64230363418824</v>
      </c>
      <c r="P12" s="419">
        <f t="shared" si="11"/>
        <v>2930.5381259825444</v>
      </c>
      <c r="Q12" s="519">
        <f t="shared" si="12"/>
        <v>16696.515596720052</v>
      </c>
      <c r="R12" s="520">
        <f t="shared" si="13"/>
        <v>333.8224538634463</v>
      </c>
      <c r="S12" s="518">
        <f t="shared" si="14"/>
        <v>261.64230363418824</v>
      </c>
      <c r="T12" s="519">
        <f t="shared" si="15"/>
        <v>2930.5381259825444</v>
      </c>
      <c r="U12" s="519">
        <f t="shared" si="16"/>
        <v>20222.51848020023</v>
      </c>
      <c r="V12" s="3"/>
      <c r="W12" s="596">
        <f t="shared" si="17"/>
        <v>2002</v>
      </c>
      <c r="X12" s="1101">
        <f t="shared" si="18"/>
        <v>16696.515596720052</v>
      </c>
      <c r="Y12" s="1102">
        <f t="shared" si="19"/>
        <v>333.8224538634463</v>
      </c>
      <c r="Z12" s="1102">
        <f t="shared" si="20"/>
        <v>261.64230363418824</v>
      </c>
      <c r="AA12" s="1102">
        <f t="shared" si="21"/>
        <v>2930.5381259825444</v>
      </c>
      <c r="AB12" s="1142">
        <f t="shared" si="22"/>
        <v>20222.51848020023</v>
      </c>
      <c r="AC12" s="1102"/>
      <c r="AD12" s="1101">
        <f t="shared" si="23"/>
        <v>16696.515596720052</v>
      </c>
      <c r="AE12" s="1102">
        <f t="shared" si="24"/>
        <v>333.8224538634463</v>
      </c>
      <c r="AF12" s="1102">
        <f t="shared" si="25"/>
        <v>261.64230363418824</v>
      </c>
      <c r="AG12" s="1102">
        <f t="shared" si="26"/>
        <v>2930.5381259825444</v>
      </c>
      <c r="AH12" s="1142">
        <f t="shared" si="27"/>
        <v>20222.51848020023</v>
      </c>
      <c r="AI12" s="1422"/>
      <c r="AJ12" s="1101">
        <f t="shared" si="28"/>
        <v>16696.515596720052</v>
      </c>
      <c r="AK12" s="1102">
        <f t="shared" si="29"/>
        <v>333.8224538634463</v>
      </c>
      <c r="AL12" s="1102">
        <f t="shared" si="30"/>
        <v>261.64230363418824</v>
      </c>
      <c r="AM12" s="1102">
        <f t="shared" si="31"/>
        <v>2930.5381259825444</v>
      </c>
      <c r="AN12" s="1142">
        <f t="shared" si="32"/>
        <v>20222.51848020023</v>
      </c>
      <c r="AO12" s="1419"/>
      <c r="AP12" s="1101">
        <f t="shared" si="33"/>
        <v>16696.515596720052</v>
      </c>
      <c r="AQ12" s="1102">
        <f t="shared" si="34"/>
        <v>333.8224538634463</v>
      </c>
      <c r="AR12" s="1102">
        <f t="shared" si="35"/>
        <v>261.64230363418824</v>
      </c>
      <c r="AS12" s="1102">
        <f t="shared" si="36"/>
        <v>2930.5381259825444</v>
      </c>
      <c r="AT12" s="1142">
        <f t="shared" si="37"/>
        <v>20222.51848020023</v>
      </c>
      <c r="AU12" s="1414"/>
      <c r="AV12" s="1101">
        <f t="shared" si="38"/>
        <v>16696.515596720052</v>
      </c>
      <c r="AW12" s="1102">
        <f t="shared" si="39"/>
        <v>333.8224538634463</v>
      </c>
      <c r="AX12" s="1102">
        <f t="shared" si="40"/>
        <v>261.64230363418824</v>
      </c>
      <c r="AY12" s="1102">
        <f t="shared" si="41"/>
        <v>2930.5381259825444</v>
      </c>
      <c r="AZ12" s="1142">
        <f t="shared" si="42"/>
        <v>20222.51848020023</v>
      </c>
      <c r="BA12" s="1424"/>
      <c r="BB12" s="1101">
        <f t="shared" si="43"/>
        <v>16696.515596720052</v>
      </c>
      <c r="BC12" s="1102">
        <f t="shared" si="44"/>
        <v>333.8224538634463</v>
      </c>
      <c r="BD12" s="1102">
        <f t="shared" si="45"/>
        <v>261.64230363418824</v>
      </c>
      <c r="BE12" s="1102">
        <f t="shared" si="46"/>
        <v>2930.5381259825444</v>
      </c>
      <c r="BF12" s="1142">
        <f t="shared" si="47"/>
        <v>20222.51848020023</v>
      </c>
      <c r="BG12" s="1427"/>
      <c r="BH12" s="596">
        <f t="shared" si="48"/>
        <v>2002</v>
      </c>
      <c r="BI12" s="1102">
        <f>'Baseline data (from input)'!AZ58</f>
        <v>84.632747070867467</v>
      </c>
      <c r="BJ12" s="576">
        <f>'Baseline data (from input)'!BA58</f>
        <v>0.14171576136380343</v>
      </c>
      <c r="BK12" s="1103"/>
      <c r="BL12" s="1101">
        <f t="shared" si="49"/>
        <v>84.632747070867467</v>
      </c>
      <c r="BM12" s="576">
        <f t="shared" si="50"/>
        <v>0.14171576136380343</v>
      </c>
      <c r="BN12" s="1103"/>
      <c r="BO12" s="1102">
        <f t="shared" si="6"/>
        <v>84.632747070867467</v>
      </c>
      <c r="BP12" s="417">
        <f t="shared" si="6"/>
        <v>0.14171576136380343</v>
      </c>
      <c r="BQ12" s="1103"/>
      <c r="BR12" s="1101">
        <f>'Baseline data (from input)'!AZ58</f>
        <v>84.632747070867467</v>
      </c>
      <c r="BS12" s="417">
        <f>'Baseline data (from input)'!BA58</f>
        <v>0.14171576136380343</v>
      </c>
      <c r="BT12" s="1103"/>
      <c r="BU12" s="1102">
        <f t="shared" si="7"/>
        <v>84.632747070867467</v>
      </c>
      <c r="BV12" s="417">
        <f t="shared" si="7"/>
        <v>0.14171576136380343</v>
      </c>
      <c r="BW12" s="1103"/>
      <c r="BX12" s="1101">
        <f t="shared" si="51"/>
        <v>84.632747070867467</v>
      </c>
      <c r="BY12" s="417">
        <f t="shared" si="52"/>
        <v>0.14171576136380343</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819.34395354900607</v>
      </c>
      <c r="D13" s="3">
        <f>'4B Biological treatment '!T66</f>
        <v>0</v>
      </c>
      <c r="E13" s="178">
        <f>'4B Biological treatment '!U66</f>
        <v>8.6131473735520565</v>
      </c>
      <c r="F13" s="178">
        <f>'4B Biological treatment '!W66</f>
        <v>0.51678884241312339</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17206.223024529128</v>
      </c>
      <c r="M13" s="3">
        <f t="shared" si="0"/>
        <v>0</v>
      </c>
      <c r="N13" s="419">
        <f t="shared" si="9"/>
        <v>341.08063599266143</v>
      </c>
      <c r="O13" s="518">
        <f t="shared" si="10"/>
        <v>264.99234564808432</v>
      </c>
      <c r="P13" s="419">
        <f t="shared" si="11"/>
        <v>2968.0604444646974</v>
      </c>
      <c r="Q13" s="519">
        <f t="shared" si="12"/>
        <v>17206.223024529128</v>
      </c>
      <c r="R13" s="520">
        <f t="shared" si="13"/>
        <v>341.08063599266143</v>
      </c>
      <c r="S13" s="518">
        <f t="shared" si="14"/>
        <v>264.99234564808432</v>
      </c>
      <c r="T13" s="519">
        <f t="shared" si="15"/>
        <v>2968.0604444646974</v>
      </c>
      <c r="U13" s="519">
        <f t="shared" si="16"/>
        <v>20780.356450634568</v>
      </c>
      <c r="V13" s="3"/>
      <c r="W13" s="596">
        <f t="shared" si="17"/>
        <v>2003</v>
      </c>
      <c r="X13" s="1101">
        <f t="shared" si="18"/>
        <v>17206.223024529128</v>
      </c>
      <c r="Y13" s="1102">
        <f t="shared" si="19"/>
        <v>341.08063599266143</v>
      </c>
      <c r="Z13" s="1102">
        <f t="shared" si="20"/>
        <v>264.99234564808432</v>
      </c>
      <c r="AA13" s="1102">
        <f t="shared" si="21"/>
        <v>2968.0604444646974</v>
      </c>
      <c r="AB13" s="1142">
        <f t="shared" si="22"/>
        <v>20780.356450634568</v>
      </c>
      <c r="AC13" s="1102"/>
      <c r="AD13" s="1101">
        <f t="shared" si="23"/>
        <v>17206.223024529128</v>
      </c>
      <c r="AE13" s="1102">
        <f t="shared" si="24"/>
        <v>341.08063599266143</v>
      </c>
      <c r="AF13" s="1102">
        <f t="shared" si="25"/>
        <v>264.99234564808432</v>
      </c>
      <c r="AG13" s="1102">
        <f t="shared" si="26"/>
        <v>2968.0604444646974</v>
      </c>
      <c r="AH13" s="1142">
        <f t="shared" si="27"/>
        <v>20780.356450634568</v>
      </c>
      <c r="AI13" s="1422"/>
      <c r="AJ13" s="1101">
        <f t="shared" si="28"/>
        <v>17206.223024529128</v>
      </c>
      <c r="AK13" s="1102">
        <f t="shared" si="29"/>
        <v>341.08063599266143</v>
      </c>
      <c r="AL13" s="1102">
        <f t="shared" si="30"/>
        <v>264.99234564808432</v>
      </c>
      <c r="AM13" s="1102">
        <f t="shared" si="31"/>
        <v>2968.0604444646974</v>
      </c>
      <c r="AN13" s="1142">
        <f t="shared" si="32"/>
        <v>20780.356450634568</v>
      </c>
      <c r="AO13" s="1419"/>
      <c r="AP13" s="1101">
        <f t="shared" si="33"/>
        <v>17206.223024529128</v>
      </c>
      <c r="AQ13" s="1102">
        <f t="shared" si="34"/>
        <v>341.08063599266143</v>
      </c>
      <c r="AR13" s="1102">
        <f t="shared" si="35"/>
        <v>264.99234564808432</v>
      </c>
      <c r="AS13" s="1102">
        <f t="shared" si="36"/>
        <v>2968.0604444646974</v>
      </c>
      <c r="AT13" s="1142">
        <f t="shared" si="37"/>
        <v>20780.356450634568</v>
      </c>
      <c r="AU13" s="1414"/>
      <c r="AV13" s="1101">
        <f t="shared" si="38"/>
        <v>17206.223024529128</v>
      </c>
      <c r="AW13" s="1102">
        <f t="shared" si="39"/>
        <v>341.08063599266143</v>
      </c>
      <c r="AX13" s="1102">
        <f t="shared" si="40"/>
        <v>264.99234564808432</v>
      </c>
      <c r="AY13" s="1102">
        <f t="shared" si="41"/>
        <v>2968.0604444646974</v>
      </c>
      <c r="AZ13" s="1142">
        <f t="shared" si="42"/>
        <v>20780.356450634568</v>
      </c>
      <c r="BA13" s="1424"/>
      <c r="BB13" s="1101">
        <f t="shared" si="43"/>
        <v>17206.223024529128</v>
      </c>
      <c r="BC13" s="1102">
        <f t="shared" si="44"/>
        <v>341.08063599266143</v>
      </c>
      <c r="BD13" s="1102">
        <f t="shared" si="45"/>
        <v>264.99234564808432</v>
      </c>
      <c r="BE13" s="1102">
        <f t="shared" si="46"/>
        <v>2968.0604444646974</v>
      </c>
      <c r="BF13" s="1142">
        <f t="shared" si="47"/>
        <v>20780.356450634568</v>
      </c>
      <c r="BG13" s="1427"/>
      <c r="BH13" s="596">
        <f t="shared" si="48"/>
        <v>2003</v>
      </c>
      <c r="BI13" s="1102">
        <f>'Baseline data (from input)'!AZ59</f>
        <v>86.68891227114166</v>
      </c>
      <c r="BJ13" s="576">
        <f>'Baseline data (from input)'!BA59</f>
        <v>0.14851353327100256</v>
      </c>
      <c r="BK13" s="1103"/>
      <c r="BL13" s="1101">
        <f t="shared" si="49"/>
        <v>86.68891227114166</v>
      </c>
      <c r="BM13" s="576">
        <f t="shared" si="50"/>
        <v>0.14851353327100256</v>
      </c>
      <c r="BN13" s="1103"/>
      <c r="BO13" s="1102">
        <f t="shared" si="6"/>
        <v>86.68891227114166</v>
      </c>
      <c r="BP13" s="417">
        <f t="shared" si="6"/>
        <v>0.14851353327100256</v>
      </c>
      <c r="BQ13" s="1103"/>
      <c r="BR13" s="1101">
        <f>'Baseline data (from input)'!AZ59</f>
        <v>86.68891227114166</v>
      </c>
      <c r="BS13" s="417">
        <f>'Baseline data (from input)'!BA59</f>
        <v>0.14851353327100256</v>
      </c>
      <c r="BT13" s="1103"/>
      <c r="BU13" s="1102">
        <f t="shared" si="7"/>
        <v>86.68891227114166</v>
      </c>
      <c r="BV13" s="417">
        <f t="shared" si="7"/>
        <v>0.14851353327100256</v>
      </c>
      <c r="BW13" s="1103"/>
      <c r="BX13" s="1101">
        <f t="shared" si="51"/>
        <v>86.68891227114166</v>
      </c>
      <c r="BY13" s="417">
        <f t="shared" si="52"/>
        <v>0.14851353327100256</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840.61958443899709</v>
      </c>
      <c r="D14" s="3">
        <f>'4B Biological treatment '!T67</f>
        <v>0</v>
      </c>
      <c r="E14" s="178">
        <f>'4B Biological treatment '!U67</f>
        <v>8.8720750845051715</v>
      </c>
      <c r="F14" s="178">
        <f>'4B Biological treatment '!W67</f>
        <v>0.53232450507031026</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17653.011273218937</v>
      </c>
      <c r="M14" s="3">
        <f t="shared" si="0"/>
        <v>0</v>
      </c>
      <c r="N14" s="419">
        <f t="shared" si="9"/>
        <v>351.33417334640478</v>
      </c>
      <c r="O14" s="518">
        <f t="shared" si="10"/>
        <v>268.1470164296091</v>
      </c>
      <c r="P14" s="419">
        <f t="shared" si="11"/>
        <v>3003.3944973749908</v>
      </c>
      <c r="Q14" s="519">
        <f t="shared" si="12"/>
        <v>17653.011273218937</v>
      </c>
      <c r="R14" s="520">
        <f t="shared" si="13"/>
        <v>351.33417334640478</v>
      </c>
      <c r="S14" s="518">
        <f t="shared" si="14"/>
        <v>268.1470164296091</v>
      </c>
      <c r="T14" s="519">
        <f t="shared" si="15"/>
        <v>3003.3944973749908</v>
      </c>
      <c r="U14" s="519">
        <f t="shared" si="16"/>
        <v>21275.886960369939</v>
      </c>
      <c r="V14" s="3"/>
      <c r="W14" s="596">
        <f t="shared" si="17"/>
        <v>2004</v>
      </c>
      <c r="X14" s="1101">
        <f t="shared" si="18"/>
        <v>17653.011273218937</v>
      </c>
      <c r="Y14" s="1102">
        <f t="shared" si="19"/>
        <v>351.33417334640478</v>
      </c>
      <c r="Z14" s="1102">
        <f t="shared" si="20"/>
        <v>268.1470164296091</v>
      </c>
      <c r="AA14" s="1102">
        <f t="shared" si="21"/>
        <v>3003.3944973749908</v>
      </c>
      <c r="AB14" s="1142">
        <f t="shared" si="22"/>
        <v>21275.886960369939</v>
      </c>
      <c r="AC14" s="1102"/>
      <c r="AD14" s="1101">
        <f t="shared" si="23"/>
        <v>17653.011273218937</v>
      </c>
      <c r="AE14" s="1102">
        <f t="shared" si="24"/>
        <v>351.33417334640478</v>
      </c>
      <c r="AF14" s="1102">
        <f t="shared" si="25"/>
        <v>268.1470164296091</v>
      </c>
      <c r="AG14" s="1102">
        <f t="shared" si="26"/>
        <v>3003.3944973749908</v>
      </c>
      <c r="AH14" s="1142">
        <f t="shared" si="27"/>
        <v>21275.886960369939</v>
      </c>
      <c r="AI14" s="1422"/>
      <c r="AJ14" s="1101">
        <f t="shared" si="28"/>
        <v>17653.011273218937</v>
      </c>
      <c r="AK14" s="1102">
        <f t="shared" si="29"/>
        <v>351.33417334640478</v>
      </c>
      <c r="AL14" s="1102">
        <f t="shared" si="30"/>
        <v>268.1470164296091</v>
      </c>
      <c r="AM14" s="1102">
        <f t="shared" si="31"/>
        <v>3003.3944973749908</v>
      </c>
      <c r="AN14" s="1142">
        <f t="shared" si="32"/>
        <v>21275.886960369939</v>
      </c>
      <c r="AO14" s="1419"/>
      <c r="AP14" s="1101">
        <f t="shared" si="33"/>
        <v>17653.011273218937</v>
      </c>
      <c r="AQ14" s="1102">
        <f t="shared" si="34"/>
        <v>351.33417334640478</v>
      </c>
      <c r="AR14" s="1102">
        <f t="shared" si="35"/>
        <v>268.1470164296091</v>
      </c>
      <c r="AS14" s="1102">
        <f t="shared" si="36"/>
        <v>3003.3944973749908</v>
      </c>
      <c r="AT14" s="1142">
        <f t="shared" si="37"/>
        <v>21275.886960369939</v>
      </c>
      <c r="AU14" s="1414"/>
      <c r="AV14" s="1101">
        <f t="shared" si="38"/>
        <v>17653.011273218937</v>
      </c>
      <c r="AW14" s="1102">
        <f t="shared" si="39"/>
        <v>351.33417334640478</v>
      </c>
      <c r="AX14" s="1102">
        <f t="shared" si="40"/>
        <v>268.1470164296091</v>
      </c>
      <c r="AY14" s="1102">
        <f t="shared" si="41"/>
        <v>3003.3944973749908</v>
      </c>
      <c r="AZ14" s="1142">
        <f t="shared" si="42"/>
        <v>21275.886960369939</v>
      </c>
      <c r="BA14" s="1424"/>
      <c r="BB14" s="1101">
        <f t="shared" si="43"/>
        <v>17653.011273218937</v>
      </c>
      <c r="BC14" s="1102">
        <f t="shared" si="44"/>
        <v>351.33417334640478</v>
      </c>
      <c r="BD14" s="1102">
        <f t="shared" si="45"/>
        <v>268.1470164296091</v>
      </c>
      <c r="BE14" s="1102">
        <f t="shared" si="46"/>
        <v>3003.3944973749908</v>
      </c>
      <c r="BF14" s="1142">
        <f t="shared" si="47"/>
        <v>21275.886960369939</v>
      </c>
      <c r="BG14" s="1427"/>
      <c r="BH14" s="596">
        <f t="shared" si="48"/>
        <v>2004</v>
      </c>
      <c r="BI14" s="1102">
        <f>'Baseline data (from input)'!AZ60</f>
        <v>89.739375778625487</v>
      </c>
      <c r="BJ14" s="576">
        <f>'Baseline data (from input)'!BA60</f>
        <v>0.15516280087799594</v>
      </c>
      <c r="BK14" s="1103"/>
      <c r="BL14" s="1101">
        <f t="shared" si="49"/>
        <v>89.739375778625487</v>
      </c>
      <c r="BM14" s="576">
        <f t="shared" si="50"/>
        <v>0.15516280087799594</v>
      </c>
      <c r="BN14" s="1103"/>
      <c r="BO14" s="1102">
        <f t="shared" si="6"/>
        <v>89.739375778625487</v>
      </c>
      <c r="BP14" s="417">
        <f t="shared" si="6"/>
        <v>0.15516280087799594</v>
      </c>
      <c r="BQ14" s="1103"/>
      <c r="BR14" s="1101">
        <f>'Baseline data (from input)'!AZ60</f>
        <v>89.739375778625487</v>
      </c>
      <c r="BS14" s="417">
        <f>'Baseline data (from input)'!BA60</f>
        <v>0.15516280087799594</v>
      </c>
      <c r="BT14" s="1103"/>
      <c r="BU14" s="1102">
        <f t="shared" si="7"/>
        <v>89.739375778625487</v>
      </c>
      <c r="BV14" s="417">
        <f t="shared" si="7"/>
        <v>0.15516280087799594</v>
      </c>
      <c r="BW14" s="1103"/>
      <c r="BX14" s="1101">
        <f t="shared" si="51"/>
        <v>89.739375778625487</v>
      </c>
      <c r="BY14" s="417">
        <f t="shared" si="52"/>
        <v>0.15516280087799594</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859.36785637779712</v>
      </c>
      <c r="D15" s="3">
        <f>'4B Biological treatment '!T68</f>
        <v>0</v>
      </c>
      <c r="E15" s="178">
        <f>'4B Biological treatment '!U68</f>
        <v>9.1743886374952961</v>
      </c>
      <c r="F15" s="178">
        <f>'4B Biological treatment '!W68</f>
        <v>0.55046331824971773</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18046.724983933738</v>
      </c>
      <c r="M15" s="3">
        <f t="shared" si="0"/>
        <v>0</v>
      </c>
      <c r="N15" s="419">
        <f t="shared" si="9"/>
        <v>363.30579004481376</v>
      </c>
      <c r="O15" s="518">
        <f t="shared" si="10"/>
        <v>271.20974780766511</v>
      </c>
      <c r="P15" s="419">
        <f t="shared" si="11"/>
        <v>3037.6987782514689</v>
      </c>
      <c r="Q15" s="519">
        <f t="shared" si="12"/>
        <v>18046.724983933738</v>
      </c>
      <c r="R15" s="520">
        <f t="shared" si="13"/>
        <v>363.30579004481376</v>
      </c>
      <c r="S15" s="518">
        <f t="shared" si="14"/>
        <v>271.20974780766511</v>
      </c>
      <c r="T15" s="519">
        <f t="shared" si="15"/>
        <v>3037.6987782514689</v>
      </c>
      <c r="U15" s="519">
        <f t="shared" si="16"/>
        <v>21718.939300037688</v>
      </c>
      <c r="V15" s="3"/>
      <c r="W15" s="596">
        <f t="shared" si="17"/>
        <v>2005</v>
      </c>
      <c r="X15" s="1101">
        <f t="shared" si="18"/>
        <v>18046.724983933738</v>
      </c>
      <c r="Y15" s="1102">
        <f t="shared" si="19"/>
        <v>363.30579004481376</v>
      </c>
      <c r="Z15" s="1102">
        <f t="shared" si="20"/>
        <v>271.20974780766511</v>
      </c>
      <c r="AA15" s="1102">
        <f t="shared" si="21"/>
        <v>3037.6987782514689</v>
      </c>
      <c r="AB15" s="1142">
        <f t="shared" si="22"/>
        <v>21718.939300037688</v>
      </c>
      <c r="AC15" s="1102"/>
      <c r="AD15" s="1101">
        <f t="shared" si="23"/>
        <v>18046.724983933738</v>
      </c>
      <c r="AE15" s="1102">
        <f t="shared" si="24"/>
        <v>363.30579004481376</v>
      </c>
      <c r="AF15" s="1102">
        <f t="shared" si="25"/>
        <v>271.20974780766511</v>
      </c>
      <c r="AG15" s="1102">
        <f t="shared" si="26"/>
        <v>3037.6987782514689</v>
      </c>
      <c r="AH15" s="1142">
        <f t="shared" si="27"/>
        <v>21718.939300037688</v>
      </c>
      <c r="AI15" s="1422"/>
      <c r="AJ15" s="1101">
        <f t="shared" si="28"/>
        <v>18046.724983933738</v>
      </c>
      <c r="AK15" s="1102">
        <f t="shared" si="29"/>
        <v>363.30579004481376</v>
      </c>
      <c r="AL15" s="1102">
        <f t="shared" si="30"/>
        <v>271.20974780766511</v>
      </c>
      <c r="AM15" s="1102">
        <f t="shared" si="31"/>
        <v>3037.6987782514689</v>
      </c>
      <c r="AN15" s="1142">
        <f t="shared" si="32"/>
        <v>21718.939300037688</v>
      </c>
      <c r="AO15" s="1419"/>
      <c r="AP15" s="1101">
        <f t="shared" si="33"/>
        <v>18046.724983933738</v>
      </c>
      <c r="AQ15" s="1102">
        <f t="shared" si="34"/>
        <v>363.30579004481376</v>
      </c>
      <c r="AR15" s="1102">
        <f t="shared" si="35"/>
        <v>271.20974780766511</v>
      </c>
      <c r="AS15" s="1102">
        <f t="shared" si="36"/>
        <v>3037.6987782514689</v>
      </c>
      <c r="AT15" s="1142">
        <f t="shared" si="37"/>
        <v>21718.939300037688</v>
      </c>
      <c r="AU15" s="1414"/>
      <c r="AV15" s="1101">
        <f t="shared" si="38"/>
        <v>18046.724983933738</v>
      </c>
      <c r="AW15" s="1102">
        <f t="shared" si="39"/>
        <v>363.30579004481376</v>
      </c>
      <c r="AX15" s="1102">
        <f t="shared" si="40"/>
        <v>271.20974780766511</v>
      </c>
      <c r="AY15" s="1102">
        <f t="shared" si="41"/>
        <v>3037.6987782514689</v>
      </c>
      <c r="AZ15" s="1142">
        <f t="shared" si="42"/>
        <v>21718.939300037688</v>
      </c>
      <c r="BA15" s="1424"/>
      <c r="BB15" s="1101">
        <f t="shared" si="43"/>
        <v>18046.724983933738</v>
      </c>
      <c r="BC15" s="1102">
        <f t="shared" si="44"/>
        <v>363.30579004481376</v>
      </c>
      <c r="BD15" s="1102">
        <f t="shared" si="45"/>
        <v>271.20974780766511</v>
      </c>
      <c r="BE15" s="1102">
        <f t="shared" si="46"/>
        <v>3037.6987782514689</v>
      </c>
      <c r="BF15" s="1142">
        <f t="shared" si="47"/>
        <v>21718.939300037688</v>
      </c>
      <c r="BG15" s="1427"/>
      <c r="BH15" s="596">
        <f t="shared" si="48"/>
        <v>2005</v>
      </c>
      <c r="BI15" s="1102">
        <f>'Baseline data (from input)'!AZ61</f>
        <v>93.358291455940389</v>
      </c>
      <c r="BJ15" s="576">
        <f>'Baseline data (from input)'!BA61</f>
        <v>0.16187656878153692</v>
      </c>
      <c r="BK15" s="1103"/>
      <c r="BL15" s="1101">
        <f t="shared" si="49"/>
        <v>93.358291455940389</v>
      </c>
      <c r="BM15" s="576">
        <f t="shared" si="50"/>
        <v>0.16187656878153692</v>
      </c>
      <c r="BN15" s="1103"/>
      <c r="BO15" s="1102">
        <f t="shared" si="6"/>
        <v>93.358291455940389</v>
      </c>
      <c r="BP15" s="417">
        <f t="shared" si="6"/>
        <v>0.16187656878153692</v>
      </c>
      <c r="BQ15" s="1103"/>
      <c r="BR15" s="1101">
        <f>'Baseline data (from input)'!AZ61</f>
        <v>93.358291455940389</v>
      </c>
      <c r="BS15" s="417">
        <f>'Baseline data (from input)'!BA61</f>
        <v>0.16187656878153692</v>
      </c>
      <c r="BT15" s="1103"/>
      <c r="BU15" s="1102">
        <f t="shared" si="7"/>
        <v>93.358291455940389</v>
      </c>
      <c r="BV15" s="417">
        <f t="shared" si="7"/>
        <v>0.16187656878153692</v>
      </c>
      <c r="BW15" s="1103"/>
      <c r="BX15" s="1101">
        <f t="shared" si="51"/>
        <v>93.358291455940389</v>
      </c>
      <c r="BY15" s="417">
        <f t="shared" si="52"/>
        <v>0.16187656878153692</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875.72357501711747</v>
      </c>
      <c r="D16" s="3">
        <f>'4B Biological treatment '!T69</f>
        <v>0</v>
      </c>
      <c r="E16" s="178">
        <f>'4B Biological treatment '!U69</f>
        <v>9.5069571111319693</v>
      </c>
      <c r="F16" s="178">
        <f>'4B Biological treatment '!W69</f>
        <v>0.57041742666791817</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18390.195075359468</v>
      </c>
      <c r="M16" s="3">
        <f t="shared" si="0"/>
        <v>0</v>
      </c>
      <c r="N16" s="419">
        <f t="shared" si="9"/>
        <v>376.47550160082596</v>
      </c>
      <c r="O16" s="518">
        <f t="shared" si="10"/>
        <v>274.27247918572107</v>
      </c>
      <c r="P16" s="419">
        <f t="shared" si="11"/>
        <v>3072.0030591279478</v>
      </c>
      <c r="Q16" s="519">
        <f t="shared" si="12"/>
        <v>18390.195075359468</v>
      </c>
      <c r="R16" s="520">
        <f t="shared" si="13"/>
        <v>376.47550160082596</v>
      </c>
      <c r="S16" s="518">
        <f t="shared" si="14"/>
        <v>274.27247918572107</v>
      </c>
      <c r="T16" s="519">
        <f t="shared" si="15"/>
        <v>3072.0030591279478</v>
      </c>
      <c r="U16" s="519">
        <f t="shared" si="16"/>
        <v>22112.946115273964</v>
      </c>
      <c r="V16" s="3"/>
      <c r="W16" s="596">
        <f t="shared" si="17"/>
        <v>2006</v>
      </c>
      <c r="X16" s="1101">
        <f t="shared" si="18"/>
        <v>18390.195075359468</v>
      </c>
      <c r="Y16" s="1102">
        <f t="shared" si="19"/>
        <v>376.47550160082596</v>
      </c>
      <c r="Z16" s="1102">
        <f t="shared" si="20"/>
        <v>274.27247918572107</v>
      </c>
      <c r="AA16" s="1102">
        <f t="shared" si="21"/>
        <v>3072.0030591279478</v>
      </c>
      <c r="AB16" s="1142">
        <f t="shared" si="22"/>
        <v>22112.946115273964</v>
      </c>
      <c r="AC16" s="1102"/>
      <c r="AD16" s="1101">
        <f t="shared" si="23"/>
        <v>18390.195075359468</v>
      </c>
      <c r="AE16" s="1102">
        <f t="shared" si="24"/>
        <v>376.47550160082596</v>
      </c>
      <c r="AF16" s="1102">
        <f t="shared" si="25"/>
        <v>274.27247918572107</v>
      </c>
      <c r="AG16" s="1102">
        <f t="shared" si="26"/>
        <v>3072.0030591279478</v>
      </c>
      <c r="AH16" s="1142">
        <f t="shared" si="27"/>
        <v>22112.946115273964</v>
      </c>
      <c r="AI16" s="1422"/>
      <c r="AJ16" s="1101">
        <f t="shared" si="28"/>
        <v>18390.195075359468</v>
      </c>
      <c r="AK16" s="1102">
        <f t="shared" si="29"/>
        <v>376.47550160082596</v>
      </c>
      <c r="AL16" s="1102">
        <f t="shared" si="30"/>
        <v>274.27247918572107</v>
      </c>
      <c r="AM16" s="1102">
        <f t="shared" si="31"/>
        <v>3072.0030591279478</v>
      </c>
      <c r="AN16" s="1142">
        <f t="shared" si="32"/>
        <v>22112.946115273964</v>
      </c>
      <c r="AO16" s="1419"/>
      <c r="AP16" s="1101">
        <f t="shared" si="33"/>
        <v>18390.195075359468</v>
      </c>
      <c r="AQ16" s="1102">
        <f t="shared" si="34"/>
        <v>376.47550160082596</v>
      </c>
      <c r="AR16" s="1102">
        <f t="shared" si="35"/>
        <v>274.27247918572107</v>
      </c>
      <c r="AS16" s="1102">
        <f t="shared" si="36"/>
        <v>3072.0030591279478</v>
      </c>
      <c r="AT16" s="1142">
        <f t="shared" si="37"/>
        <v>22112.946115273964</v>
      </c>
      <c r="AU16" s="1414"/>
      <c r="AV16" s="1101">
        <f t="shared" si="38"/>
        <v>18390.195075359468</v>
      </c>
      <c r="AW16" s="1102">
        <f t="shared" si="39"/>
        <v>376.47550160082596</v>
      </c>
      <c r="AX16" s="1102">
        <f t="shared" si="40"/>
        <v>274.27247918572107</v>
      </c>
      <c r="AY16" s="1102">
        <f t="shared" si="41"/>
        <v>3072.0030591279478</v>
      </c>
      <c r="AZ16" s="1142">
        <f t="shared" si="42"/>
        <v>22112.946115273964</v>
      </c>
      <c r="BA16" s="1424"/>
      <c r="BB16" s="1101">
        <f t="shared" si="43"/>
        <v>18390.195075359468</v>
      </c>
      <c r="BC16" s="1102">
        <f t="shared" si="44"/>
        <v>376.47550160082596</v>
      </c>
      <c r="BD16" s="1102">
        <f t="shared" si="45"/>
        <v>274.27247918572107</v>
      </c>
      <c r="BE16" s="1102">
        <f t="shared" si="46"/>
        <v>3072.0030591279478</v>
      </c>
      <c r="BF16" s="1142">
        <f t="shared" si="47"/>
        <v>22112.946115273964</v>
      </c>
      <c r="BG16" s="1427"/>
      <c r="BH16" s="596">
        <f t="shared" si="48"/>
        <v>2006</v>
      </c>
      <c r="BI16" s="1102">
        <f>'Baseline data (from input)'!AZ62</f>
        <v>97.367692650767196</v>
      </c>
      <c r="BJ16" s="576">
        <f>'Baseline data (from input)'!BA62</f>
        <v>0.16873910759300498</v>
      </c>
      <c r="BK16" s="1103"/>
      <c r="BL16" s="1101">
        <f t="shared" si="49"/>
        <v>97.367692650767196</v>
      </c>
      <c r="BM16" s="576">
        <f t="shared" si="50"/>
        <v>0.16873910759300498</v>
      </c>
      <c r="BN16" s="1103"/>
      <c r="BO16" s="1102">
        <f t="shared" si="6"/>
        <v>97.367692650767196</v>
      </c>
      <c r="BP16" s="417">
        <f t="shared" si="6"/>
        <v>0.16873910759300498</v>
      </c>
      <c r="BQ16" s="1103"/>
      <c r="BR16" s="1101">
        <f>'Baseline data (from input)'!AZ62</f>
        <v>97.367692650767196</v>
      </c>
      <c r="BS16" s="417">
        <f>'Baseline data (from input)'!BA62</f>
        <v>0.16873910759300498</v>
      </c>
      <c r="BT16" s="1103"/>
      <c r="BU16" s="1102">
        <f t="shared" si="7"/>
        <v>97.367692650767196</v>
      </c>
      <c r="BV16" s="417">
        <f t="shared" si="7"/>
        <v>0.16873910759300498</v>
      </c>
      <c r="BW16" s="1103"/>
      <c r="BX16" s="1101">
        <f t="shared" si="51"/>
        <v>97.367692650767196</v>
      </c>
      <c r="BY16" s="417">
        <f t="shared" si="52"/>
        <v>0.16873910759300498</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889.68294710567761</v>
      </c>
      <c r="D17" s="3">
        <f>'4B Biological treatment '!T70</f>
        <v>0</v>
      </c>
      <c r="E17" s="178">
        <f>'4B Biological treatment '!U70</f>
        <v>9.8418440635703632</v>
      </c>
      <c r="F17" s="178">
        <f>'4B Biological treatment '!W70</f>
        <v>0.5905106438142218</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18683.341889219231</v>
      </c>
      <c r="M17" s="3">
        <f t="shared" si="0"/>
        <v>0</v>
      </c>
      <c r="N17" s="419">
        <f t="shared" si="9"/>
        <v>389.73702491738641</v>
      </c>
      <c r="O17" s="518">
        <f t="shared" si="10"/>
        <v>277.29498707475938</v>
      </c>
      <c r="P17" s="419">
        <f t="shared" si="11"/>
        <v>3105.8568147396318</v>
      </c>
      <c r="Q17" s="519">
        <f t="shared" si="12"/>
        <v>18683.341889219231</v>
      </c>
      <c r="R17" s="520">
        <f t="shared" si="13"/>
        <v>389.73702491738641</v>
      </c>
      <c r="S17" s="518">
        <f t="shared" si="14"/>
        <v>277.29498707475938</v>
      </c>
      <c r="T17" s="519">
        <f t="shared" si="15"/>
        <v>3105.8568147396318</v>
      </c>
      <c r="U17" s="519">
        <f t="shared" si="16"/>
        <v>22456.230715951009</v>
      </c>
      <c r="V17" s="3"/>
      <c r="W17" s="596">
        <f t="shared" si="17"/>
        <v>2007</v>
      </c>
      <c r="X17" s="1101">
        <f t="shared" si="18"/>
        <v>18683.341889219231</v>
      </c>
      <c r="Y17" s="1102">
        <f t="shared" si="19"/>
        <v>389.73702491738641</v>
      </c>
      <c r="Z17" s="1102">
        <f t="shared" si="20"/>
        <v>277.29498707475938</v>
      </c>
      <c r="AA17" s="1102">
        <f t="shared" si="21"/>
        <v>3105.8568147396318</v>
      </c>
      <c r="AB17" s="1142">
        <f t="shared" si="22"/>
        <v>22456.230715951009</v>
      </c>
      <c r="AC17" s="1102"/>
      <c r="AD17" s="1101">
        <f t="shared" si="23"/>
        <v>18683.341889219231</v>
      </c>
      <c r="AE17" s="1102">
        <f t="shared" si="24"/>
        <v>389.73702491738641</v>
      </c>
      <c r="AF17" s="1102">
        <f t="shared" si="25"/>
        <v>277.29498707475938</v>
      </c>
      <c r="AG17" s="1102">
        <f t="shared" si="26"/>
        <v>3105.8568147396318</v>
      </c>
      <c r="AH17" s="1142">
        <f t="shared" si="27"/>
        <v>22456.230715951009</v>
      </c>
      <c r="AI17" s="1422"/>
      <c r="AJ17" s="1101">
        <f t="shared" si="28"/>
        <v>18683.341889219231</v>
      </c>
      <c r="AK17" s="1102">
        <f t="shared" si="29"/>
        <v>389.73702491738641</v>
      </c>
      <c r="AL17" s="1102">
        <f t="shared" si="30"/>
        <v>277.29498707475938</v>
      </c>
      <c r="AM17" s="1102">
        <f t="shared" si="31"/>
        <v>3105.8568147396318</v>
      </c>
      <c r="AN17" s="1142">
        <f t="shared" si="32"/>
        <v>22456.230715951009</v>
      </c>
      <c r="AO17" s="1419"/>
      <c r="AP17" s="1101">
        <f t="shared" si="33"/>
        <v>18683.341889219231</v>
      </c>
      <c r="AQ17" s="1102">
        <f t="shared" si="34"/>
        <v>389.73702491738641</v>
      </c>
      <c r="AR17" s="1102">
        <f t="shared" si="35"/>
        <v>277.29498707475938</v>
      </c>
      <c r="AS17" s="1102">
        <f t="shared" si="36"/>
        <v>3105.8568147396318</v>
      </c>
      <c r="AT17" s="1142">
        <f t="shared" si="37"/>
        <v>22456.230715951009</v>
      </c>
      <c r="AU17" s="1414"/>
      <c r="AV17" s="1101">
        <f t="shared" si="38"/>
        <v>18683.341889219231</v>
      </c>
      <c r="AW17" s="1102">
        <f t="shared" si="39"/>
        <v>389.73702491738641</v>
      </c>
      <c r="AX17" s="1102">
        <f t="shared" si="40"/>
        <v>277.29498707475938</v>
      </c>
      <c r="AY17" s="1102">
        <f t="shared" si="41"/>
        <v>3105.8568147396318</v>
      </c>
      <c r="AZ17" s="1142">
        <f t="shared" si="42"/>
        <v>22456.230715951009</v>
      </c>
      <c r="BA17" s="1424"/>
      <c r="BB17" s="1101">
        <f t="shared" si="43"/>
        <v>18683.341889219231</v>
      </c>
      <c r="BC17" s="1102">
        <f t="shared" si="44"/>
        <v>389.73702491738641</v>
      </c>
      <c r="BD17" s="1102">
        <f t="shared" si="45"/>
        <v>277.29498707475938</v>
      </c>
      <c r="BE17" s="1102">
        <f t="shared" si="46"/>
        <v>3105.8568147396318</v>
      </c>
      <c r="BF17" s="1142">
        <f t="shared" si="47"/>
        <v>22456.230715951009</v>
      </c>
      <c r="BG17" s="1427"/>
      <c r="BH17" s="596">
        <f t="shared" si="48"/>
        <v>2007</v>
      </c>
      <c r="BI17" s="1102">
        <f>'Baseline data (from input)'!AZ63</f>
        <v>101.41073268047464</v>
      </c>
      <c r="BJ17" s="576">
        <f>'Baseline data (from input)'!BA63</f>
        <v>0.17580272896813717</v>
      </c>
      <c r="BK17" s="1103"/>
      <c r="BL17" s="1101">
        <f t="shared" si="49"/>
        <v>101.41073268047464</v>
      </c>
      <c r="BM17" s="576">
        <f t="shared" si="50"/>
        <v>0.17580272896813717</v>
      </c>
      <c r="BN17" s="1103"/>
      <c r="BO17" s="1102">
        <f t="shared" si="6"/>
        <v>101.41073268047464</v>
      </c>
      <c r="BP17" s="417">
        <f t="shared" si="6"/>
        <v>0.17580272896813717</v>
      </c>
      <c r="BQ17" s="1103"/>
      <c r="BR17" s="1101">
        <f>'Baseline data (from input)'!AZ63</f>
        <v>101.41073268047464</v>
      </c>
      <c r="BS17" s="417">
        <f>'Baseline data (from input)'!BA63</f>
        <v>0.17580272896813717</v>
      </c>
      <c r="BT17" s="1103"/>
      <c r="BU17" s="1102">
        <f t="shared" si="7"/>
        <v>101.41073268047464</v>
      </c>
      <c r="BV17" s="417">
        <f t="shared" si="7"/>
        <v>0.17580272896813717</v>
      </c>
      <c r="BW17" s="1103"/>
      <c r="BX17" s="1101">
        <f t="shared" si="51"/>
        <v>101.41073268047464</v>
      </c>
      <c r="BY17" s="417">
        <f t="shared" si="52"/>
        <v>0.17580272896813717</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901.08450559142307</v>
      </c>
      <c r="D18" s="3">
        <f>'4B Biological treatment '!T71</f>
        <v>0</v>
      </c>
      <c r="E18" s="178">
        <f>'4B Biological treatment '!U71</f>
        <v>10.069602347249996</v>
      </c>
      <c r="F18" s="178">
        <f>'4B Biological treatment '!W71</f>
        <v>0.60417614083499971</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18922.774617419884</v>
      </c>
      <c r="M18" s="3">
        <f t="shared" si="0"/>
        <v>0</v>
      </c>
      <c r="N18" s="419">
        <f t="shared" si="9"/>
        <v>398.75625295109984</v>
      </c>
      <c r="O18" s="518">
        <f t="shared" si="10"/>
        <v>280.37495709096584</v>
      </c>
      <c r="P18" s="419">
        <f t="shared" si="11"/>
        <v>3140.3541778724511</v>
      </c>
      <c r="Q18" s="519">
        <f t="shared" si="12"/>
        <v>18922.774617419884</v>
      </c>
      <c r="R18" s="520">
        <f t="shared" si="13"/>
        <v>398.75625295109984</v>
      </c>
      <c r="S18" s="518">
        <f t="shared" si="14"/>
        <v>280.37495709096584</v>
      </c>
      <c r="T18" s="519">
        <f t="shared" si="15"/>
        <v>3140.3541778724511</v>
      </c>
      <c r="U18" s="519">
        <f t="shared" si="16"/>
        <v>22742.260005334403</v>
      </c>
      <c r="V18" s="3"/>
      <c r="W18" s="596">
        <f t="shared" si="17"/>
        <v>2008</v>
      </c>
      <c r="X18" s="1101">
        <f t="shared" si="18"/>
        <v>18922.774617419884</v>
      </c>
      <c r="Y18" s="1102">
        <f t="shared" si="19"/>
        <v>398.75625295109984</v>
      </c>
      <c r="Z18" s="1102">
        <f t="shared" si="20"/>
        <v>280.37495709096584</v>
      </c>
      <c r="AA18" s="1102">
        <f t="shared" si="21"/>
        <v>3140.3541778724511</v>
      </c>
      <c r="AB18" s="1142">
        <f t="shared" si="22"/>
        <v>22742.260005334403</v>
      </c>
      <c r="AC18" s="1102"/>
      <c r="AD18" s="1101">
        <f t="shared" si="23"/>
        <v>18922.774617419884</v>
      </c>
      <c r="AE18" s="1102">
        <f t="shared" si="24"/>
        <v>398.75625295109984</v>
      </c>
      <c r="AF18" s="1102">
        <f t="shared" si="25"/>
        <v>280.37495709096584</v>
      </c>
      <c r="AG18" s="1102">
        <f t="shared" si="26"/>
        <v>3140.3541778724511</v>
      </c>
      <c r="AH18" s="1142">
        <f t="shared" si="27"/>
        <v>22742.260005334403</v>
      </c>
      <c r="AI18" s="1422"/>
      <c r="AJ18" s="1101">
        <f t="shared" si="28"/>
        <v>18922.774617419884</v>
      </c>
      <c r="AK18" s="1102">
        <f t="shared" si="29"/>
        <v>398.75625295109984</v>
      </c>
      <c r="AL18" s="1102">
        <f t="shared" si="30"/>
        <v>280.37495709096584</v>
      </c>
      <c r="AM18" s="1102">
        <f t="shared" si="31"/>
        <v>3140.3541778724511</v>
      </c>
      <c r="AN18" s="1142">
        <f t="shared" si="32"/>
        <v>22742.260005334403</v>
      </c>
      <c r="AO18" s="1419"/>
      <c r="AP18" s="1101">
        <f t="shared" si="33"/>
        <v>18922.774617419884</v>
      </c>
      <c r="AQ18" s="1102">
        <f t="shared" si="34"/>
        <v>398.75625295109984</v>
      </c>
      <c r="AR18" s="1102">
        <f t="shared" si="35"/>
        <v>280.37495709096584</v>
      </c>
      <c r="AS18" s="1102">
        <f t="shared" si="36"/>
        <v>3140.3541778724511</v>
      </c>
      <c r="AT18" s="1142">
        <f t="shared" si="37"/>
        <v>22742.260005334403</v>
      </c>
      <c r="AU18" s="1414"/>
      <c r="AV18" s="1101">
        <f t="shared" si="38"/>
        <v>18922.774617419884</v>
      </c>
      <c r="AW18" s="1102">
        <f t="shared" si="39"/>
        <v>398.75625295109984</v>
      </c>
      <c r="AX18" s="1102">
        <f t="shared" si="40"/>
        <v>280.37495709096584</v>
      </c>
      <c r="AY18" s="1102">
        <f t="shared" si="41"/>
        <v>3140.3541778724511</v>
      </c>
      <c r="AZ18" s="1142">
        <f t="shared" si="42"/>
        <v>22742.260005334403</v>
      </c>
      <c r="BA18" s="1424"/>
      <c r="BB18" s="1101">
        <f t="shared" si="43"/>
        <v>18922.774617419884</v>
      </c>
      <c r="BC18" s="1102">
        <f t="shared" si="44"/>
        <v>398.75625295109984</v>
      </c>
      <c r="BD18" s="1102">
        <f t="shared" si="45"/>
        <v>280.37495709096584</v>
      </c>
      <c r="BE18" s="1102">
        <f t="shared" si="46"/>
        <v>3140.3541778724511</v>
      </c>
      <c r="BF18" s="1142">
        <f t="shared" si="47"/>
        <v>22742.260005334403</v>
      </c>
      <c r="BG18" s="1427"/>
      <c r="BH18" s="596">
        <f t="shared" si="48"/>
        <v>2008</v>
      </c>
      <c r="BI18" s="1102">
        <f>'Baseline data (from input)'!AZ64</f>
        <v>104.06580753108338</v>
      </c>
      <c r="BJ18" s="576">
        <f>'Baseline data (from input)'!BA64</f>
        <v>0.1831353355645457</v>
      </c>
      <c r="BK18" s="1103"/>
      <c r="BL18" s="1101">
        <f t="shared" si="49"/>
        <v>104.06580753108338</v>
      </c>
      <c r="BM18" s="576">
        <f t="shared" si="50"/>
        <v>0.1831353355645457</v>
      </c>
      <c r="BN18" s="1103"/>
      <c r="BO18" s="1102">
        <f t="shared" si="6"/>
        <v>104.06580753108338</v>
      </c>
      <c r="BP18" s="417">
        <f t="shared" si="6"/>
        <v>0.1831353355645457</v>
      </c>
      <c r="BQ18" s="1103"/>
      <c r="BR18" s="1101">
        <f>'Baseline data (from input)'!AZ64</f>
        <v>104.06580753108338</v>
      </c>
      <c r="BS18" s="417">
        <f>'Baseline data (from input)'!BA64</f>
        <v>0.1831353355645457</v>
      </c>
      <c r="BT18" s="1103"/>
      <c r="BU18" s="1102">
        <f t="shared" si="7"/>
        <v>104.06580753108338</v>
      </c>
      <c r="BV18" s="417">
        <f t="shared" si="7"/>
        <v>0.1831353355645457</v>
      </c>
      <c r="BW18" s="1103"/>
      <c r="BX18" s="1101">
        <f t="shared" si="51"/>
        <v>104.06580753108338</v>
      </c>
      <c r="BY18" s="417">
        <f t="shared" si="52"/>
        <v>0.1831353355645457</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909.42389212194837</v>
      </c>
      <c r="D19" s="3">
        <f>'4B Biological treatment '!T72</f>
        <v>0</v>
      </c>
      <c r="E19" s="178">
        <f>'4B Biological treatment '!U72</f>
        <v>10.024540160397191</v>
      </c>
      <c r="F19" s="178">
        <f>'4B Biological treatment '!W72</f>
        <v>0.60147240962383142</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19097.901734560917</v>
      </c>
      <c r="M19" s="3">
        <f t="shared" si="0"/>
        <v>0</v>
      </c>
      <c r="N19" s="419">
        <f t="shared" si="9"/>
        <v>396.97179035172871</v>
      </c>
      <c r="O19" s="518">
        <f t="shared" si="10"/>
        <v>283.40321119272096</v>
      </c>
      <c r="P19" s="419">
        <f t="shared" si="11"/>
        <v>3174.2722942362484</v>
      </c>
      <c r="Q19" s="519">
        <f t="shared" si="12"/>
        <v>19097.901734560917</v>
      </c>
      <c r="R19" s="520">
        <f t="shared" si="13"/>
        <v>396.97179035172871</v>
      </c>
      <c r="S19" s="518">
        <f t="shared" si="14"/>
        <v>283.40321119272096</v>
      </c>
      <c r="T19" s="519">
        <f t="shared" si="15"/>
        <v>3174.2722942362484</v>
      </c>
      <c r="U19" s="519">
        <f t="shared" si="16"/>
        <v>22952.549030341619</v>
      </c>
      <c r="V19" s="3"/>
      <c r="W19" s="596">
        <f t="shared" si="17"/>
        <v>2009</v>
      </c>
      <c r="X19" s="1101">
        <f t="shared" si="18"/>
        <v>19097.901734560917</v>
      </c>
      <c r="Y19" s="1102">
        <f t="shared" si="19"/>
        <v>396.97179035172871</v>
      </c>
      <c r="Z19" s="1102">
        <f t="shared" si="20"/>
        <v>283.40321119272096</v>
      </c>
      <c r="AA19" s="1102">
        <f t="shared" si="21"/>
        <v>3174.2722942362484</v>
      </c>
      <c r="AB19" s="1142">
        <f t="shared" si="22"/>
        <v>22952.549030341619</v>
      </c>
      <c r="AC19" s="1102"/>
      <c r="AD19" s="1101">
        <f t="shared" si="23"/>
        <v>19097.901734560917</v>
      </c>
      <c r="AE19" s="1102">
        <f t="shared" si="24"/>
        <v>396.97179035172871</v>
      </c>
      <c r="AF19" s="1102">
        <f t="shared" si="25"/>
        <v>283.40321119272096</v>
      </c>
      <c r="AG19" s="1102">
        <f t="shared" si="26"/>
        <v>3174.2722942362484</v>
      </c>
      <c r="AH19" s="1142">
        <f t="shared" si="27"/>
        <v>22952.549030341619</v>
      </c>
      <c r="AI19" s="1422"/>
      <c r="AJ19" s="1101">
        <f t="shared" si="28"/>
        <v>19097.901734560917</v>
      </c>
      <c r="AK19" s="1102">
        <f t="shared" si="29"/>
        <v>396.97179035172871</v>
      </c>
      <c r="AL19" s="1102">
        <f t="shared" si="30"/>
        <v>283.40321119272096</v>
      </c>
      <c r="AM19" s="1102">
        <f t="shared" si="31"/>
        <v>3174.2722942362484</v>
      </c>
      <c r="AN19" s="1142">
        <f t="shared" si="32"/>
        <v>22952.549030341619</v>
      </c>
      <c r="AO19" s="1419"/>
      <c r="AP19" s="1101">
        <f t="shared" si="33"/>
        <v>19097.901734560917</v>
      </c>
      <c r="AQ19" s="1102">
        <f t="shared" si="34"/>
        <v>396.97179035172871</v>
      </c>
      <c r="AR19" s="1102">
        <f t="shared" si="35"/>
        <v>283.40321119272096</v>
      </c>
      <c r="AS19" s="1102">
        <f t="shared" si="36"/>
        <v>3174.2722942362484</v>
      </c>
      <c r="AT19" s="1142">
        <f t="shared" si="37"/>
        <v>22952.549030341619</v>
      </c>
      <c r="AU19" s="1414"/>
      <c r="AV19" s="1101">
        <f t="shared" si="38"/>
        <v>19097.901734560917</v>
      </c>
      <c r="AW19" s="1102">
        <f t="shared" si="39"/>
        <v>396.97179035172871</v>
      </c>
      <c r="AX19" s="1102">
        <f t="shared" si="40"/>
        <v>283.40321119272096</v>
      </c>
      <c r="AY19" s="1102">
        <f t="shared" si="41"/>
        <v>3174.2722942362484</v>
      </c>
      <c r="AZ19" s="1142">
        <f t="shared" si="42"/>
        <v>22952.549030341619</v>
      </c>
      <c r="BA19" s="1424"/>
      <c r="BB19" s="1101">
        <f t="shared" si="43"/>
        <v>19097.901734560917</v>
      </c>
      <c r="BC19" s="1102">
        <f t="shared" si="44"/>
        <v>396.97179035172871</v>
      </c>
      <c r="BD19" s="1102">
        <f t="shared" si="45"/>
        <v>283.40321119272096</v>
      </c>
      <c r="BE19" s="1102">
        <f t="shared" si="46"/>
        <v>3174.2722942362484</v>
      </c>
      <c r="BF19" s="1142">
        <f t="shared" si="47"/>
        <v>22952.549030341619</v>
      </c>
      <c r="BG19" s="1427"/>
      <c r="BH19" s="596">
        <f t="shared" si="48"/>
        <v>2009</v>
      </c>
      <c r="BI19" s="1102">
        <f>'Baseline data (from input)'!AZ65</f>
        <v>103.20449840426571</v>
      </c>
      <c r="BJ19" s="576">
        <f>'Baseline data (from input)'!BA65</f>
        <v>0.19067034924452517</v>
      </c>
      <c r="BK19" s="1103"/>
      <c r="BL19" s="1101">
        <f t="shared" si="49"/>
        <v>103.20449840426571</v>
      </c>
      <c r="BM19" s="576">
        <f t="shared" si="50"/>
        <v>0.19067034924452517</v>
      </c>
      <c r="BN19" s="1103"/>
      <c r="BO19" s="1102">
        <f t="shared" si="6"/>
        <v>103.20449840426571</v>
      </c>
      <c r="BP19" s="417">
        <f t="shared" si="6"/>
        <v>0.19067034924452517</v>
      </c>
      <c r="BQ19" s="1103"/>
      <c r="BR19" s="1101">
        <f>'Baseline data (from input)'!AZ65</f>
        <v>103.20449840426571</v>
      </c>
      <c r="BS19" s="417">
        <f>'Baseline data (from input)'!BA65</f>
        <v>0.19067034924452517</v>
      </c>
      <c r="BT19" s="1103"/>
      <c r="BU19" s="1102">
        <f t="shared" si="7"/>
        <v>103.20449840426571</v>
      </c>
      <c r="BV19" s="417">
        <f t="shared" si="7"/>
        <v>0.19067034924452517</v>
      </c>
      <c r="BW19" s="1103"/>
      <c r="BX19" s="1101">
        <f t="shared" si="51"/>
        <v>103.20449840426571</v>
      </c>
      <c r="BY19" s="417">
        <f t="shared" si="52"/>
        <v>0.19067034924452517</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913.96545684960563</v>
      </c>
      <c r="D20" s="3">
        <f>'4B Biological treatment '!T73</f>
        <v>0</v>
      </c>
      <c r="E20" s="178">
        <f>'4B Biological treatment '!U73</f>
        <v>11.535315942073929</v>
      </c>
      <c r="F20" s="178">
        <f>'4B Biological treatment '!W73</f>
        <v>0.69211895652443567</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19193.274593841717</v>
      </c>
      <c r="M20" s="3">
        <f t="shared" si="0"/>
        <v>0</v>
      </c>
      <c r="N20" s="419">
        <f t="shared" si="9"/>
        <v>456.79851130612758</v>
      </c>
      <c r="O20" s="518">
        <f t="shared" si="10"/>
        <v>289.10958635758124</v>
      </c>
      <c r="P20" s="419">
        <f t="shared" si="11"/>
        <v>3209.670707898656</v>
      </c>
      <c r="Q20" s="519">
        <f t="shared" si="12"/>
        <v>19193.274593841717</v>
      </c>
      <c r="R20" s="521">
        <f t="shared" si="13"/>
        <v>456.79851130612758</v>
      </c>
      <c r="S20" s="518">
        <f t="shared" si="14"/>
        <v>289.10958635758124</v>
      </c>
      <c r="T20" s="519">
        <f t="shared" si="15"/>
        <v>3209.670707898656</v>
      </c>
      <c r="U20" s="519">
        <f t="shared" si="16"/>
        <v>23148.853399404081</v>
      </c>
      <c r="V20" s="3"/>
      <c r="W20" s="596">
        <f t="shared" si="17"/>
        <v>2010</v>
      </c>
      <c r="X20" s="1101">
        <f t="shared" si="18"/>
        <v>19193.274593841717</v>
      </c>
      <c r="Y20" s="1102">
        <f t="shared" si="19"/>
        <v>456.79851130612758</v>
      </c>
      <c r="Z20" s="1102">
        <f t="shared" si="20"/>
        <v>289.10958635758124</v>
      </c>
      <c r="AA20" s="1102">
        <f t="shared" si="21"/>
        <v>3209.670707898656</v>
      </c>
      <c r="AB20" s="1142">
        <f t="shared" si="22"/>
        <v>23148.853399404081</v>
      </c>
      <c r="AC20" s="1102"/>
      <c r="AD20" s="1101">
        <f t="shared" si="23"/>
        <v>19193.274593841717</v>
      </c>
      <c r="AE20" s="1102">
        <f t="shared" si="24"/>
        <v>456.79851130612758</v>
      </c>
      <c r="AF20" s="1102">
        <f t="shared" si="25"/>
        <v>289.10958635758124</v>
      </c>
      <c r="AG20" s="1102">
        <f t="shared" si="26"/>
        <v>3209.670707898656</v>
      </c>
      <c r="AH20" s="1142">
        <f t="shared" si="27"/>
        <v>23148.853399404081</v>
      </c>
      <c r="AI20" s="1422"/>
      <c r="AJ20" s="1101">
        <f t="shared" si="28"/>
        <v>19193.274593841717</v>
      </c>
      <c r="AK20" s="1102">
        <f t="shared" si="29"/>
        <v>456.79851130612758</v>
      </c>
      <c r="AL20" s="1102">
        <f t="shared" si="30"/>
        <v>289.10958635758124</v>
      </c>
      <c r="AM20" s="1102">
        <f t="shared" si="31"/>
        <v>3209.670707898656</v>
      </c>
      <c r="AN20" s="1142">
        <f t="shared" si="32"/>
        <v>23148.853399404081</v>
      </c>
      <c r="AO20" s="1419"/>
      <c r="AP20" s="1101">
        <f t="shared" si="33"/>
        <v>19193.274593841717</v>
      </c>
      <c r="AQ20" s="1102">
        <f t="shared" si="34"/>
        <v>456.79851130612758</v>
      </c>
      <c r="AR20" s="1102">
        <f t="shared" si="35"/>
        <v>289.10958635758124</v>
      </c>
      <c r="AS20" s="1102">
        <f t="shared" si="36"/>
        <v>3209.670707898656</v>
      </c>
      <c r="AT20" s="1142">
        <f t="shared" si="37"/>
        <v>23148.853399404081</v>
      </c>
      <c r="AU20" s="1414"/>
      <c r="AV20" s="1101">
        <f t="shared" si="38"/>
        <v>19193.274593841717</v>
      </c>
      <c r="AW20" s="1102">
        <f t="shared" si="39"/>
        <v>456.79851130612758</v>
      </c>
      <c r="AX20" s="1102">
        <f t="shared" si="40"/>
        <v>289.10958635758124</v>
      </c>
      <c r="AY20" s="1102">
        <f t="shared" si="41"/>
        <v>3209.670707898656</v>
      </c>
      <c r="AZ20" s="1142">
        <f t="shared" si="42"/>
        <v>23148.853399404081</v>
      </c>
      <c r="BA20" s="1424"/>
      <c r="BB20" s="1101">
        <f t="shared" si="43"/>
        <v>19193.274593841717</v>
      </c>
      <c r="BC20" s="1102">
        <f t="shared" si="44"/>
        <v>456.79851130612758</v>
      </c>
      <c r="BD20" s="1102">
        <f t="shared" si="45"/>
        <v>289.10958635758124</v>
      </c>
      <c r="BE20" s="1102">
        <f t="shared" si="46"/>
        <v>3209.670707898656</v>
      </c>
      <c r="BF20" s="1142">
        <f t="shared" si="47"/>
        <v>23148.853399404081</v>
      </c>
      <c r="BG20" s="1427"/>
      <c r="BH20" s="596">
        <f t="shared" si="48"/>
        <v>2010</v>
      </c>
      <c r="BI20" s="1102">
        <f>'Baseline data (from input)'!AZ66</f>
        <v>104.82940175732732</v>
      </c>
      <c r="BJ20" s="576">
        <f>'Baseline data (from input)'!BA66</f>
        <v>0.20921052286095793</v>
      </c>
      <c r="BK20" s="1103"/>
      <c r="BL20" s="1101">
        <f t="shared" si="49"/>
        <v>104.82940175732732</v>
      </c>
      <c r="BM20" s="576">
        <f t="shared" si="50"/>
        <v>0.20921052286095793</v>
      </c>
      <c r="BN20" s="1103"/>
      <c r="BO20" s="1102">
        <f t="shared" si="6"/>
        <v>104.82940175732732</v>
      </c>
      <c r="BP20" s="417">
        <f t="shared" si="6"/>
        <v>0.20921052286095793</v>
      </c>
      <c r="BQ20" s="1103"/>
      <c r="BR20" s="1101">
        <f>'Baseline data (from input)'!AZ66</f>
        <v>104.82940175732732</v>
      </c>
      <c r="BS20" s="417">
        <f>'Baseline data (from input)'!BA66</f>
        <v>0.20921052286095793</v>
      </c>
      <c r="BT20" s="1103"/>
      <c r="BU20" s="1102">
        <f t="shared" si="7"/>
        <v>104.82940175732732</v>
      </c>
      <c r="BV20" s="417">
        <f t="shared" si="7"/>
        <v>0.20921052286095793</v>
      </c>
      <c r="BW20" s="1103"/>
      <c r="BX20" s="1101">
        <f t="shared" si="51"/>
        <v>104.82940175732732</v>
      </c>
      <c r="BY20" s="417">
        <f t="shared" si="52"/>
        <v>0.20921052286095793</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912.89564736811167</v>
      </c>
      <c r="D21" s="3">
        <f>'4B Biological treatment '!T74</f>
        <v>0.19334183325252791</v>
      </c>
      <c r="E21" s="178">
        <f>'4B Biological treatment '!U74</f>
        <v>12.211079229134413</v>
      </c>
      <c r="F21" s="178">
        <f>'4B Biological treatment '!W74</f>
        <v>0.73266475374806461</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19170.808594730344</v>
      </c>
      <c r="M21" s="3">
        <f t="shared" si="0"/>
        <v>4.0601784983030864</v>
      </c>
      <c r="N21" s="419">
        <f t="shared" si="9"/>
        <v>483.55873747372266</v>
      </c>
      <c r="O21" s="518">
        <f t="shared" si="10"/>
        <v>301.9056170360725</v>
      </c>
      <c r="P21" s="419">
        <f t="shared" si="11"/>
        <v>3332.0204976663595</v>
      </c>
      <c r="Q21" s="519">
        <f t="shared" si="12"/>
        <v>19170.808594730344</v>
      </c>
      <c r="R21" s="521">
        <f t="shared" si="13"/>
        <v>487.61891597202572</v>
      </c>
      <c r="S21" s="518">
        <f t="shared" si="14"/>
        <v>301.9056170360725</v>
      </c>
      <c r="T21" s="519">
        <f t="shared" si="15"/>
        <v>3332.0204976663595</v>
      </c>
      <c r="U21" s="519">
        <f t="shared" si="16"/>
        <v>23292.353625404801</v>
      </c>
      <c r="V21" s="3"/>
      <c r="W21" s="596">
        <f t="shared" si="17"/>
        <v>2011</v>
      </c>
      <c r="X21" s="1101">
        <f t="shared" si="18"/>
        <v>19170.808594730344</v>
      </c>
      <c r="Y21" s="1102">
        <f t="shared" si="19"/>
        <v>487.61891597202572</v>
      </c>
      <c r="Z21" s="1102">
        <f t="shared" si="20"/>
        <v>301.9056170360725</v>
      </c>
      <c r="AA21" s="1102">
        <f t="shared" si="21"/>
        <v>3332.0204976663595</v>
      </c>
      <c r="AB21" s="1142">
        <f t="shared" si="22"/>
        <v>23292.353625404801</v>
      </c>
      <c r="AC21" s="1102"/>
      <c r="AD21" s="1101">
        <f t="shared" si="23"/>
        <v>19170.808594730344</v>
      </c>
      <c r="AE21" s="1102">
        <f t="shared" si="24"/>
        <v>487.61891597202572</v>
      </c>
      <c r="AF21" s="1102">
        <f t="shared" si="25"/>
        <v>301.9056170360725</v>
      </c>
      <c r="AG21" s="1102">
        <f t="shared" si="26"/>
        <v>3332.0204976663595</v>
      </c>
      <c r="AH21" s="1142">
        <f t="shared" si="27"/>
        <v>23292.353625404801</v>
      </c>
      <c r="AI21" s="1422"/>
      <c r="AJ21" s="1101">
        <f t="shared" si="28"/>
        <v>19170.808594730344</v>
      </c>
      <c r="AK21" s="1102">
        <f t="shared" si="29"/>
        <v>487.61891597202572</v>
      </c>
      <c r="AL21" s="1102">
        <f t="shared" si="30"/>
        <v>301.9056170360725</v>
      </c>
      <c r="AM21" s="1102">
        <f t="shared" si="31"/>
        <v>3332.0204976663595</v>
      </c>
      <c r="AN21" s="1142">
        <f t="shared" si="32"/>
        <v>23292.353625404801</v>
      </c>
      <c r="AO21" s="1419"/>
      <c r="AP21" s="1101">
        <f t="shared" si="33"/>
        <v>19170.808594730344</v>
      </c>
      <c r="AQ21" s="1102">
        <f t="shared" si="34"/>
        <v>487.61891597202572</v>
      </c>
      <c r="AR21" s="1102">
        <f t="shared" si="35"/>
        <v>301.9056170360725</v>
      </c>
      <c r="AS21" s="1102">
        <f t="shared" si="36"/>
        <v>3332.0204976663595</v>
      </c>
      <c r="AT21" s="1142">
        <f t="shared" si="37"/>
        <v>23292.353625404801</v>
      </c>
      <c r="AU21" s="1414"/>
      <c r="AV21" s="1101">
        <f t="shared" si="38"/>
        <v>19170.808594730344</v>
      </c>
      <c r="AW21" s="1102">
        <f t="shared" si="39"/>
        <v>487.61891597202572</v>
      </c>
      <c r="AX21" s="1102">
        <f t="shared" si="40"/>
        <v>301.9056170360725</v>
      </c>
      <c r="AY21" s="1102">
        <f t="shared" si="41"/>
        <v>3332.0204976663595</v>
      </c>
      <c r="AZ21" s="1142">
        <f t="shared" si="42"/>
        <v>23292.353625404801</v>
      </c>
      <c r="BA21" s="1424"/>
      <c r="BB21" s="1101">
        <f t="shared" si="43"/>
        <v>19170.808594730344</v>
      </c>
      <c r="BC21" s="1102">
        <f t="shared" si="44"/>
        <v>487.61891597202572</v>
      </c>
      <c r="BD21" s="1102">
        <f t="shared" si="45"/>
        <v>301.9056170360725</v>
      </c>
      <c r="BE21" s="1102">
        <f t="shared" si="46"/>
        <v>3332.0204976663595</v>
      </c>
      <c r="BF21" s="1142">
        <f t="shared" si="47"/>
        <v>23292.353625404801</v>
      </c>
      <c r="BG21" s="1427"/>
      <c r="BH21" s="596">
        <f t="shared" si="48"/>
        <v>2011</v>
      </c>
      <c r="BI21" s="1102">
        <f>'Baseline data (from input)'!AZ67</f>
        <v>107.41979413687004</v>
      </c>
      <c r="BJ21" s="576">
        <f>'Baseline data (from input)'!BA67</f>
        <v>0.22744143519612944</v>
      </c>
      <c r="BK21" s="1103"/>
      <c r="BL21" s="1101">
        <f t="shared" si="49"/>
        <v>107.41979413687004</v>
      </c>
      <c r="BM21" s="576">
        <f t="shared" si="50"/>
        <v>0.22744143519612944</v>
      </c>
      <c r="BN21" s="1103"/>
      <c r="BO21" s="1102">
        <f t="shared" si="6"/>
        <v>107.41979413687004</v>
      </c>
      <c r="BP21" s="417">
        <f t="shared" si="6"/>
        <v>0.22744143519612944</v>
      </c>
      <c r="BQ21" s="1103"/>
      <c r="BR21" s="1101">
        <f>'Baseline data (from input)'!AZ67</f>
        <v>107.41979413687004</v>
      </c>
      <c r="BS21" s="417">
        <f>'Baseline data (from input)'!BA67</f>
        <v>0.22744143519612944</v>
      </c>
      <c r="BT21" s="1103"/>
      <c r="BU21" s="1102">
        <f t="shared" si="7"/>
        <v>107.41979413687004</v>
      </c>
      <c r="BV21" s="417">
        <f t="shared" si="7"/>
        <v>0.22744143519612944</v>
      </c>
      <c r="BW21" s="1103"/>
      <c r="BX21" s="1101">
        <f t="shared" si="51"/>
        <v>107.41979413687004</v>
      </c>
      <c r="BY21" s="417">
        <f t="shared" si="52"/>
        <v>0.22744143519612944</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907.20403046494505</v>
      </c>
      <c r="D22" s="3">
        <f>'4B Biological treatment '!T75</f>
        <v>0.2082571219057886</v>
      </c>
      <c r="E22" s="178">
        <f>'4B Biological treatment '!U75</f>
        <v>13.491768788014623</v>
      </c>
      <c r="F22" s="178">
        <f>'4B Biological treatment '!W75</f>
        <v>0.80950612728087734</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19051.284639763846</v>
      </c>
      <c r="M22" s="3">
        <f t="shared" si="0"/>
        <v>4.3733995600215607</v>
      </c>
      <c r="N22" s="419">
        <f t="shared" si="9"/>
        <v>534.2740440053791</v>
      </c>
      <c r="O22" s="518">
        <f t="shared" si="10"/>
        <v>306.05640080876935</v>
      </c>
      <c r="P22" s="419">
        <f t="shared" si="11"/>
        <v>3367.704214952827</v>
      </c>
      <c r="Q22" s="519">
        <f t="shared" si="12"/>
        <v>19051.284639763846</v>
      </c>
      <c r="R22" s="521">
        <f t="shared" si="13"/>
        <v>538.64744356540064</v>
      </c>
      <c r="S22" s="518">
        <f t="shared" si="14"/>
        <v>306.05640080876935</v>
      </c>
      <c r="T22" s="519">
        <f t="shared" si="15"/>
        <v>3367.704214952827</v>
      </c>
      <c r="U22" s="519">
        <f t="shared" si="16"/>
        <v>23263.692699090843</v>
      </c>
      <c r="V22" s="3"/>
      <c r="W22" s="596">
        <f t="shared" si="17"/>
        <v>2012</v>
      </c>
      <c r="X22" s="1101">
        <f t="shared" si="18"/>
        <v>19051.284639763846</v>
      </c>
      <c r="Y22" s="1102">
        <f t="shared" si="19"/>
        <v>538.64744356540064</v>
      </c>
      <c r="Z22" s="1102">
        <f t="shared" si="20"/>
        <v>306.05640080876935</v>
      </c>
      <c r="AA22" s="1102">
        <f t="shared" si="21"/>
        <v>3367.704214952827</v>
      </c>
      <c r="AB22" s="1142">
        <f t="shared" si="22"/>
        <v>23263.692699090843</v>
      </c>
      <c r="AC22" s="1102"/>
      <c r="AD22" s="1101">
        <f t="shared" si="23"/>
        <v>19051.284639763846</v>
      </c>
      <c r="AE22" s="1102">
        <f t="shared" si="24"/>
        <v>538.64744356540064</v>
      </c>
      <c r="AF22" s="1102">
        <f t="shared" si="25"/>
        <v>306.05640080876935</v>
      </c>
      <c r="AG22" s="1102">
        <f t="shared" si="26"/>
        <v>3367.704214952827</v>
      </c>
      <c r="AH22" s="1142">
        <f t="shared" si="27"/>
        <v>23263.692699090843</v>
      </c>
      <c r="AI22" s="1422"/>
      <c r="AJ22" s="1101">
        <f t="shared" si="28"/>
        <v>19051.284639763846</v>
      </c>
      <c r="AK22" s="1102">
        <f t="shared" si="29"/>
        <v>538.64744356540064</v>
      </c>
      <c r="AL22" s="1102">
        <f t="shared" si="30"/>
        <v>306.05640080876935</v>
      </c>
      <c r="AM22" s="1102">
        <f t="shared" si="31"/>
        <v>3367.704214952827</v>
      </c>
      <c r="AN22" s="1142">
        <f t="shared" si="32"/>
        <v>23263.692699090843</v>
      </c>
      <c r="AO22" s="1419"/>
      <c r="AP22" s="1101">
        <f t="shared" si="33"/>
        <v>19051.284639763846</v>
      </c>
      <c r="AQ22" s="1102">
        <f t="shared" si="34"/>
        <v>538.64744356540064</v>
      </c>
      <c r="AR22" s="1102">
        <f t="shared" si="35"/>
        <v>306.05640080876935</v>
      </c>
      <c r="AS22" s="1102">
        <f t="shared" si="36"/>
        <v>3367.704214952827</v>
      </c>
      <c r="AT22" s="1142">
        <f t="shared" si="37"/>
        <v>23263.692699090843</v>
      </c>
      <c r="AU22" s="1414"/>
      <c r="AV22" s="1101">
        <f t="shared" si="38"/>
        <v>19051.284639763846</v>
      </c>
      <c r="AW22" s="1102">
        <f t="shared" si="39"/>
        <v>538.64744356540064</v>
      </c>
      <c r="AX22" s="1102">
        <f t="shared" si="40"/>
        <v>306.05640080876935</v>
      </c>
      <c r="AY22" s="1102">
        <f t="shared" si="41"/>
        <v>3367.704214952827</v>
      </c>
      <c r="AZ22" s="1142">
        <f t="shared" si="42"/>
        <v>23263.692699090843</v>
      </c>
      <c r="BA22" s="1424"/>
      <c r="BB22" s="1101">
        <f t="shared" si="43"/>
        <v>19051.284639763846</v>
      </c>
      <c r="BC22" s="1102">
        <f t="shared" si="44"/>
        <v>538.64744356540064</v>
      </c>
      <c r="BD22" s="1102">
        <f t="shared" si="45"/>
        <v>306.05640080876935</v>
      </c>
      <c r="BE22" s="1102">
        <f t="shared" si="46"/>
        <v>3367.704214952827</v>
      </c>
      <c r="BF22" s="1142">
        <f t="shared" si="47"/>
        <v>23263.692699090843</v>
      </c>
      <c r="BG22" s="1427"/>
      <c r="BH22" s="596">
        <f t="shared" si="48"/>
        <v>2012</v>
      </c>
      <c r="BI22" s="1102">
        <f>'Baseline data (from input)'!AZ68</f>
        <v>108.46761087084198</v>
      </c>
      <c r="BJ22" s="576">
        <f>'Baseline data (from input)'!BA68</f>
        <v>0.24495352390298028</v>
      </c>
      <c r="BK22" s="1103"/>
      <c r="BL22" s="1101">
        <f t="shared" si="49"/>
        <v>108.46761087084198</v>
      </c>
      <c r="BM22" s="576">
        <f t="shared" si="50"/>
        <v>0.24495352390298028</v>
      </c>
      <c r="BN22" s="1103"/>
      <c r="BO22" s="1102">
        <f t="shared" si="6"/>
        <v>108.46761087084198</v>
      </c>
      <c r="BP22" s="417">
        <f t="shared" si="6"/>
        <v>0.24495352390298028</v>
      </c>
      <c r="BQ22" s="1103"/>
      <c r="BR22" s="1101">
        <f>'Baseline data (from input)'!AZ68</f>
        <v>108.46761087084198</v>
      </c>
      <c r="BS22" s="417">
        <f>'Baseline data (from input)'!BA68</f>
        <v>0.24495352390298028</v>
      </c>
      <c r="BT22" s="1103"/>
      <c r="BU22" s="1102">
        <f t="shared" si="7"/>
        <v>108.46761087084198</v>
      </c>
      <c r="BV22" s="417">
        <f t="shared" si="7"/>
        <v>0.24495352390298028</v>
      </c>
      <c r="BW22" s="1103"/>
      <c r="BX22" s="1101">
        <f t="shared" si="51"/>
        <v>108.46761087084198</v>
      </c>
      <c r="BY22" s="417">
        <f t="shared" si="52"/>
        <v>0.24495352390298028</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896.16711186314876</v>
      </c>
      <c r="D23" s="3">
        <f>'4B Biological treatment '!T76</f>
        <v>0.2233300797027758</v>
      </c>
      <c r="E23" s="178">
        <f>'4B Biological treatment '!U76</f>
        <v>14.759223804745339</v>
      </c>
      <c r="F23" s="178">
        <f>'4B Biological treatment '!W76</f>
        <v>0.88555342828472039</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18819.509349126125</v>
      </c>
      <c r="M23" s="3">
        <f t="shared" si="0"/>
        <v>4.6899316737582915</v>
      </c>
      <c r="N23" s="419">
        <f t="shared" si="9"/>
        <v>584.46526266791545</v>
      </c>
      <c r="O23" s="518">
        <f t="shared" si="10"/>
        <v>310.6538874859516</v>
      </c>
      <c r="P23" s="419">
        <f t="shared" si="11"/>
        <v>3417.8382529883984</v>
      </c>
      <c r="Q23" s="519">
        <f t="shared" si="12"/>
        <v>18819.509349126125</v>
      </c>
      <c r="R23" s="521">
        <f t="shared" si="13"/>
        <v>589.15519434167379</v>
      </c>
      <c r="S23" s="518">
        <f t="shared" si="14"/>
        <v>310.6538874859516</v>
      </c>
      <c r="T23" s="519">
        <f t="shared" si="15"/>
        <v>3417.8382529883984</v>
      </c>
      <c r="U23" s="519">
        <f t="shared" si="16"/>
        <v>23137.15668394215</v>
      </c>
      <c r="V23" s="3"/>
      <c r="W23" s="596">
        <f t="shared" si="17"/>
        <v>2013</v>
      </c>
      <c r="X23" s="1101">
        <f t="shared" si="18"/>
        <v>18819.509349126125</v>
      </c>
      <c r="Y23" s="1102">
        <f t="shared" si="19"/>
        <v>589.15519434167379</v>
      </c>
      <c r="Z23" s="1102">
        <f t="shared" si="20"/>
        <v>310.6538874859516</v>
      </c>
      <c r="AA23" s="1102">
        <f t="shared" si="21"/>
        <v>3417.8382529883984</v>
      </c>
      <c r="AB23" s="1142">
        <f t="shared" si="22"/>
        <v>23137.15668394215</v>
      </c>
      <c r="AC23" s="1102"/>
      <c r="AD23" s="1101">
        <f t="shared" si="23"/>
        <v>18819.509349126125</v>
      </c>
      <c r="AE23" s="1102">
        <f t="shared" si="24"/>
        <v>589.15519434167379</v>
      </c>
      <c r="AF23" s="1102">
        <f t="shared" si="25"/>
        <v>310.6538874859516</v>
      </c>
      <c r="AG23" s="1102">
        <f t="shared" si="26"/>
        <v>3417.8382529883984</v>
      </c>
      <c r="AH23" s="1142">
        <f t="shared" si="27"/>
        <v>23137.15668394215</v>
      </c>
      <c r="AI23" s="1422"/>
      <c r="AJ23" s="1101">
        <f t="shared" si="28"/>
        <v>18819.509349126125</v>
      </c>
      <c r="AK23" s="1102">
        <f t="shared" si="29"/>
        <v>589.15519434167379</v>
      </c>
      <c r="AL23" s="1102">
        <f t="shared" si="30"/>
        <v>310.6538874859516</v>
      </c>
      <c r="AM23" s="1102">
        <f t="shared" si="31"/>
        <v>3417.8382529883984</v>
      </c>
      <c r="AN23" s="1142">
        <f t="shared" si="32"/>
        <v>23137.15668394215</v>
      </c>
      <c r="AO23" s="1419"/>
      <c r="AP23" s="1101">
        <f t="shared" si="33"/>
        <v>18819.509349126125</v>
      </c>
      <c r="AQ23" s="1102">
        <f t="shared" si="34"/>
        <v>589.15519434167379</v>
      </c>
      <c r="AR23" s="1102">
        <f t="shared" si="35"/>
        <v>310.6538874859516</v>
      </c>
      <c r="AS23" s="1102">
        <f t="shared" si="36"/>
        <v>3417.8382529883984</v>
      </c>
      <c r="AT23" s="1142">
        <f t="shared" si="37"/>
        <v>23137.15668394215</v>
      </c>
      <c r="AU23" s="1414"/>
      <c r="AV23" s="1101">
        <f t="shared" si="38"/>
        <v>18819.509349126125</v>
      </c>
      <c r="AW23" s="1102">
        <f t="shared" si="39"/>
        <v>589.15519434167379</v>
      </c>
      <c r="AX23" s="1102">
        <f t="shared" si="40"/>
        <v>310.6538874859516</v>
      </c>
      <c r="AY23" s="1102">
        <f t="shared" si="41"/>
        <v>3417.8382529883984</v>
      </c>
      <c r="AZ23" s="1142">
        <f t="shared" si="42"/>
        <v>23137.15668394215</v>
      </c>
      <c r="BA23" s="1424"/>
      <c r="BB23" s="1101">
        <f t="shared" si="43"/>
        <v>18819.509349126125</v>
      </c>
      <c r="BC23" s="1102">
        <f t="shared" si="44"/>
        <v>589.15519434167379</v>
      </c>
      <c r="BD23" s="1102">
        <f t="shared" si="45"/>
        <v>310.6538874859516</v>
      </c>
      <c r="BE23" s="1102">
        <f t="shared" si="46"/>
        <v>3417.8382529883984</v>
      </c>
      <c r="BF23" s="1142">
        <f t="shared" si="47"/>
        <v>23137.15668394215</v>
      </c>
      <c r="BG23" s="1427"/>
      <c r="BH23" s="596">
        <f t="shared" si="48"/>
        <v>2013</v>
      </c>
      <c r="BI23" s="1102">
        <f>'Baseline data (from input)'!AZ69</f>
        <v>109.97074645761069</v>
      </c>
      <c r="BJ23" s="576">
        <f>'Baseline data (from input)'!BA69</f>
        <v>0.25412456432281788</v>
      </c>
      <c r="BK23" s="1103"/>
      <c r="BL23" s="1101">
        <f t="shared" si="49"/>
        <v>109.97074645761069</v>
      </c>
      <c r="BM23" s="576">
        <f t="shared" si="50"/>
        <v>0.25412456432281788</v>
      </c>
      <c r="BN23" s="1103"/>
      <c r="BO23" s="1102">
        <f t="shared" si="6"/>
        <v>109.97074645761069</v>
      </c>
      <c r="BP23" s="417">
        <f t="shared" si="6"/>
        <v>0.25412456432281788</v>
      </c>
      <c r="BQ23" s="1103"/>
      <c r="BR23" s="1101">
        <f>'Baseline data (from input)'!AZ69</f>
        <v>109.97074645761069</v>
      </c>
      <c r="BS23" s="417">
        <f>'Baseline data (from input)'!BA69</f>
        <v>0.25412456432281788</v>
      </c>
      <c r="BT23" s="1103"/>
      <c r="BU23" s="1102">
        <f t="shared" si="7"/>
        <v>109.97074645761069</v>
      </c>
      <c r="BV23" s="417">
        <f t="shared" si="7"/>
        <v>0.25412456432281788</v>
      </c>
      <c r="BW23" s="1103"/>
      <c r="BX23" s="1101">
        <f t="shared" si="51"/>
        <v>109.97074645761069</v>
      </c>
      <c r="BY23" s="417">
        <f t="shared" si="52"/>
        <v>0.25412456432281788</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883.64256829584781</v>
      </c>
      <c r="D24" s="3">
        <f>'4B Biological treatment '!T77</f>
        <v>0.23671892495327568</v>
      </c>
      <c r="E24" s="178">
        <f>'4B Biological treatment '!U77</f>
        <v>15.915858805609473</v>
      </c>
      <c r="F24" s="178">
        <f>'4B Biological treatment '!W77</f>
        <v>0.95495152833656827</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18556.493934212805</v>
      </c>
      <c r="M24" s="3">
        <f t="shared" si="0"/>
        <v>4.9710974240187893</v>
      </c>
      <c r="N24" s="419">
        <f t="shared" si="9"/>
        <v>630.26800870213515</v>
      </c>
      <c r="O24" s="518">
        <f t="shared" si="10"/>
        <v>314.51894299876597</v>
      </c>
      <c r="P24" s="419">
        <f t="shared" si="11"/>
        <v>3469.8404041167237</v>
      </c>
      <c r="Q24" s="519">
        <f t="shared" si="12"/>
        <v>18556.493934212805</v>
      </c>
      <c r="R24" s="521">
        <f t="shared" si="13"/>
        <v>635.23910612615396</v>
      </c>
      <c r="S24" s="518">
        <f t="shared" si="14"/>
        <v>314.51894299876597</v>
      </c>
      <c r="T24" s="519">
        <f t="shared" si="15"/>
        <v>3469.8404041167237</v>
      </c>
      <c r="U24" s="519">
        <f t="shared" si="16"/>
        <v>22976.09238745445</v>
      </c>
      <c r="V24" s="3"/>
      <c r="W24" s="596">
        <f t="shared" si="17"/>
        <v>2014</v>
      </c>
      <c r="X24" s="1101">
        <f t="shared" si="18"/>
        <v>18556.493934212805</v>
      </c>
      <c r="Y24" s="1102">
        <f t="shared" si="19"/>
        <v>635.23910612615396</v>
      </c>
      <c r="Z24" s="1102">
        <f t="shared" si="20"/>
        <v>314.51894299876597</v>
      </c>
      <c r="AA24" s="1102">
        <f t="shared" si="21"/>
        <v>3469.8404041167237</v>
      </c>
      <c r="AB24" s="1142">
        <f t="shared" si="22"/>
        <v>22976.09238745445</v>
      </c>
      <c r="AC24" s="1102"/>
      <c r="AD24" s="1101">
        <f t="shared" si="23"/>
        <v>18556.493934212805</v>
      </c>
      <c r="AE24" s="1102">
        <f t="shared" si="24"/>
        <v>635.23910612615396</v>
      </c>
      <c r="AF24" s="1102">
        <f t="shared" si="25"/>
        <v>314.51894299876597</v>
      </c>
      <c r="AG24" s="1102">
        <f t="shared" si="26"/>
        <v>3469.8404041167237</v>
      </c>
      <c r="AH24" s="1142">
        <f t="shared" si="27"/>
        <v>22976.09238745445</v>
      </c>
      <c r="AI24" s="1422"/>
      <c r="AJ24" s="1101">
        <f t="shared" si="28"/>
        <v>18556.493934212805</v>
      </c>
      <c r="AK24" s="1102">
        <f t="shared" si="29"/>
        <v>635.23910612615396</v>
      </c>
      <c r="AL24" s="1102">
        <f t="shared" si="30"/>
        <v>314.51894299876597</v>
      </c>
      <c r="AM24" s="1102">
        <f t="shared" si="31"/>
        <v>3469.8404041167237</v>
      </c>
      <c r="AN24" s="1142">
        <f t="shared" si="32"/>
        <v>22976.09238745445</v>
      </c>
      <c r="AO24" s="1419"/>
      <c r="AP24" s="1101">
        <f t="shared" si="33"/>
        <v>18556.493934212805</v>
      </c>
      <c r="AQ24" s="1102">
        <f t="shared" si="34"/>
        <v>635.23910612615396</v>
      </c>
      <c r="AR24" s="1102">
        <f t="shared" si="35"/>
        <v>314.51894299876597</v>
      </c>
      <c r="AS24" s="1102">
        <f t="shared" si="36"/>
        <v>3469.8404041167237</v>
      </c>
      <c r="AT24" s="1142">
        <f t="shared" si="37"/>
        <v>22976.09238745445</v>
      </c>
      <c r="AU24" s="1414"/>
      <c r="AV24" s="1101">
        <f t="shared" si="38"/>
        <v>18556.493934212805</v>
      </c>
      <c r="AW24" s="1102">
        <f t="shared" si="39"/>
        <v>635.23910612615396</v>
      </c>
      <c r="AX24" s="1102">
        <f t="shared" si="40"/>
        <v>314.51894299876597</v>
      </c>
      <c r="AY24" s="1102">
        <f t="shared" si="41"/>
        <v>3469.8404041167237</v>
      </c>
      <c r="AZ24" s="1142">
        <f t="shared" si="42"/>
        <v>22976.09238745445</v>
      </c>
      <c r="BA24" s="1424"/>
      <c r="BB24" s="1101">
        <f t="shared" si="43"/>
        <v>18556.493934212805</v>
      </c>
      <c r="BC24" s="1102">
        <f t="shared" si="44"/>
        <v>635.23910612615396</v>
      </c>
      <c r="BD24" s="1102">
        <f t="shared" si="45"/>
        <v>314.51894299876597</v>
      </c>
      <c r="BE24" s="1102">
        <f t="shared" si="46"/>
        <v>3469.8404041167237</v>
      </c>
      <c r="BF24" s="1142">
        <f t="shared" si="47"/>
        <v>22976.09238745445</v>
      </c>
      <c r="BG24" s="1427"/>
      <c r="BH24" s="596">
        <f t="shared" si="48"/>
        <v>2014</v>
      </c>
      <c r="BI24" s="1102">
        <f>'Baseline data (from input)'!AZ70</f>
        <v>110.82317528949993</v>
      </c>
      <c r="BJ24" s="576">
        <f>'Baseline data (from input)'!BA70</f>
        <v>0.26281715323754568</v>
      </c>
      <c r="BK24" s="1103"/>
      <c r="BL24" s="1101">
        <f t="shared" si="49"/>
        <v>110.82317528949993</v>
      </c>
      <c r="BM24" s="576">
        <f t="shared" si="50"/>
        <v>0.26281715323754568</v>
      </c>
      <c r="BN24" s="1103"/>
      <c r="BO24" s="1102">
        <f t="shared" si="6"/>
        <v>110.82317528949993</v>
      </c>
      <c r="BP24" s="417">
        <f t="shared" si="6"/>
        <v>0.26281715323754568</v>
      </c>
      <c r="BQ24" s="1103"/>
      <c r="BR24" s="1101">
        <f>'Baseline data (from input)'!AZ70</f>
        <v>110.82317528949993</v>
      </c>
      <c r="BS24" s="417">
        <f>'Baseline data (from input)'!BA70</f>
        <v>0.26281715323754568</v>
      </c>
      <c r="BT24" s="1103"/>
      <c r="BU24" s="1102">
        <f t="shared" si="7"/>
        <v>110.82317528949993</v>
      </c>
      <c r="BV24" s="417">
        <f t="shared" si="7"/>
        <v>0.26281715323754568</v>
      </c>
      <c r="BW24" s="1103"/>
      <c r="BX24" s="1101">
        <f t="shared" si="51"/>
        <v>110.82317528949993</v>
      </c>
      <c r="BY24" s="417">
        <f t="shared" si="52"/>
        <v>0.26281715323754568</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869.71305919348606</v>
      </c>
      <c r="D25" s="3">
        <f>'4B Biological treatment '!T78</f>
        <v>0.24872431455830615</v>
      </c>
      <c r="E25" s="178">
        <f>'4B Biological treatment '!U78</f>
        <v>16.973700880575333</v>
      </c>
      <c r="F25" s="178">
        <f>'4B Biological treatment '!W78</f>
        <v>1.01842205283452</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18263.974243063207</v>
      </c>
      <c r="M25" s="3">
        <f t="shared" si="0"/>
        <v>5.2232106057244296</v>
      </c>
      <c r="N25" s="419">
        <f t="shared" si="9"/>
        <v>672.15855487078329</v>
      </c>
      <c r="O25" s="518">
        <f t="shared" si="10"/>
        <v>317.61605794264813</v>
      </c>
      <c r="P25" s="419">
        <f t="shared" si="11"/>
        <v>3523.7828087751991</v>
      </c>
      <c r="Q25" s="519">
        <f t="shared" si="12"/>
        <v>18263.974243063207</v>
      </c>
      <c r="R25" s="521">
        <f t="shared" si="13"/>
        <v>677.38176547650767</v>
      </c>
      <c r="S25" s="518">
        <f t="shared" si="14"/>
        <v>317.61605794264813</v>
      </c>
      <c r="T25" s="519">
        <f t="shared" si="15"/>
        <v>3523.7828087751991</v>
      </c>
      <c r="U25" s="519">
        <f t="shared" si="16"/>
        <v>22782.75487525756</v>
      </c>
      <c r="V25" s="3"/>
      <c r="W25" s="596">
        <f t="shared" si="17"/>
        <v>2015</v>
      </c>
      <c r="X25" s="1101">
        <f t="shared" si="18"/>
        <v>18263.974243063207</v>
      </c>
      <c r="Y25" s="1102">
        <f t="shared" si="19"/>
        <v>677.38176547650767</v>
      </c>
      <c r="Z25" s="1102">
        <f t="shared" si="20"/>
        <v>317.61605794264813</v>
      </c>
      <c r="AA25" s="1102">
        <f t="shared" si="21"/>
        <v>3523.7828087751991</v>
      </c>
      <c r="AB25" s="1142">
        <f t="shared" si="22"/>
        <v>22782.75487525756</v>
      </c>
      <c r="AC25" s="1102"/>
      <c r="AD25" s="1101">
        <f t="shared" si="23"/>
        <v>18263.974243063207</v>
      </c>
      <c r="AE25" s="1102">
        <f t="shared" si="24"/>
        <v>677.38176547650767</v>
      </c>
      <c r="AF25" s="1102">
        <f t="shared" si="25"/>
        <v>317.61605794264813</v>
      </c>
      <c r="AG25" s="1102">
        <f t="shared" si="26"/>
        <v>3523.7828087751991</v>
      </c>
      <c r="AH25" s="1142">
        <f t="shared" si="27"/>
        <v>22782.75487525756</v>
      </c>
      <c r="AI25" s="1422"/>
      <c r="AJ25" s="1101">
        <f t="shared" si="28"/>
        <v>18263.974243063207</v>
      </c>
      <c r="AK25" s="1102">
        <f t="shared" si="29"/>
        <v>677.38176547650767</v>
      </c>
      <c r="AL25" s="1102">
        <f t="shared" si="30"/>
        <v>317.61605794264813</v>
      </c>
      <c r="AM25" s="1102">
        <f t="shared" si="31"/>
        <v>3523.7828087751991</v>
      </c>
      <c r="AN25" s="1142">
        <f t="shared" si="32"/>
        <v>22782.75487525756</v>
      </c>
      <c r="AO25" s="1419"/>
      <c r="AP25" s="1101">
        <f t="shared" si="33"/>
        <v>18263.974243063207</v>
      </c>
      <c r="AQ25" s="1102">
        <f t="shared" si="34"/>
        <v>677.38176547650767</v>
      </c>
      <c r="AR25" s="1102">
        <f t="shared" si="35"/>
        <v>317.61605794264813</v>
      </c>
      <c r="AS25" s="1102">
        <f t="shared" si="36"/>
        <v>3523.7828087751991</v>
      </c>
      <c r="AT25" s="1142">
        <f t="shared" si="37"/>
        <v>22782.75487525756</v>
      </c>
      <c r="AU25" s="1414"/>
      <c r="AV25" s="1101">
        <f t="shared" si="38"/>
        <v>18263.974243063207</v>
      </c>
      <c r="AW25" s="1102">
        <f t="shared" si="39"/>
        <v>677.38176547650767</v>
      </c>
      <c r="AX25" s="1102">
        <f t="shared" si="40"/>
        <v>317.61605794264813</v>
      </c>
      <c r="AY25" s="1102">
        <f t="shared" si="41"/>
        <v>3523.7828087751991</v>
      </c>
      <c r="AZ25" s="1142">
        <f t="shared" si="42"/>
        <v>22782.75487525756</v>
      </c>
      <c r="BA25" s="1424"/>
      <c r="BB25" s="1101">
        <f t="shared" si="43"/>
        <v>18263.974243063207</v>
      </c>
      <c r="BC25" s="1102">
        <f t="shared" si="44"/>
        <v>677.38176547650767</v>
      </c>
      <c r="BD25" s="1102">
        <f t="shared" si="45"/>
        <v>317.61605794264813</v>
      </c>
      <c r="BE25" s="1102">
        <f t="shared" si="46"/>
        <v>3523.7828087751991</v>
      </c>
      <c r="BF25" s="1142">
        <f t="shared" si="47"/>
        <v>22782.75487525756</v>
      </c>
      <c r="BG25" s="1427"/>
      <c r="BH25" s="596">
        <f t="shared" si="48"/>
        <v>2015</v>
      </c>
      <c r="BI25" s="1102">
        <f>'Baseline data (from input)'!AZ71</f>
        <v>111.237148145329</v>
      </c>
      <c r="BJ25" s="576">
        <f>'Baseline data (from input)'!BA71</f>
        <v>0.27107274020628741</v>
      </c>
      <c r="BK25" s="1103"/>
      <c r="BL25" s="1101">
        <f t="shared" si="49"/>
        <v>111.237148145329</v>
      </c>
      <c r="BM25" s="576">
        <f t="shared" si="50"/>
        <v>0.27107274020628741</v>
      </c>
      <c r="BN25" s="1103"/>
      <c r="BO25" s="1102">
        <f t="shared" si="6"/>
        <v>111.237148145329</v>
      </c>
      <c r="BP25" s="417">
        <f t="shared" si="6"/>
        <v>0.27107274020628741</v>
      </c>
      <c r="BQ25" s="1103"/>
      <c r="BR25" s="1101">
        <f>'Baseline data (from input)'!AZ71</f>
        <v>111.237148145329</v>
      </c>
      <c r="BS25" s="417">
        <f>'Baseline data (from input)'!BA71</f>
        <v>0.27107274020628741</v>
      </c>
      <c r="BT25" s="1103"/>
      <c r="BU25" s="1102">
        <f t="shared" si="7"/>
        <v>111.237148145329</v>
      </c>
      <c r="BV25" s="417">
        <f t="shared" si="7"/>
        <v>0.27107274020628741</v>
      </c>
      <c r="BW25" s="1103"/>
      <c r="BX25" s="1101">
        <f t="shared" si="51"/>
        <v>111.237148145329</v>
      </c>
      <c r="BY25" s="417">
        <f t="shared" si="52"/>
        <v>0.27107274020628741</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854.47623809287529</v>
      </c>
      <c r="D26" s="3">
        <f>'4B Biological treatment '!T79</f>
        <v>0.25929726721956436</v>
      </c>
      <c r="E26" s="178">
        <f>'4B Biological treatment '!U79</f>
        <v>17.928908489418596</v>
      </c>
      <c r="F26" s="178">
        <f>'4B Biological treatment '!W79</f>
        <v>1.0757345093651158</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17944.000999950382</v>
      </c>
      <c r="M26" s="3">
        <f t="shared" ref="M26:M27" si="53">D26*$B$3</f>
        <v>5.4452426116108512</v>
      </c>
      <c r="N26" s="419">
        <f t="shared" si="9"/>
        <v>709.9847761809765</v>
      </c>
      <c r="O26" s="518">
        <f t="shared" si="10"/>
        <v>319.90690368827416</v>
      </c>
      <c r="P26" s="419">
        <f t="shared" si="11"/>
        <v>3579.7412011442502</v>
      </c>
      <c r="Q26" s="519">
        <f t="shared" si="12"/>
        <v>17944.000999950382</v>
      </c>
      <c r="R26" s="521">
        <f t="shared" si="13"/>
        <v>715.43001879258736</v>
      </c>
      <c r="S26" s="518">
        <f t="shared" si="14"/>
        <v>319.90690368827416</v>
      </c>
      <c r="T26" s="519">
        <f t="shared" si="15"/>
        <v>3579.7412011442502</v>
      </c>
      <c r="U26" s="519">
        <f t="shared" si="16"/>
        <v>22559.079123575495</v>
      </c>
      <c r="V26" s="3"/>
      <c r="W26" s="596">
        <f t="shared" si="17"/>
        <v>2016</v>
      </c>
      <c r="X26" s="1101">
        <f t="shared" si="18"/>
        <v>17944.000999950382</v>
      </c>
      <c r="Y26" s="1102">
        <f t="shared" si="19"/>
        <v>715.43001879258736</v>
      </c>
      <c r="Z26" s="1102">
        <f t="shared" si="20"/>
        <v>319.90690368827416</v>
      </c>
      <c r="AA26" s="1102">
        <f t="shared" si="21"/>
        <v>3579.7412011442502</v>
      </c>
      <c r="AB26" s="1142">
        <f t="shared" si="22"/>
        <v>22559.079123575495</v>
      </c>
      <c r="AC26" s="1102"/>
      <c r="AD26" s="1101">
        <f t="shared" si="23"/>
        <v>17944.000999950382</v>
      </c>
      <c r="AE26" s="1102">
        <f t="shared" si="24"/>
        <v>715.43001879258736</v>
      </c>
      <c r="AF26" s="1102">
        <f t="shared" si="25"/>
        <v>319.90690368827416</v>
      </c>
      <c r="AG26" s="1102">
        <f t="shared" si="26"/>
        <v>3579.7412011442502</v>
      </c>
      <c r="AH26" s="1142">
        <f t="shared" si="27"/>
        <v>22559.079123575495</v>
      </c>
      <c r="AI26" s="1422"/>
      <c r="AJ26" s="1101">
        <f t="shared" si="28"/>
        <v>17944.000999950382</v>
      </c>
      <c r="AK26" s="1102">
        <f t="shared" si="29"/>
        <v>715.43001879258736</v>
      </c>
      <c r="AL26" s="1102">
        <f t="shared" si="30"/>
        <v>319.90690368827416</v>
      </c>
      <c r="AM26" s="1102">
        <f t="shared" si="31"/>
        <v>3579.7412011442502</v>
      </c>
      <c r="AN26" s="1142">
        <f t="shared" si="32"/>
        <v>22559.079123575495</v>
      </c>
      <c r="AO26" s="1419"/>
      <c r="AP26" s="1101">
        <f t="shared" si="33"/>
        <v>17944.000999950382</v>
      </c>
      <c r="AQ26" s="1102">
        <f t="shared" si="34"/>
        <v>715.43001879258736</v>
      </c>
      <c r="AR26" s="1102">
        <f t="shared" si="35"/>
        <v>319.90690368827416</v>
      </c>
      <c r="AS26" s="1102">
        <f t="shared" si="36"/>
        <v>3579.7412011442502</v>
      </c>
      <c r="AT26" s="1142">
        <f t="shared" si="37"/>
        <v>22559.079123575495</v>
      </c>
      <c r="AU26" s="1415"/>
      <c r="AV26" s="1101">
        <f t="shared" si="38"/>
        <v>17944.000999950382</v>
      </c>
      <c r="AW26" s="1102">
        <f t="shared" si="39"/>
        <v>715.43001879258736</v>
      </c>
      <c r="AX26" s="1102">
        <f t="shared" si="40"/>
        <v>319.90690368827416</v>
      </c>
      <c r="AY26" s="1102">
        <f t="shared" si="41"/>
        <v>3579.7412011442502</v>
      </c>
      <c r="AZ26" s="1142">
        <f t="shared" si="42"/>
        <v>22559.079123575495</v>
      </c>
      <c r="BA26" s="1424"/>
      <c r="BB26" s="1101">
        <f t="shared" si="43"/>
        <v>17944.000999950382</v>
      </c>
      <c r="BC26" s="1102">
        <f t="shared" si="44"/>
        <v>715.43001879258736</v>
      </c>
      <c r="BD26" s="1102">
        <f t="shared" si="45"/>
        <v>319.90690368827416</v>
      </c>
      <c r="BE26" s="1102">
        <f t="shared" si="46"/>
        <v>3579.7412011442502</v>
      </c>
      <c r="BF26" s="1142">
        <f t="shared" si="47"/>
        <v>22559.079123575495</v>
      </c>
      <c r="BG26" s="1427"/>
      <c r="BH26" s="596">
        <f t="shared" si="48"/>
        <v>2016</v>
      </c>
      <c r="BI26" s="1102">
        <f>'Baseline data (from input)'!AZ72</f>
        <v>111.2009647431657</v>
      </c>
      <c r="BJ26" s="576">
        <f>'Baseline data (from input)'!BA72</f>
        <v>0.27897774744192294</v>
      </c>
      <c r="BK26" s="1103"/>
      <c r="BL26" s="1101">
        <f t="shared" si="49"/>
        <v>111.2009647431657</v>
      </c>
      <c r="BM26" s="576">
        <f t="shared" si="50"/>
        <v>0.27897774744192294</v>
      </c>
      <c r="BN26" s="1103"/>
      <c r="BO26" s="1102">
        <f t="shared" si="6"/>
        <v>111.2009647431657</v>
      </c>
      <c r="BP26" s="417">
        <f t="shared" si="6"/>
        <v>0.27897774744192294</v>
      </c>
      <c r="BQ26" s="1103"/>
      <c r="BR26" s="1101">
        <f>'Baseline data (from input)'!AZ73</f>
        <v>111.48215319455257</v>
      </c>
      <c r="BS26" s="417">
        <f>'Baseline data (from input)'!BA72</f>
        <v>0.27897774744192294</v>
      </c>
      <c r="BT26" s="1103"/>
      <c r="BU26" s="1102">
        <f t="shared" si="7"/>
        <v>111.2009647431657</v>
      </c>
      <c r="BV26" s="417">
        <f t="shared" si="7"/>
        <v>0.27897774744192294</v>
      </c>
      <c r="BW26" s="1103"/>
      <c r="BX26" s="1101">
        <f>BU26</f>
        <v>111.2009647431657</v>
      </c>
      <c r="BY26" s="417">
        <f>BV26</f>
        <v>0.27897774744192294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838.02636536804357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17598.553672728915</v>
      </c>
      <c r="M27" s="515">
        <f t="shared" si="53"/>
        <v>5.6614639220734917</v>
      </c>
      <c r="N27" s="471">
        <f t="shared" si="9"/>
        <v>745.73565301145118</v>
      </c>
      <c r="O27" s="514">
        <f t="shared" si="10"/>
        <v>321.35014174830235</v>
      </c>
      <c r="P27" s="471">
        <f t="shared" si="11"/>
        <v>3637.7950868788384</v>
      </c>
      <c r="Q27" s="471">
        <f t="shared" si="12"/>
        <v>17598.553672728915</v>
      </c>
      <c r="R27" s="517">
        <f t="shared" si="13"/>
        <v>751.39711693352467</v>
      </c>
      <c r="S27" s="514">
        <f t="shared" si="14"/>
        <v>321.35014174830235</v>
      </c>
      <c r="T27" s="471">
        <f t="shared" si="15"/>
        <v>3637.7950868788384</v>
      </c>
      <c r="U27" s="471">
        <f t="shared" si="16"/>
        <v>22309.09601828958</v>
      </c>
      <c r="V27" s="3"/>
      <c r="W27" s="596">
        <f t="shared" si="17"/>
        <v>2017</v>
      </c>
      <c r="X27" s="1101">
        <f t="shared" si="18"/>
        <v>17598.553672728915</v>
      </c>
      <c r="Y27" s="1102">
        <f t="shared" si="19"/>
        <v>751.39711693352467</v>
      </c>
      <c r="Z27" s="1102">
        <f t="shared" si="20"/>
        <v>321.35014174830235</v>
      </c>
      <c r="AA27" s="1102">
        <f t="shared" si="21"/>
        <v>3637.7950868788384</v>
      </c>
      <c r="AB27" s="1142">
        <f t="shared" si="22"/>
        <v>22309.09601828958</v>
      </c>
      <c r="AC27" s="1102"/>
      <c r="AD27" s="1101">
        <f>Q27</f>
        <v>17598.553672728915</v>
      </c>
      <c r="AE27" s="1102">
        <f t="shared" si="24"/>
        <v>751.39711693352467</v>
      </c>
      <c r="AF27" s="1102">
        <f t="shared" si="25"/>
        <v>321.35014174830235</v>
      </c>
      <c r="AG27" s="1102">
        <f t="shared" si="26"/>
        <v>3637.7950868788384</v>
      </c>
      <c r="AH27" s="1142">
        <f>SUM(AD27:AG27)</f>
        <v>22309.09601828958</v>
      </c>
      <c r="AI27" s="1422"/>
      <c r="AJ27" s="1101">
        <f t="shared" si="28"/>
        <v>17598.553672728915</v>
      </c>
      <c r="AK27" s="1102">
        <f t="shared" si="29"/>
        <v>751.39711693352467</v>
      </c>
      <c r="AL27" s="1102">
        <f t="shared" si="30"/>
        <v>321.35014174830235</v>
      </c>
      <c r="AM27" s="1102">
        <f t="shared" si="31"/>
        <v>3637.7950868788384</v>
      </c>
      <c r="AN27" s="1142">
        <f t="shared" si="32"/>
        <v>22309.09601828958</v>
      </c>
      <c r="AO27" s="1419"/>
      <c r="AP27" s="1101">
        <f t="shared" ref="AP27" si="54">Q27</f>
        <v>17598.553672728915</v>
      </c>
      <c r="AQ27" s="1102">
        <f t="shared" ref="AQ27" si="55">R27</f>
        <v>751.39711693352467</v>
      </c>
      <c r="AR27" s="1102">
        <f t="shared" ref="AR27" si="56">S27</f>
        <v>321.35014174830235</v>
      </c>
      <c r="AS27" s="1102">
        <f t="shared" ref="AS27" si="57">T27</f>
        <v>3637.7950868788384</v>
      </c>
      <c r="AT27" s="1142">
        <f t="shared" si="37"/>
        <v>22309.09601828958</v>
      </c>
      <c r="AU27" s="1415"/>
      <c r="AV27" s="1101">
        <f t="shared" si="38"/>
        <v>17598.553672728915</v>
      </c>
      <c r="AW27" s="1102">
        <f t="shared" si="39"/>
        <v>751.39711693352467</v>
      </c>
      <c r="AX27" s="1102">
        <f t="shared" si="40"/>
        <v>321.35014174830235</v>
      </c>
      <c r="AY27" s="1102">
        <f t="shared" si="41"/>
        <v>3637.7950868788384</v>
      </c>
      <c r="AZ27" s="1142">
        <f t="shared" si="42"/>
        <v>22309.09601828958</v>
      </c>
      <c r="BA27" s="1424"/>
      <c r="BB27" s="1101">
        <f t="shared" si="43"/>
        <v>17598.553672728915</v>
      </c>
      <c r="BC27" s="1102">
        <f t="shared" si="44"/>
        <v>751.39711693352467</v>
      </c>
      <c r="BD27" s="1102">
        <f t="shared" si="45"/>
        <v>321.35014174830235</v>
      </c>
      <c r="BE27" s="1102">
        <f t="shared" si="46"/>
        <v>3637.7950868788384</v>
      </c>
      <c r="BF27" s="1142">
        <f t="shared" si="47"/>
        <v>22309.09601828958</v>
      </c>
      <c r="BG27" s="1427"/>
      <c r="BH27" s="596">
        <f t="shared" si="48"/>
        <v>2017</v>
      </c>
      <c r="BI27" s="1102">
        <f>'Recycling - Case 1'!BV97</f>
        <v>111.48215319455257</v>
      </c>
      <c r="BJ27" s="417">
        <f>'Recycling - Case 1'!BW97</f>
        <v>0.28613022309776337</v>
      </c>
      <c r="BK27" s="1142">
        <f>'Recycling - Case 1'!BX97</f>
        <v>49.995050999999997</v>
      </c>
      <c r="BL27" s="1101">
        <f>'Recycling - Case 1'!BY97</f>
        <v>111.48215319455257</v>
      </c>
      <c r="BM27" s="576">
        <f>'Recycling - Case 1'!BZ97</f>
        <v>0.28613022309776337</v>
      </c>
      <c r="BN27" s="1142">
        <f>'Recycling - Case 1'!CA97</f>
        <v>49.995050999999997</v>
      </c>
      <c r="BO27" s="1102">
        <f>'Recycling - Case 2'!BV97</f>
        <v>111.48215319455257</v>
      </c>
      <c r="BP27" s="417">
        <f>'Recycling - Case 2'!BW97</f>
        <v>0.28613022309776337</v>
      </c>
      <c r="BQ27" s="1142">
        <f>'Recycling - Case 2'!BX97</f>
        <v>49.995050999999997</v>
      </c>
      <c r="BR27" s="1101">
        <f>'Recycling - Case 2'!BY97</f>
        <v>111.48215319455257</v>
      </c>
      <c r="BS27" s="417">
        <f>'Recycling - Case 2'!BZ97</f>
        <v>0.28613022309776337</v>
      </c>
      <c r="BT27" s="1142">
        <f>'Recycling - Case 2'!CA97</f>
        <v>49.995050999999997</v>
      </c>
      <c r="BU27" s="1102">
        <f>'Recycling - Case 3'!BV97</f>
        <v>111.48215319455257</v>
      </c>
      <c r="BV27" s="417">
        <f>'Recycling - Case 3'!BW97</f>
        <v>0.28613022309776337</v>
      </c>
      <c r="BW27" s="1142">
        <f>'Recycling - Case 3'!BX97</f>
        <v>49.995050999999997</v>
      </c>
      <c r="BX27" s="1101">
        <f>'Recycling - Case 3'!BY97</f>
        <v>111.48215319455257</v>
      </c>
      <c r="BY27" s="417">
        <f>'Recycling - Case 3'!BZ97</f>
        <v>0.28613022309776337</v>
      </c>
      <c r="BZ27" s="1142">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17230.856890422718</v>
      </c>
      <c r="Y28" s="1102">
        <f t="shared" ref="Y28:AA28" si="58">R29</f>
        <v>813.95770311191973</v>
      </c>
      <c r="Z28" s="1102">
        <f t="shared" si="58"/>
        <v>313.05069559326625</v>
      </c>
      <c r="AA28" s="1102">
        <f t="shared" si="58"/>
        <v>3728.7332486308678</v>
      </c>
      <c r="AB28" s="1142">
        <f t="shared" si="22"/>
        <v>22086.598537758771</v>
      </c>
      <c r="AC28" s="1423" t="str">
        <f>IF(OR('Recycling - Case 1'!AC98="No",'Recycling - Case 1'!T138="No"), "No", "Yes")</f>
        <v>Yes</v>
      </c>
      <c r="AD28" s="1101">
        <f>Q63</f>
        <v>17230.856890422718</v>
      </c>
      <c r="AE28" s="1102">
        <f t="shared" ref="AE28:AG28" si="59">R63</f>
        <v>813.95770311191973</v>
      </c>
      <c r="AF28" s="1102">
        <f t="shared" si="59"/>
        <v>313.05069559326625</v>
      </c>
      <c r="AG28" s="1102">
        <f t="shared" si="59"/>
        <v>3728.7332486308678</v>
      </c>
      <c r="AH28" s="1142">
        <f t="shared" ref="AH28:AH60" si="60">SUM(AD28:AG28)</f>
        <v>22086.598537758771</v>
      </c>
      <c r="AI28" s="1423" t="str">
        <f>IF(OR('Recycling - Case 1'!AC98="No",'Recycling - Case 1'!T178="No"), "No", "Yes")</f>
        <v>Yes</v>
      </c>
      <c r="AJ28" s="1101">
        <f>Q97</f>
        <v>17230.856890422718</v>
      </c>
      <c r="AK28" s="1102">
        <f t="shared" ref="AK28:AN28" si="61">R97</f>
        <v>813.95770311191973</v>
      </c>
      <c r="AL28" s="1102">
        <f t="shared" si="61"/>
        <v>313.30333811016675</v>
      </c>
      <c r="AM28" s="1102">
        <f t="shared" si="61"/>
        <v>3778.1317878798554</v>
      </c>
      <c r="AN28" s="1142">
        <f t="shared" si="61"/>
        <v>22136.249719524658</v>
      </c>
      <c r="AO28" s="1416" t="str">
        <f>IF(OR('Recycling - Case 2'!AC98="No",'Recycling - Case 2'!T138="No"), "No", "Yes")</f>
        <v>Yes</v>
      </c>
      <c r="AP28" s="1101">
        <f>Q131</f>
        <v>17230.856890422718</v>
      </c>
      <c r="AQ28" s="1102">
        <f t="shared" ref="AQ28:AS28" si="62">R131</f>
        <v>813.95770311191973</v>
      </c>
      <c r="AR28" s="1102">
        <f t="shared" si="62"/>
        <v>313.30333811016675</v>
      </c>
      <c r="AS28" s="1102">
        <f t="shared" si="62"/>
        <v>3778.1317878798554</v>
      </c>
      <c r="AT28" s="1142">
        <f t="shared" si="37"/>
        <v>22136.249719524658</v>
      </c>
      <c r="AU28" s="1423" t="str">
        <f>IF(OR('Recycling - Case 2'!AC98="No",'Recycling - Case 2'!T178="No"), "No", "Yes")</f>
        <v>Yes</v>
      </c>
      <c r="AV28" s="1101">
        <f t="shared" ref="AV28:AV60" si="63">Q165</f>
        <v>17230.856890422718</v>
      </c>
      <c r="AW28" s="1102">
        <f t="shared" ref="AW28:AW60" si="64">R165</f>
        <v>751.6821103048419</v>
      </c>
      <c r="AX28" s="1102">
        <f t="shared" ref="AX28:AX60" si="65">S165</f>
        <v>313.30333811016669</v>
      </c>
      <c r="AY28" s="1102">
        <f t="shared" ref="AY28:AY60" si="66">T165</f>
        <v>3778.1317878798554</v>
      </c>
      <c r="AZ28" s="1142">
        <f t="shared" ref="AZ28:AZ60" si="67">U165</f>
        <v>22073.974126717581</v>
      </c>
      <c r="BA28" s="1423" t="str">
        <f>IF(OR('Recycling - Case 3'!AC98="No",'Recycling - Case 3'!T138="No"), "No", "Yes")</f>
        <v>Yes</v>
      </c>
      <c r="BB28" s="1101">
        <f>Q199</f>
        <v>17230.856890422718</v>
      </c>
      <c r="BC28" s="1102">
        <f t="shared" ref="BC28:BE28" si="68">R199</f>
        <v>751.6821103048419</v>
      </c>
      <c r="BD28" s="1102">
        <f t="shared" si="68"/>
        <v>313.30333811016669</v>
      </c>
      <c r="BE28" s="1102">
        <f t="shared" si="68"/>
        <v>3778.1317878798554</v>
      </c>
      <c r="BF28" s="1142">
        <f t="shared" si="47"/>
        <v>22073.974126717581</v>
      </c>
      <c r="BG28" s="1423" t="str">
        <f>IF(OR('Recycling - Case 3'!AC98="No",'Recycling - Case 3'!T178="No"), "No", "Yes")</f>
        <v>Yes</v>
      </c>
      <c r="BH28" s="596">
        <f t="shared" si="48"/>
        <v>2018</v>
      </c>
      <c r="BI28" s="1102">
        <f>'Recycling - Case 1'!BV98</f>
        <v>108.3176056127139</v>
      </c>
      <c r="BJ28" s="417">
        <f>'Recycling - Case 1'!BW98</f>
        <v>0.30342298638676968</v>
      </c>
      <c r="BK28" s="1142">
        <f>'Recycling - Case 1'!BX98</f>
        <v>50.359792847133136</v>
      </c>
      <c r="BL28" s="1101">
        <f>'Recycling - Case 1'!BY98</f>
        <v>108.3176056127139</v>
      </c>
      <c r="BM28" s="576">
        <f>'Recycling - Case 1'!BZ98</f>
        <v>0.30342298638676968</v>
      </c>
      <c r="BN28" s="1142">
        <f>'Recycling - Case 1'!CA98</f>
        <v>50.359792847133136</v>
      </c>
      <c r="BO28" s="1102">
        <f>'Recycling - Case 2'!BV98</f>
        <v>108.79675618524169</v>
      </c>
      <c r="BP28" s="417">
        <f>'Recycling - Case 2'!BW98</f>
        <v>0.31239939440446801</v>
      </c>
      <c r="BQ28" s="1142">
        <f>'Recycling - Case 2'!BX98</f>
        <v>50.359792847133136</v>
      </c>
      <c r="BR28" s="1101">
        <f>'Recycling - Case 2'!BY98</f>
        <v>108.79675618524169</v>
      </c>
      <c r="BS28" s="417">
        <f>'Recycling - Case 2'!BZ98</f>
        <v>0.31239939440446801</v>
      </c>
      <c r="BT28" s="1142">
        <f>'Recycling - Case 2'!CA98</f>
        <v>50.359792847133136</v>
      </c>
      <c r="BU28" s="1102">
        <f>'Recycling - Case 3'!BV98</f>
        <v>108.79675618524169</v>
      </c>
      <c r="BV28" s="417">
        <f>'Recycling - Case 3'!BW98</f>
        <v>0.31239939440446801</v>
      </c>
      <c r="BW28" s="1142">
        <f>'Recycling - Case 3'!BX98</f>
        <v>50.359792847133136</v>
      </c>
      <c r="BX28" s="1101">
        <f>'Recycling - Case 3'!BY98</f>
        <v>108.79675618524169</v>
      </c>
      <c r="BY28" s="417">
        <f>'Recycling - Case 3'!BZ98</f>
        <v>0.31239939440446801</v>
      </c>
      <c r="BZ28" s="1142">
        <f>'Recycling - Case 3'!CA98</f>
        <v>50.359792847133136</v>
      </c>
      <c r="CA28" s="596">
        <v>2018</v>
      </c>
      <c r="CB28" s="649">
        <f>'Recycling - Case 1'!CB98</f>
        <v>2.3712632285903479E-2</v>
      </c>
      <c r="CC28" s="417">
        <f>'Recycling - Case 1'!CC98</f>
        <v>4.2790890844820795E-2</v>
      </c>
      <c r="CD28" s="417">
        <f>'Recycling - Case 1'!CD98</f>
        <v>2.3712632285903479E-2</v>
      </c>
      <c r="CE28" s="525">
        <f>'Recycling - Case 1'!CE98</f>
        <v>4.2790890844820795E-2</v>
      </c>
      <c r="CF28" s="649">
        <f>'Recycling - Case 2'!CB98</f>
        <v>2.3097802675159818E-2</v>
      </c>
      <c r="CG28" s="417">
        <f>'Recycling - Case 2'!CC98</f>
        <v>3.7534536819961217E-2</v>
      </c>
      <c r="CH28" s="417">
        <f>'Recycling - Case 2'!CD98</f>
        <v>2.3097802675159818E-2</v>
      </c>
      <c r="CI28" s="525">
        <f>'Recycling - Case 2'!CE98</f>
        <v>3.7534536819961217E-2</v>
      </c>
      <c r="CJ28" s="649">
        <f>'Recycling - Case 3'!CB98</f>
        <v>2.3097802675159818E-2</v>
      </c>
      <c r="CK28" s="417">
        <f>'Recycling - Case 3'!CC98</f>
        <v>3.7534536819961217E-2</v>
      </c>
      <c r="CL28" s="417">
        <f>'Recycling - Case 3'!CD98</f>
        <v>2.3097802675159818E-2</v>
      </c>
      <c r="CM28" s="525">
        <f>'Recycling - Case 3'!CE98</f>
        <v>3.7534536819961217E-2</v>
      </c>
    </row>
    <row r="29" spans="1:91">
      <c r="A29" s="1428">
        <f>'Input data'!A118</f>
        <v>2018</v>
      </c>
      <c r="B29" s="1428"/>
      <c r="C29" s="1429">
        <f>'4A SWD Case 1'!BG88</f>
        <v>820.5169947820342</v>
      </c>
      <c r="D29" s="515">
        <f>'4B Biological treatment '!T82</f>
        <v>0.32115863087580998</v>
      </c>
      <c r="E29" s="1430">
        <f>'4B Biological treatment '!U82</f>
        <v>20.384176057159792</v>
      </c>
      <c r="F29" s="1430">
        <f>'4B Biological treatment '!W82</f>
        <v>1.2230505634295874</v>
      </c>
      <c r="G29" s="515">
        <f>'4C2 Open-burning '!R89</f>
        <v>32.890504306921038</v>
      </c>
      <c r="H29" s="515">
        <f>'4C2 Open-burning '!Z89</f>
        <v>11.066647744235141</v>
      </c>
      <c r="I29" s="515">
        <f>'4C2 Open-burning '!AH89</f>
        <v>0.15406641502389429</v>
      </c>
      <c r="J29" s="1431">
        <f>'4D Wastewater treatment and dis'!AV126</f>
        <v>134.80821026422416</v>
      </c>
      <c r="K29" s="1432">
        <f>'4D Wastewater treatment and dis'!AW126</f>
        <v>2.8960026873618072</v>
      </c>
      <c r="L29" s="1433">
        <f t="shared" ref="L29:L61" si="69">C29*$B$3</f>
        <v>17230.856890422718</v>
      </c>
      <c r="M29" s="1432">
        <f t="shared" ref="M29:M61" si="70">D29*$B$3</f>
        <v>6.7443312483920099</v>
      </c>
      <c r="N29" s="1433">
        <f t="shared" ref="N29:N61" si="71">E29*$B$3+F29*$C$3</f>
        <v>807.21337186352775</v>
      </c>
      <c r="O29" s="1429">
        <f t="shared" ref="O29:O61" si="72">G29+H29*$B$3+I29*$C$3</f>
        <v>313.05069559326625</v>
      </c>
      <c r="P29" s="1433">
        <f t="shared" ref="P29:P61" si="73">J29*$B$3+K29*$C$3</f>
        <v>3728.7332486308678</v>
      </c>
      <c r="Q29" s="471">
        <f t="shared" ref="Q29:Q125" si="74">L29</f>
        <v>17230.856890422718</v>
      </c>
      <c r="R29" s="517">
        <f t="shared" ref="R29:R125" si="75">M29+N29</f>
        <v>813.95770311191973</v>
      </c>
      <c r="S29" s="514">
        <f t="shared" ref="S29:S125" si="76">O29</f>
        <v>313.05069559326625</v>
      </c>
      <c r="T29" s="471">
        <f t="shared" ref="T29:T125" si="77">P29</f>
        <v>3728.7332486308678</v>
      </c>
      <c r="U29" s="471">
        <f t="shared" ref="U29:U125" si="78">SUM(Q29:T29)</f>
        <v>22086.598537758771</v>
      </c>
      <c r="V29" s="3"/>
      <c r="W29" s="596">
        <f t="shared" ref="W29:W60" si="79">A30</f>
        <v>2019</v>
      </c>
      <c r="X29" s="1101">
        <f t="shared" ref="X29:X60" si="80">Q30</f>
        <v>16834.009318398883</v>
      </c>
      <c r="Y29" s="1102">
        <f t="shared" ref="Y29:Y60" si="81">R30</f>
        <v>965.18898465661198</v>
      </c>
      <c r="Z29" s="1102">
        <f t="shared" ref="Z29:Z60" si="82">S30</f>
        <v>304.9221239283998</v>
      </c>
      <c r="AA29" s="1102">
        <f t="shared" ref="AA29:AA60" si="83">T30</f>
        <v>3821.6612855587077</v>
      </c>
      <c r="AB29" s="1142">
        <f t="shared" si="22"/>
        <v>21925.781712542605</v>
      </c>
      <c r="AC29" s="1423" t="str">
        <f>IF(OR('Recycling - Case 1'!AC99="No",'Recycling - Case 1'!T139="No"), "No", "Yes")</f>
        <v>Yes</v>
      </c>
      <c r="AD29" s="1101">
        <f t="shared" ref="AD29:AD60" si="84">Q64</f>
        <v>16834.009318398883</v>
      </c>
      <c r="AE29" s="1102">
        <f t="shared" ref="AE29:AE60" si="85">R64</f>
        <v>965.18898465661198</v>
      </c>
      <c r="AF29" s="1102">
        <f t="shared" ref="AF29:AF60" si="86">S64</f>
        <v>304.9221239283998</v>
      </c>
      <c r="AG29" s="1102">
        <f t="shared" ref="AG29:AG60" si="87">T64</f>
        <v>3821.6612855587077</v>
      </c>
      <c r="AH29" s="1142">
        <f t="shared" si="60"/>
        <v>21925.781712542605</v>
      </c>
      <c r="AI29" s="1423" t="str">
        <f>IF(OR('Recycling - Case 1'!AI10="No",'Recycling - Case 1'!Z139="No"), "No", "Yes")</f>
        <v>Yes</v>
      </c>
      <c r="AJ29" s="1101">
        <f t="shared" ref="AJ29:AJ60" si="88">Q98</f>
        <v>16839.898969230198</v>
      </c>
      <c r="AK29" s="1102">
        <f t="shared" ref="AK29:AK60" si="89">R98</f>
        <v>965.18898465661198</v>
      </c>
      <c r="AL29" s="1102">
        <f t="shared" ref="AL29:AL60" si="90">S98</f>
        <v>307.81392004196488</v>
      </c>
      <c r="AM29" s="1102">
        <f t="shared" ref="AM29:AM60" si="91">T98</f>
        <v>3922.0560748079342</v>
      </c>
      <c r="AN29" s="1142">
        <f t="shared" ref="AN29:AN60" si="92">U98</f>
        <v>22034.957948736708</v>
      </c>
      <c r="AO29" s="1416" t="str">
        <f>IF(OR('Recycling - Case 2'!AC99="No",'Recycling - Case 2'!T139="No"), "No", "Yes")</f>
        <v>Yes</v>
      </c>
      <c r="AP29" s="1101">
        <f t="shared" ref="AP29:AP60" si="93">Q132</f>
        <v>16839.898969230198</v>
      </c>
      <c r="AQ29" s="1102">
        <f t="shared" ref="AQ29:AQ60" si="94">R132</f>
        <v>965.18898465661198</v>
      </c>
      <c r="AR29" s="1102">
        <f t="shared" ref="AR29:AR60" si="95">S132</f>
        <v>307.81392004196488</v>
      </c>
      <c r="AS29" s="1102">
        <f t="shared" ref="AS29:AS60" si="96">T132</f>
        <v>3922.0560748079342</v>
      </c>
      <c r="AT29" s="1142">
        <f t="shared" si="37"/>
        <v>22034.957948736708</v>
      </c>
      <c r="AU29" s="1423" t="str">
        <f>IF(OR('Recycling - Case 2'!AC99="No",'Recycling - Case 2'!T179="No"), "No", "Yes")</f>
        <v>Yes</v>
      </c>
      <c r="AV29" s="1101">
        <f t="shared" si="63"/>
        <v>16839.906548915631</v>
      </c>
      <c r="AW29" s="1102">
        <f t="shared" si="64"/>
        <v>816.26147130889444</v>
      </c>
      <c r="AX29" s="1102">
        <f t="shared" si="65"/>
        <v>307.81392004196488</v>
      </c>
      <c r="AY29" s="1102">
        <f t="shared" si="66"/>
        <v>3922.0560748079342</v>
      </c>
      <c r="AZ29" s="1142">
        <f t="shared" si="67"/>
        <v>21886.038015074424</v>
      </c>
      <c r="BA29" s="1423" t="str">
        <f>IF(OR('Recycling - Case 3'!AC99="No",'Recycling - Case 3'!T139="No"), "No", "Yes")</f>
        <v>Yes</v>
      </c>
      <c r="BB29" s="1101">
        <f t="shared" ref="BB29:BB60" si="97">Q200</f>
        <v>16839.906548915631</v>
      </c>
      <c r="BC29" s="1102">
        <f t="shared" ref="BC29:BC60" si="98">R200</f>
        <v>816.26147130889444</v>
      </c>
      <c r="BD29" s="1102">
        <f t="shared" ref="BD29:BD60" si="99">S200</f>
        <v>307.81392004196488</v>
      </c>
      <c r="BE29" s="1102">
        <f t="shared" ref="BE29:BE60" si="100">T200</f>
        <v>3922.0560748079342</v>
      </c>
      <c r="BF29" s="1142">
        <f t="shared" si="47"/>
        <v>21886.038015074424</v>
      </c>
      <c r="BG29" s="1423" t="str">
        <f>IF(OR('Recycling - Case 3'!AC99="No",'Recycling - Case 3'!T179="No"), "No", "Yes")</f>
        <v>Yes</v>
      </c>
      <c r="BH29" s="596">
        <f t="shared" si="48"/>
        <v>2019</v>
      </c>
      <c r="BI29" s="1102">
        <f>'Recycling - Case 1'!BV99</f>
        <v>111.94119921542054</v>
      </c>
      <c r="BJ29" s="417">
        <f>'Recycling - Case 1'!BW99</f>
        <v>0.36096877201846911</v>
      </c>
      <c r="BK29" s="1142">
        <f>'Recycling - Case 1'!BX99</f>
        <v>53.464172913892831</v>
      </c>
      <c r="BL29" s="1101">
        <f>'Recycling - Case 1'!BY99</f>
        <v>111.94119921542054</v>
      </c>
      <c r="BM29" s="576">
        <f>'Recycling - Case 1'!BZ99</f>
        <v>0.36096877201846911</v>
      </c>
      <c r="BN29" s="1142">
        <f>'Recycling - Case 1'!CA99</f>
        <v>53.464172913892831</v>
      </c>
      <c r="BO29" s="1102">
        <f>'Recycling - Case 2'!BV99</f>
        <v>113.60149224673694</v>
      </c>
      <c r="BP29" s="417">
        <f>'Recycling - Case 2'!BW99</f>
        <v>0.37650882002073971</v>
      </c>
      <c r="BQ29" s="1142">
        <f>'Recycling - Case 2'!BX99</f>
        <v>53.464172913892831</v>
      </c>
      <c r="BR29" s="1101">
        <f>'Recycling - Case 2'!BY99</f>
        <v>113.60149224673694</v>
      </c>
      <c r="BS29" s="417">
        <f>'Recycling - Case 2'!BZ99</f>
        <v>0.37650882002073971</v>
      </c>
      <c r="BT29" s="1142">
        <f>'Recycling - Case 2'!CA99</f>
        <v>53.464172913892831</v>
      </c>
      <c r="BU29" s="1102">
        <f>'Recycling - Case 3'!BV99</f>
        <v>113.60149224673694</v>
      </c>
      <c r="BV29" s="417">
        <f>'Recycling - Case 3'!BW99</f>
        <v>0.37650882002073971</v>
      </c>
      <c r="BW29" s="1142">
        <f>'Recycling - Case 3'!BX99</f>
        <v>53.464172913892831</v>
      </c>
      <c r="BX29" s="1101">
        <f>'Recycling - Case 3'!BY99</f>
        <v>113.60149224673694</v>
      </c>
      <c r="BY29" s="417">
        <f>'Recycling - Case 3'!BZ99</f>
        <v>0.37650882002073971</v>
      </c>
      <c r="BZ29" s="1142">
        <f>'Recycling - Case 3'!CA99</f>
        <v>53.464172913892831</v>
      </c>
      <c r="CA29" s="596">
        <v>2019</v>
      </c>
      <c r="CB29" s="649">
        <f>'Recycling - Case 1'!CB99</f>
        <v>4.7766344222348933E-2</v>
      </c>
      <c r="CC29" s="417">
        <f>'Recycling - Case 1'!CC99</f>
        <v>0.17297515448432232</v>
      </c>
      <c r="CD29" s="417">
        <f>'Recycling - Case 1'!CD99</f>
        <v>4.7766344222348933E-2</v>
      </c>
      <c r="CE29" s="525">
        <f>'Recycling - Case 1'!CE99</f>
        <v>0.17297515448432232</v>
      </c>
      <c r="CF29" s="649">
        <f>'Recycling - Case 2'!CB99</f>
        <v>4.2261345922522509E-2</v>
      </c>
      <c r="CG29" s="417">
        <f>'Recycling - Case 2'!CC99</f>
        <v>0.15871146115466328</v>
      </c>
      <c r="CH29" s="417">
        <f>'Recycling - Case 2'!CD99</f>
        <v>4.2261345922522509E-2</v>
      </c>
      <c r="CI29" s="525">
        <f>'Recycling - Case 2'!CE99</f>
        <v>0.15871146115466328</v>
      </c>
      <c r="CJ29" s="649">
        <f>'Recycling - Case 3'!CB99</f>
        <v>4.2261345922522509E-2</v>
      </c>
      <c r="CK29" s="417">
        <f>'Recycling - Case 3'!CC99</f>
        <v>0.15871146115466328</v>
      </c>
      <c r="CL29" s="417">
        <f>'Recycling - Case 3'!CD99</f>
        <v>4.2261345922522509E-2</v>
      </c>
      <c r="CM29" s="525">
        <f>'Recycling - Case 3'!CE99</f>
        <v>0.15871146115466328</v>
      </c>
    </row>
    <row r="30" spans="1:91">
      <c r="A30" s="4">
        <f>'Input data'!A119</f>
        <v>2019</v>
      </c>
      <c r="B30" s="4"/>
      <c r="C30" s="769">
        <f>'4A SWD Case 1'!BG89</f>
        <v>801.61949135232783</v>
      </c>
      <c r="D30" s="3">
        <f>'4B Biological treatment '!T83</f>
        <v>0.42961305766478691</v>
      </c>
      <c r="E30" s="1157">
        <f>'4B Biological treatment '!U83</f>
        <v>24.145634102162916</v>
      </c>
      <c r="F30" s="1157">
        <f>'4B Biological treatment '!W83</f>
        <v>1.448738046129775</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16834.009318398883</v>
      </c>
      <c r="M30" s="772">
        <f t="shared" si="70"/>
        <v>9.0218742109605259</v>
      </c>
      <c r="N30" s="771">
        <f t="shared" si="71"/>
        <v>956.16711044565147</v>
      </c>
      <c r="O30" s="773">
        <f t="shared" si="72"/>
        <v>304.9221239283998</v>
      </c>
      <c r="P30" s="771">
        <f t="shared" si="73"/>
        <v>3821.6612855587077</v>
      </c>
      <c r="Q30" s="519">
        <f t="shared" si="74"/>
        <v>16834.009318398883</v>
      </c>
      <c r="R30" s="521">
        <f t="shared" si="75"/>
        <v>965.18898465661198</v>
      </c>
      <c r="S30" s="518">
        <f t="shared" si="76"/>
        <v>304.9221239283998</v>
      </c>
      <c r="T30" s="519">
        <f t="shared" si="77"/>
        <v>3821.6612855587077</v>
      </c>
      <c r="U30" s="519">
        <f t="shared" si="78"/>
        <v>21925.781712542605</v>
      </c>
      <c r="V30" s="3"/>
      <c r="W30" s="596">
        <f t="shared" si="79"/>
        <v>2020</v>
      </c>
      <c r="X30" s="1101">
        <f t="shared" si="80"/>
        <v>16400.178396217063</v>
      </c>
      <c r="Y30" s="1102">
        <f t="shared" si="81"/>
        <v>993.04858779095036</v>
      </c>
      <c r="Z30" s="1102">
        <f t="shared" si="82"/>
        <v>296.99089802855298</v>
      </c>
      <c r="AA30" s="1102">
        <f t="shared" si="83"/>
        <v>3911.6672857917038</v>
      </c>
      <c r="AB30" s="1142">
        <f t="shared" si="22"/>
        <v>21601.88516782827</v>
      </c>
      <c r="AC30" s="1423" t="str">
        <f>IF(OR('Recycling - Case 1'!AC100="No",'Recycling - Case 1'!T140="No"), "No", "Yes")</f>
        <v>Yes</v>
      </c>
      <c r="AD30" s="1101">
        <f t="shared" si="84"/>
        <v>16400.178396217063</v>
      </c>
      <c r="AE30" s="1102">
        <f t="shared" si="85"/>
        <v>993.04858779095036</v>
      </c>
      <c r="AF30" s="1102">
        <f t="shared" si="86"/>
        <v>296.99089802855298</v>
      </c>
      <c r="AG30" s="1102">
        <f t="shared" si="87"/>
        <v>3911.6672857917038</v>
      </c>
      <c r="AH30" s="1142">
        <f t="shared" si="60"/>
        <v>21601.88516782827</v>
      </c>
      <c r="AI30" s="1423" t="str">
        <f>IF(OR('Recycling - Case 1'!AI11="No",'Recycling - Case 1'!Z140="No"), "No", "Yes")</f>
        <v>Yes</v>
      </c>
      <c r="AJ30" s="1101">
        <f t="shared" si="88"/>
        <v>16423.035608032467</v>
      </c>
      <c r="AK30" s="1102">
        <f t="shared" si="89"/>
        <v>1048.5083161077769</v>
      </c>
      <c r="AL30" s="1102">
        <f t="shared" si="90"/>
        <v>299.56938939855024</v>
      </c>
      <c r="AM30" s="1102">
        <f t="shared" si="91"/>
        <v>4064.5012919255478</v>
      </c>
      <c r="AN30" s="1142">
        <f t="shared" si="92"/>
        <v>21835.614605464347</v>
      </c>
      <c r="AO30" s="1416" t="str">
        <f>IF(OR('Recycling - Case 2'!AC100="No",'Recycling - Case 2'!T140="No"), "No", "Yes")</f>
        <v>Yes</v>
      </c>
      <c r="AP30" s="1101">
        <f t="shared" si="93"/>
        <v>16423.035608032467</v>
      </c>
      <c r="AQ30" s="1102">
        <f t="shared" si="94"/>
        <v>1048.5083161077769</v>
      </c>
      <c r="AR30" s="1102">
        <f t="shared" si="95"/>
        <v>299.56938939855024</v>
      </c>
      <c r="AS30" s="1102">
        <f t="shared" si="96"/>
        <v>4064.5012919255478</v>
      </c>
      <c r="AT30" s="1142">
        <f t="shared" si="37"/>
        <v>21835.614605464347</v>
      </c>
      <c r="AU30" s="1423" t="str">
        <f>IF(OR('Recycling - Case 2'!AC100="No",'Recycling - Case 2'!T180="No"), "No", "Yes")</f>
        <v>Yes</v>
      </c>
      <c r="AV30" s="1101">
        <f t="shared" si="63"/>
        <v>16423.058150834138</v>
      </c>
      <c r="AW30" s="1102">
        <f t="shared" si="64"/>
        <v>804.55310712020696</v>
      </c>
      <c r="AX30" s="1102">
        <f t="shared" si="65"/>
        <v>299.5693893985503</v>
      </c>
      <c r="AY30" s="1102">
        <f t="shared" si="66"/>
        <v>4064.5012919255478</v>
      </c>
      <c r="AZ30" s="1142">
        <f t="shared" si="67"/>
        <v>21591.681939278445</v>
      </c>
      <c r="BA30" s="1423" t="str">
        <f>IF(OR('Recycling - Case 3'!AC100="No",'Recycling - Case 3'!T140="No"), "No", "Yes")</f>
        <v>Yes</v>
      </c>
      <c r="BB30" s="1101">
        <f t="shared" si="97"/>
        <v>16423.058150834138</v>
      </c>
      <c r="BC30" s="1102">
        <f t="shared" si="98"/>
        <v>804.55310712020685</v>
      </c>
      <c r="BD30" s="1102">
        <f t="shared" si="99"/>
        <v>299.5693893985503</v>
      </c>
      <c r="BE30" s="1102">
        <f t="shared" si="100"/>
        <v>4064.5012919255478</v>
      </c>
      <c r="BF30" s="1142">
        <f t="shared" si="47"/>
        <v>21591.681939278445</v>
      </c>
      <c r="BG30" s="1423" t="str">
        <f>IF(OR('Recycling - Case 3'!AC100="No",'Recycling - Case 3'!T180="No"), "No", "Yes")</f>
        <v>Yes</v>
      </c>
      <c r="BH30" s="596">
        <f t="shared" si="48"/>
        <v>2020</v>
      </c>
      <c r="BI30" s="1102">
        <f>'Recycling - Case 1'!BV100</f>
        <v>107.39659859637534</v>
      </c>
      <c r="BJ30" s="417">
        <f>'Recycling - Case 1'!BW100</f>
        <v>0.36851163031595591</v>
      </c>
      <c r="BK30" s="1142">
        <f>'Recycling - Case 1'!BX100</f>
        <v>51.247282188414559</v>
      </c>
      <c r="BL30" s="1101">
        <f>'Recycling - Case 1'!BY100</f>
        <v>107.39659859637534</v>
      </c>
      <c r="BM30" s="576">
        <f>'Recycling - Case 1'!BZ100</f>
        <v>0.36851163031595591</v>
      </c>
      <c r="BN30" s="1142">
        <f>'Recycling - Case 1'!CA100</f>
        <v>51.247282188414559</v>
      </c>
      <c r="BO30" s="1102">
        <f>'Recycling - Case 2'!BV100</f>
        <v>107.77625019609012</v>
      </c>
      <c r="BP30" s="417">
        <f>'Recycling - Case 2'!BW100</f>
        <v>0.40188279751177231</v>
      </c>
      <c r="BQ30" s="1142">
        <f>'Recycling - Case 2'!BX100</f>
        <v>51.247282188414559</v>
      </c>
      <c r="BR30" s="1101">
        <f>'Recycling - Case 2'!BY100</f>
        <v>107.77625019609012</v>
      </c>
      <c r="BS30" s="417">
        <f>'Recycling - Case 2'!BZ100</f>
        <v>0.40188279751177231</v>
      </c>
      <c r="BT30" s="1142">
        <f>'Recycling - Case 2'!CA100</f>
        <v>51.247282188414559</v>
      </c>
      <c r="BU30" s="1102">
        <f>'Recycling - Case 3'!BV100</f>
        <v>107.77625019609012</v>
      </c>
      <c r="BV30" s="417">
        <f>'Recycling - Case 3'!BW100</f>
        <v>0.40188279751177231</v>
      </c>
      <c r="BW30" s="1142">
        <f>'Recycling - Case 3'!BX100</f>
        <v>51.247282188414559</v>
      </c>
      <c r="BX30" s="1101">
        <f>'Recycling - Case 3'!BY100</f>
        <v>107.77625019609012</v>
      </c>
      <c r="BY30" s="417">
        <f>'Recycling - Case 3'!BZ100</f>
        <v>0.40188279751177231</v>
      </c>
      <c r="BZ30" s="1142">
        <f>'Recycling - Case 3'!CA100</f>
        <v>51.247282188414559</v>
      </c>
      <c r="CA30" s="596">
        <v>2020</v>
      </c>
      <c r="CB30" s="649">
        <f>'Recycling - Case 1'!CB100</f>
        <v>6.9198846415845283E-2</v>
      </c>
      <c r="CC30" s="417">
        <f>'Recycling - Case 1'!CC100</f>
        <v>0.17042995723914101</v>
      </c>
      <c r="CD30" s="417">
        <f>'Recycling - Case 1'!CD100</f>
        <v>6.9198846415845283E-2</v>
      </c>
      <c r="CE30" s="525">
        <f>'Recycling - Case 1'!CE100</f>
        <v>0.17042995723914101</v>
      </c>
      <c r="CF30" s="649">
        <f>'Recycling - Case 2'!CB100</f>
        <v>6.225793333678542E-2</v>
      </c>
      <c r="CG30" s="417">
        <f>'Recycling - Case 2'!CC100</f>
        <v>0.16840334018565795</v>
      </c>
      <c r="CH30" s="417">
        <f>'Recycling - Case 2'!CD100</f>
        <v>6.225793333678542E-2</v>
      </c>
      <c r="CI30" s="525">
        <f>'Recycling - Case 2'!CE100</f>
        <v>0.16840334018565795</v>
      </c>
      <c r="CJ30" s="649">
        <f>'Recycling - Case 3'!CB100</f>
        <v>6.225793333678542E-2</v>
      </c>
      <c r="CK30" s="417">
        <f>'Recycling - Case 3'!CC100</f>
        <v>0.16840334018565795</v>
      </c>
      <c r="CL30" s="417">
        <f>'Recycling - Case 3'!CD100</f>
        <v>6.225793333678542E-2</v>
      </c>
      <c r="CM30" s="525">
        <f>'Recycling - Case 3'!CE100</f>
        <v>0.16840334018565795</v>
      </c>
    </row>
    <row r="31" spans="1:91">
      <c r="A31" s="4">
        <f>'Input data'!A120</f>
        <v>2020</v>
      </c>
      <c r="B31" s="4"/>
      <c r="C31" s="769">
        <f>'4A SWD Case 1'!BG90</f>
        <v>780.96087601033639</v>
      </c>
      <c r="D31" s="3">
        <f>'4B Biological treatment '!T84</f>
        <v>0.47497175708801948</v>
      </c>
      <c r="E31" s="1157">
        <f>'4B Biological treatment '!U84</f>
        <v>24.825105578083381</v>
      </c>
      <c r="F31" s="1157">
        <f>'4B Biological treatment '!W84</f>
        <v>1.4895063346850028</v>
      </c>
      <c r="G31" s="952">
        <f>'4C2 Open-burning '!R91</f>
        <v>31.203190244355365</v>
      </c>
      <c r="H31" s="952">
        <f>'4C2 Open-burning '!Z91</f>
        <v>10.498918219930484</v>
      </c>
      <c r="I31" s="952">
        <f>'4C2 Open-burning '!AH91</f>
        <v>0.14616266182470142</v>
      </c>
      <c r="J31" s="987">
        <f>'4D Wastewater treatment and dis'!AV128</f>
        <v>142.18130252934324</v>
      </c>
      <c r="K31" s="770">
        <f>'4D Wastewater treatment and dis'!AW128</f>
        <v>2.9866449441145018</v>
      </c>
      <c r="L31" s="771">
        <f t="shared" si="69"/>
        <v>16400.178396217063</v>
      </c>
      <c r="M31" s="772">
        <f t="shared" si="70"/>
        <v>9.9744068988484091</v>
      </c>
      <c r="N31" s="771">
        <f t="shared" si="71"/>
        <v>983.07418089210194</v>
      </c>
      <c r="O31" s="773">
        <f t="shared" si="72"/>
        <v>296.99089802855298</v>
      </c>
      <c r="P31" s="771">
        <f t="shared" si="73"/>
        <v>3911.6672857917038</v>
      </c>
      <c r="Q31" s="519">
        <f t="shared" si="74"/>
        <v>16400.178396217063</v>
      </c>
      <c r="R31" s="521">
        <f t="shared" si="75"/>
        <v>993.04858779095036</v>
      </c>
      <c r="S31" s="518">
        <f t="shared" si="76"/>
        <v>296.99089802855298</v>
      </c>
      <c r="T31" s="519">
        <f t="shared" si="77"/>
        <v>3911.6672857917038</v>
      </c>
      <c r="U31" s="519">
        <f t="shared" si="78"/>
        <v>21601.88516782827</v>
      </c>
      <c r="V31" s="3"/>
      <c r="W31" s="596">
        <f t="shared" si="79"/>
        <v>2021</v>
      </c>
      <c r="X31" s="1101">
        <f t="shared" si="80"/>
        <v>15963.910216945675</v>
      </c>
      <c r="Y31" s="1102">
        <f t="shared" si="81"/>
        <v>1052.8992274133789</v>
      </c>
      <c r="Z31" s="1102">
        <f t="shared" si="82"/>
        <v>289.21016261452377</v>
      </c>
      <c r="AA31" s="1102">
        <f t="shared" si="83"/>
        <v>4007.1453596371134</v>
      </c>
      <c r="AB31" s="1142">
        <f t="shared" si="22"/>
        <v>21313.16496661069</v>
      </c>
      <c r="AC31" s="1423" t="str">
        <f>IF(OR('Recycling - Case 1'!AC101="No",'Recycling - Case 1'!T141="No"), "No", "Yes")</f>
        <v>Yes</v>
      </c>
      <c r="AD31" s="1101">
        <f t="shared" si="84"/>
        <v>15963.910216945675</v>
      </c>
      <c r="AE31" s="1102">
        <f t="shared" si="85"/>
        <v>1052.8992274133789</v>
      </c>
      <c r="AF31" s="1102">
        <f t="shared" si="86"/>
        <v>289.21016261452377</v>
      </c>
      <c r="AG31" s="1102">
        <f t="shared" si="87"/>
        <v>4007.1453596371134</v>
      </c>
      <c r="AH31" s="1142">
        <f t="shared" si="60"/>
        <v>21313.16496661069</v>
      </c>
      <c r="AI31" s="1423" t="str">
        <f>IF(OR('Recycling - Case 1'!AI12="No",'Recycling - Case 1'!Z141="No"), "No", "Yes")</f>
        <v>Yes</v>
      </c>
      <c r="AJ31" s="1101">
        <f t="shared" si="88"/>
        <v>15979.386076279519</v>
      </c>
      <c r="AK31" s="1102">
        <f t="shared" si="89"/>
        <v>1273.0199745103064</v>
      </c>
      <c r="AL31" s="1102">
        <f t="shared" si="90"/>
        <v>275.14354267408976</v>
      </c>
      <c r="AM31" s="1102">
        <f t="shared" si="91"/>
        <v>4214.1456227606122</v>
      </c>
      <c r="AN31" s="1142">
        <f t="shared" si="92"/>
        <v>21741.695216224529</v>
      </c>
      <c r="AO31" s="1416" t="str">
        <f>IF(OR('Recycling - Case 2'!AC101="No",'Recycling - Case 2'!T141="No"), "No", "Yes")</f>
        <v>Yes</v>
      </c>
      <c r="AP31" s="1101">
        <f t="shared" si="93"/>
        <v>15979.386076279519</v>
      </c>
      <c r="AQ31" s="1102">
        <f t="shared" si="94"/>
        <v>1273.0199745103064</v>
      </c>
      <c r="AR31" s="1102">
        <f t="shared" si="95"/>
        <v>275.14354267408976</v>
      </c>
      <c r="AS31" s="1102">
        <f t="shared" si="96"/>
        <v>4214.1456227606122</v>
      </c>
      <c r="AT31" s="1142">
        <f t="shared" si="37"/>
        <v>21741.695216224529</v>
      </c>
      <c r="AU31" s="1423" t="str">
        <f>IF(OR('Recycling - Case 2'!AC101="No",'Recycling - Case 2'!T181="No"), "No", "Yes")</f>
        <v>Yes</v>
      </c>
      <c r="AV31" s="1101">
        <f t="shared" si="63"/>
        <v>15979.430757058764</v>
      </c>
      <c r="AW31" s="1102">
        <f t="shared" si="64"/>
        <v>875.70330766334484</v>
      </c>
      <c r="AX31" s="1102">
        <f t="shared" si="65"/>
        <v>275.14354267408982</v>
      </c>
      <c r="AY31" s="1102">
        <f t="shared" si="66"/>
        <v>4214.1456227606122</v>
      </c>
      <c r="AZ31" s="1142">
        <f t="shared" si="67"/>
        <v>21344.423230156812</v>
      </c>
      <c r="BA31" s="1423" t="str">
        <f>IF(OR('Recycling - Case 3'!AC101="No",'Recycling - Case 3'!T141="No"), "No", "Yes")</f>
        <v>Yes</v>
      </c>
      <c r="BB31" s="1101">
        <f t="shared" si="97"/>
        <v>15979.430757058764</v>
      </c>
      <c r="BC31" s="1102">
        <f t="shared" si="98"/>
        <v>875.70330766334473</v>
      </c>
      <c r="BD31" s="1102">
        <f t="shared" si="99"/>
        <v>275.14354267408982</v>
      </c>
      <c r="BE31" s="1102">
        <f t="shared" si="100"/>
        <v>4214.1456227606122</v>
      </c>
      <c r="BF31" s="1142">
        <f t="shared" si="47"/>
        <v>21344.423230156812</v>
      </c>
      <c r="BG31" s="1423" t="str">
        <f>IF(OR('Recycling - Case 3'!AC101="No",'Recycling - Case 3'!T181="No"), "No", "Yes")</f>
        <v>Yes</v>
      </c>
      <c r="BH31" s="596">
        <f t="shared" si="48"/>
        <v>2021</v>
      </c>
      <c r="BI31" s="1102">
        <f>'Recycling - Case 1'!BV101</f>
        <v>105.35297165506665</v>
      </c>
      <c r="BJ31" s="417">
        <f>'Recycling - Case 1'!BW101</f>
        <v>0.38968655185697604</v>
      </c>
      <c r="BK31" s="1142">
        <f>'Recycling - Case 1'!BX101</f>
        <v>50.719928257477683</v>
      </c>
      <c r="BL31" s="1101">
        <f>'Recycling - Case 1'!BY101</f>
        <v>105.35297165506665</v>
      </c>
      <c r="BM31" s="576">
        <f>'Recycling - Case 1'!BZ101</f>
        <v>0.38968655185697604</v>
      </c>
      <c r="BN31" s="1142">
        <f>'Recycling - Case 1'!CA101</f>
        <v>50.719928257477683</v>
      </c>
      <c r="BO31" s="1102">
        <f>'Recycling - Case 2'!BV101</f>
        <v>98.518596994374505</v>
      </c>
      <c r="BP31" s="417">
        <f>'Recycling - Case 2'!BW101</f>
        <v>0.47492724757155907</v>
      </c>
      <c r="BQ31" s="1142">
        <f>'Recycling - Case 2'!BX101</f>
        <v>50.719928257477683</v>
      </c>
      <c r="BR31" s="1101">
        <f>'Recycling - Case 2'!BY101</f>
        <v>98.518596994374505</v>
      </c>
      <c r="BS31" s="417">
        <f>'Recycling - Case 2'!BZ101</f>
        <v>0.47492724757155907</v>
      </c>
      <c r="BT31" s="1142">
        <f>'Recycling - Case 2'!CA101</f>
        <v>50.719928257477683</v>
      </c>
      <c r="BU31" s="1102">
        <f>'Recycling - Case 3'!BV101</f>
        <v>98.518596994374505</v>
      </c>
      <c r="BV31" s="417">
        <f>'Recycling - Case 3'!BW101</f>
        <v>0.47492724757155907</v>
      </c>
      <c r="BW31" s="1142">
        <f>'Recycling - Case 3'!BX101</f>
        <v>50.719928257477683</v>
      </c>
      <c r="BX31" s="1101">
        <f>'Recycling - Case 3'!BY101</f>
        <v>98.518596994374505</v>
      </c>
      <c r="BY31" s="417">
        <f>'Recycling - Case 3'!BZ101</f>
        <v>0.47492724757155907</v>
      </c>
      <c r="BZ31" s="1142">
        <f>'Recycling - Case 3'!CA101</f>
        <v>50.719928257477683</v>
      </c>
      <c r="CA31" s="596">
        <v>2021</v>
      </c>
      <c r="CB31" s="649">
        <f>'Recycling - Case 1'!CB101</f>
        <v>8.961457279319629E-2</v>
      </c>
      <c r="CC31" s="417">
        <f>'Recycling - Case 1'!CC101</f>
        <v>0.19821732838659767</v>
      </c>
      <c r="CD31" s="417">
        <f>'Recycling - Case 1'!CD101</f>
        <v>8.961457279319629E-2</v>
      </c>
      <c r="CE31" s="525">
        <f>'Recycling - Case 1'!CE101</f>
        <v>0.19821732838659767</v>
      </c>
      <c r="CF31" s="649">
        <f>'Recycling - Case 2'!CB101</f>
        <v>9.9162220196375661E-2</v>
      </c>
      <c r="CG31" s="417">
        <f>'Recycling - Case 2'!CC101</f>
        <v>0.26257112936202054</v>
      </c>
      <c r="CH31" s="417">
        <f>'Recycling - Case 2'!CD101</f>
        <v>9.9162220196375661E-2</v>
      </c>
      <c r="CI31" s="525">
        <f>'Recycling - Case 2'!CE101</f>
        <v>0.26257112936202054</v>
      </c>
      <c r="CJ31" s="649">
        <f>'Recycling - Case 3'!CB101</f>
        <v>9.9162220196375661E-2</v>
      </c>
      <c r="CK31" s="417">
        <f>'Recycling - Case 3'!CC101</f>
        <v>0.26257112936202054</v>
      </c>
      <c r="CL31" s="417">
        <f>'Recycling - Case 3'!CD101</f>
        <v>9.9162220196375661E-2</v>
      </c>
      <c r="CM31" s="525">
        <f>'Recycling - Case 3'!CE101</f>
        <v>0.26257112936202054</v>
      </c>
    </row>
    <row r="32" spans="1:91">
      <c r="A32" s="4">
        <f>'Input data'!A121</f>
        <v>2021</v>
      </c>
      <c r="B32" s="4"/>
      <c r="C32" s="769">
        <f>'4A SWD Case 1'!BG91</f>
        <v>760.18620080693688</v>
      </c>
      <c r="D32" s="3">
        <f>'4B Biological treatment '!T85</f>
        <v>0.54340373352623117</v>
      </c>
      <c r="E32" s="1157">
        <f>'4B Biological treatment '!U85</f>
        <v>26.300195682053744</v>
      </c>
      <c r="F32" s="1157">
        <f>'4B Biological treatment '!W85</f>
        <v>1.5780117409232244</v>
      </c>
      <c r="G32" s="952">
        <f>'4C2 Open-burning '!R92</f>
        <v>30.385711429426816</v>
      </c>
      <c r="H32" s="952">
        <f>'4C2 Open-burning '!Z92</f>
        <v>10.223861626125526</v>
      </c>
      <c r="I32" s="952">
        <f>'4C2 Open-burning '!AH92</f>
        <v>0.14233340979503517</v>
      </c>
      <c r="J32" s="987">
        <f>'4D Wastewater treatment and dis'!AV129</f>
        <v>146.03087022027088</v>
      </c>
      <c r="K32" s="770">
        <f>'4D Wastewater treatment and dis'!AW129</f>
        <v>3.0338615645529843</v>
      </c>
      <c r="L32" s="771">
        <f t="shared" si="69"/>
        <v>15963.910216945675</v>
      </c>
      <c r="M32" s="772">
        <f t="shared" si="70"/>
        <v>11.411478404050854</v>
      </c>
      <c r="N32" s="771">
        <f t="shared" si="71"/>
        <v>1041.4877490093281</v>
      </c>
      <c r="O32" s="773">
        <f t="shared" si="72"/>
        <v>289.21016261452377</v>
      </c>
      <c r="P32" s="771">
        <f t="shared" si="73"/>
        <v>4007.1453596371134</v>
      </c>
      <c r="Q32" s="519">
        <f t="shared" si="74"/>
        <v>15963.910216945675</v>
      </c>
      <c r="R32" s="521">
        <f t="shared" si="75"/>
        <v>1052.8992274133789</v>
      </c>
      <c r="S32" s="518">
        <f t="shared" si="76"/>
        <v>289.21016261452377</v>
      </c>
      <c r="T32" s="519">
        <f t="shared" si="77"/>
        <v>4007.1453596371134</v>
      </c>
      <c r="U32" s="519">
        <f t="shared" si="78"/>
        <v>21313.16496661069</v>
      </c>
      <c r="V32" s="3"/>
      <c r="W32" s="596">
        <f t="shared" si="79"/>
        <v>2022</v>
      </c>
      <c r="X32" s="1101">
        <f t="shared" si="80"/>
        <v>15518.948784195025</v>
      </c>
      <c r="Y32" s="1102">
        <f t="shared" si="81"/>
        <v>1109.7365877589782</v>
      </c>
      <c r="Z32" s="1102">
        <f t="shared" si="82"/>
        <v>281.57677445577076</v>
      </c>
      <c r="AA32" s="1102">
        <f t="shared" si="83"/>
        <v>4106.0268563442523</v>
      </c>
      <c r="AB32" s="1142">
        <f t="shared" si="22"/>
        <v>21016.289002754023</v>
      </c>
      <c r="AC32" s="1423" t="str">
        <f>IF(OR('Recycling - Case 1'!AC102="No",'Recycling - Case 1'!T142="No"), "No", "Yes")</f>
        <v>Yes</v>
      </c>
      <c r="AD32" s="1101">
        <f t="shared" si="84"/>
        <v>15518.948784195025</v>
      </c>
      <c r="AE32" s="1102">
        <f t="shared" si="85"/>
        <v>1109.7365877589782</v>
      </c>
      <c r="AF32" s="1102">
        <f t="shared" si="86"/>
        <v>281.57677445577076</v>
      </c>
      <c r="AG32" s="1102">
        <f t="shared" si="87"/>
        <v>4106.0268563442523</v>
      </c>
      <c r="AH32" s="1142">
        <f t="shared" si="60"/>
        <v>21016.289002754023</v>
      </c>
      <c r="AI32" s="1423" t="str">
        <f>IF(OR('Recycling - Case 1'!AI13="No",'Recycling - Case 1'!Z142="No"), "No", "Yes")</f>
        <v>Yes</v>
      </c>
      <c r="AJ32" s="1101">
        <f t="shared" si="88"/>
        <v>15436.519156349257</v>
      </c>
      <c r="AK32" s="1102">
        <f t="shared" si="89"/>
        <v>1382.7398139171632</v>
      </c>
      <c r="AL32" s="1102">
        <f t="shared" si="90"/>
        <v>228.55260053772801</v>
      </c>
      <c r="AM32" s="1102">
        <f t="shared" si="91"/>
        <v>4368.9550623955192</v>
      </c>
      <c r="AN32" s="1142">
        <f t="shared" si="92"/>
        <v>21416.766633199666</v>
      </c>
      <c r="AO32" s="1416" t="str">
        <f>IF(OR('Recycling - Case 2'!AC102="No",'Recycling - Case 2'!T142="No"), "No", "Yes")</f>
        <v>No</v>
      </c>
      <c r="AP32" s="1101">
        <f t="shared" si="93"/>
        <v>15436.519156349257</v>
      </c>
      <c r="AQ32" s="1102">
        <f t="shared" si="94"/>
        <v>1382.7398139171632</v>
      </c>
      <c r="AR32" s="1102">
        <f t="shared" si="95"/>
        <v>228.55260053772801</v>
      </c>
      <c r="AS32" s="1102">
        <f t="shared" si="96"/>
        <v>4368.9550623955192</v>
      </c>
      <c r="AT32" s="1142">
        <f t="shared" si="37"/>
        <v>21416.766633199666</v>
      </c>
      <c r="AU32" s="1423" t="str">
        <f>IF(OR('Recycling - Case 2'!AC102="No",'Recycling - Case 2'!T182="No"), "No", "Yes")</f>
        <v>No</v>
      </c>
      <c r="AV32" s="1101">
        <f t="shared" si="63"/>
        <v>15436.592997132118</v>
      </c>
      <c r="AW32" s="1102">
        <f t="shared" si="64"/>
        <v>839.76710828579792</v>
      </c>
      <c r="AX32" s="1102">
        <f t="shared" si="65"/>
        <v>228.55260053772801</v>
      </c>
      <c r="AY32" s="1102">
        <f t="shared" si="66"/>
        <v>4368.9550623955192</v>
      </c>
      <c r="AZ32" s="1142">
        <f t="shared" si="67"/>
        <v>20873.867768351163</v>
      </c>
      <c r="BA32" s="1423" t="str">
        <f>IF(OR('Recycling - Case 3'!AC102="No",'Recycling - Case 3'!T142="No"), "No", "Yes")</f>
        <v>No</v>
      </c>
      <c r="BB32" s="1101">
        <f t="shared" si="97"/>
        <v>15436.592997132118</v>
      </c>
      <c r="BC32" s="1102">
        <f t="shared" si="98"/>
        <v>839.76710828579792</v>
      </c>
      <c r="BD32" s="1102">
        <f t="shared" si="99"/>
        <v>228.55260053772801</v>
      </c>
      <c r="BE32" s="1102">
        <f t="shared" si="100"/>
        <v>4368.9550623955192</v>
      </c>
      <c r="BF32" s="1142">
        <f t="shared" si="47"/>
        <v>20873.867768351163</v>
      </c>
      <c r="BG32" s="1423" t="str">
        <f>IF(OR('Recycling - Case 3'!AC102="No",'Recycling - Case 3'!T182="No"), "No", "Yes")</f>
        <v>No</v>
      </c>
      <c r="BH32" s="596">
        <f t="shared" si="48"/>
        <v>2022</v>
      </c>
      <c r="BI32" s="1102">
        <f>'Recycling - Case 1'!BV102</f>
        <v>103.4013639364434</v>
      </c>
      <c r="BJ32" s="417">
        <f>'Recycling - Case 1'!BW102</f>
        <v>0.410454527056197</v>
      </c>
      <c r="BK32" s="1142">
        <f>'Recycling - Case 1'!BX102</f>
        <v>50.359792847133136</v>
      </c>
      <c r="BL32" s="1101">
        <f>'Recycling - Case 1'!BY102</f>
        <v>103.4013639364434</v>
      </c>
      <c r="BM32" s="417">
        <f>'Recycling - Case 1'!BZ102</f>
        <v>0.410454527056197</v>
      </c>
      <c r="BN32" s="1142">
        <f>'Recycling - Case 1'!CA102</f>
        <v>50.359792847133136</v>
      </c>
      <c r="BO32" s="1102">
        <f>'Recycling - Case 2'!BV102</f>
        <v>95.455152936877568</v>
      </c>
      <c r="BP32" s="417">
        <f>'Recycling - Case 2'!BW102</f>
        <v>0.51519909812264109</v>
      </c>
      <c r="BQ32" s="1142">
        <f>'Recycling - Case 2'!BX102</f>
        <v>50.359792847133136</v>
      </c>
      <c r="BR32" s="1101">
        <f>'Recycling - Case 2'!BY102</f>
        <v>95.455152936877568</v>
      </c>
      <c r="BS32" s="417">
        <f>'Recycling - Case 2'!BZ102</f>
        <v>0.51519909812264109</v>
      </c>
      <c r="BT32" s="1142">
        <f>'Recycling - Case 2'!CA102</f>
        <v>50.359792847133136</v>
      </c>
      <c r="BU32" s="1102">
        <f>'Recycling - Case 3'!BV102</f>
        <v>95.455152936877568</v>
      </c>
      <c r="BV32" s="417">
        <f>'Recycling - Case 3'!BW102</f>
        <v>0.51519909812264109</v>
      </c>
      <c r="BW32" s="1142">
        <f>'Recycling - Case 3'!BX102</f>
        <v>50.359792847133136</v>
      </c>
      <c r="BX32" s="1101">
        <f>'Recycling - Case 3'!BY102</f>
        <v>95.455152936877568</v>
      </c>
      <c r="BY32" s="417">
        <f>'Recycling - Case 3'!BZ102</f>
        <v>0.51519909812264109</v>
      </c>
      <c r="BZ32" s="1142">
        <f>'Recycling - Case 3'!CA102</f>
        <v>50.359792847133136</v>
      </c>
      <c r="CA32" s="596">
        <v>2022</v>
      </c>
      <c r="CB32" s="649">
        <f>'Recycling - Case 1'!CB102</f>
        <v>0.10871988423705314</v>
      </c>
      <c r="CC32" s="417">
        <f>'Recycling - Case 1'!CC102</f>
        <v>0.2235747660326316</v>
      </c>
      <c r="CD32" s="417">
        <f>'Recycling - Case 1'!CD102</f>
        <v>0.10871988423705314</v>
      </c>
      <c r="CE32" s="525">
        <f>'Recycling - Case 1'!CE102</f>
        <v>0.2235747660326316</v>
      </c>
      <c r="CF32" s="649">
        <f>'Recycling - Case 2'!CB102</f>
        <v>0.16197085374599185</v>
      </c>
      <c r="CG32" s="417">
        <f>'Recycling - Case 2'!CC102</f>
        <v>0.28706558067926824</v>
      </c>
      <c r="CH32" s="417">
        <f>'Recycling - Case 2'!CD102</f>
        <v>0.16197085374599185</v>
      </c>
      <c r="CI32" s="525">
        <f>'Recycling - Case 2'!CE102</f>
        <v>0.28706558067926824</v>
      </c>
      <c r="CJ32" s="649">
        <f>'Recycling - Case 3'!CB102</f>
        <v>0.16197085374599185</v>
      </c>
      <c r="CK32" s="417">
        <f>'Recycling - Case 3'!CC102</f>
        <v>0.28706558067926824</v>
      </c>
      <c r="CL32" s="417">
        <f>'Recycling - Case 3'!CD102</f>
        <v>0.16197085374599185</v>
      </c>
      <c r="CM32" s="525">
        <f>'Recycling - Case 3'!CE102</f>
        <v>0.28706558067926824</v>
      </c>
    </row>
    <row r="33" spans="1:91">
      <c r="A33" s="4">
        <f>'Input data'!A122</f>
        <v>2022</v>
      </c>
      <c r="B33" s="4"/>
      <c r="C33" s="769">
        <f>'4A SWD Case 1'!BG92</f>
        <v>738.99756115214404</v>
      </c>
      <c r="D33" s="3">
        <f>'4B Biological treatment '!T86</f>
        <v>0.61549450236216208</v>
      </c>
      <c r="E33" s="1157">
        <f>'4B Biological treatment '!U86</f>
        <v>27.697252606297287</v>
      </c>
      <c r="F33" s="1157">
        <f>'4B Biological treatment '!W86</f>
        <v>1.6618351563778373</v>
      </c>
      <c r="G33" s="952">
        <f>'4C2 Open-burning '!R93</f>
        <v>29.583713575257967</v>
      </c>
      <c r="H33" s="952">
        <f>'4C2 Open-burning '!Z93</f>
        <v>9.9540139016608222</v>
      </c>
      <c r="I33" s="952">
        <f>'4C2 Open-burning '!AH93</f>
        <v>0.13857667401817902</v>
      </c>
      <c r="J33" s="987">
        <f>'4D Wastewater treatment and dis'!AV130</f>
        <v>150.01638869082916</v>
      </c>
      <c r="K33" s="770">
        <f>'4D Wastewater treatment and dis'!AW130</f>
        <v>3.0828473994736778</v>
      </c>
      <c r="L33" s="771">
        <f t="shared" si="69"/>
        <v>15518.948784195025</v>
      </c>
      <c r="M33" s="772">
        <f t="shared" si="70"/>
        <v>12.925384549605404</v>
      </c>
      <c r="N33" s="771">
        <f t="shared" si="71"/>
        <v>1096.8112032093727</v>
      </c>
      <c r="O33" s="773">
        <f t="shared" si="72"/>
        <v>281.57677445577076</v>
      </c>
      <c r="P33" s="771">
        <f t="shared" si="73"/>
        <v>4106.0268563442523</v>
      </c>
      <c r="Q33" s="519">
        <f t="shared" si="74"/>
        <v>15518.948784195025</v>
      </c>
      <c r="R33" s="521">
        <f t="shared" si="75"/>
        <v>1109.7365877589782</v>
      </c>
      <c r="S33" s="518">
        <f t="shared" si="76"/>
        <v>281.57677445577076</v>
      </c>
      <c r="T33" s="519">
        <f t="shared" si="77"/>
        <v>4106.0268563442523</v>
      </c>
      <c r="U33" s="519">
        <f t="shared" si="78"/>
        <v>21016.289002754023</v>
      </c>
      <c r="V33" s="3"/>
      <c r="W33" s="596">
        <f t="shared" si="79"/>
        <v>2023</v>
      </c>
      <c r="X33" s="1101">
        <f t="shared" si="80"/>
        <v>15067.49442694696</v>
      </c>
      <c r="Y33" s="1102">
        <f t="shared" si="81"/>
        <v>1172.4309566505772</v>
      </c>
      <c r="Z33" s="1102">
        <f t="shared" si="82"/>
        <v>274.09656500757387</v>
      </c>
      <c r="AA33" s="1102">
        <f t="shared" si="83"/>
        <v>4206.8676210747599</v>
      </c>
      <c r="AB33" s="1142">
        <f t="shared" si="22"/>
        <v>20720.889569679872</v>
      </c>
      <c r="AC33" s="1423" t="str">
        <f>IF(OR('Recycling - Case 1'!AC103="No",'Recycling - Case 1'!T143="No"), "No", "Yes")</f>
        <v>Yes</v>
      </c>
      <c r="AD33" s="1101">
        <f t="shared" si="84"/>
        <v>15067.49442694696</v>
      </c>
      <c r="AE33" s="1102">
        <f t="shared" si="85"/>
        <v>1172.4309566505772</v>
      </c>
      <c r="AF33" s="1102">
        <f t="shared" si="86"/>
        <v>274.09656500757387</v>
      </c>
      <c r="AG33" s="1102">
        <f t="shared" si="87"/>
        <v>4206.8676210747599</v>
      </c>
      <c r="AH33" s="1142">
        <f t="shared" si="60"/>
        <v>20720.889569679872</v>
      </c>
      <c r="AI33" s="1423" t="str">
        <f>IF(OR('Recycling - Case 1'!AI14="No",'Recycling - Case 1'!Z143="No"), "No", "Yes")</f>
        <v>Yes</v>
      </c>
      <c r="AJ33" s="1101">
        <f t="shared" si="88"/>
        <v>14857.409114096285</v>
      </c>
      <c r="AK33" s="1102">
        <f t="shared" si="89"/>
        <v>1390.8335375771253</v>
      </c>
      <c r="AL33" s="1102">
        <f t="shared" si="90"/>
        <v>216.40392641373811</v>
      </c>
      <c r="AM33" s="1102">
        <f t="shared" si="91"/>
        <v>4527.4614513669821</v>
      </c>
      <c r="AN33" s="1142">
        <f t="shared" si="92"/>
        <v>20992.108029454132</v>
      </c>
      <c r="AO33" s="1416" t="str">
        <f>IF(OR('Recycling - Case 2'!AC103="No",'Recycling - Case 2'!T143="No"), "No", "Yes")</f>
        <v>No</v>
      </c>
      <c r="AP33" s="1101">
        <f t="shared" si="93"/>
        <v>14857.409114096285</v>
      </c>
      <c r="AQ33" s="1102">
        <f t="shared" si="94"/>
        <v>1390.8335375771253</v>
      </c>
      <c r="AR33" s="1102">
        <f t="shared" si="95"/>
        <v>216.40392641373811</v>
      </c>
      <c r="AS33" s="1102">
        <f t="shared" si="96"/>
        <v>4527.4614513669821</v>
      </c>
      <c r="AT33" s="1142">
        <f t="shared" si="37"/>
        <v>20992.108029454132</v>
      </c>
      <c r="AU33" s="1423" t="str">
        <f>IF(OR('Recycling - Case 2'!AC103="No",'Recycling - Case 2'!T183="No"), "No", "Yes")</f>
        <v>No</v>
      </c>
      <c r="AV33" s="1101">
        <f t="shared" si="63"/>
        <v>14857.518998289994</v>
      </c>
      <c r="AW33" s="1102">
        <f t="shared" si="64"/>
        <v>844.68259769659028</v>
      </c>
      <c r="AX33" s="1102">
        <f t="shared" si="65"/>
        <v>216.40392641373811</v>
      </c>
      <c r="AY33" s="1102">
        <f t="shared" si="66"/>
        <v>4527.4614513669821</v>
      </c>
      <c r="AZ33" s="1142">
        <f t="shared" si="67"/>
        <v>20446.066973767302</v>
      </c>
      <c r="BA33" s="1423" t="str">
        <f>IF(OR('Recycling - Case 3'!AC103="No",'Recycling - Case 3'!T143="No"), "No", "Yes")</f>
        <v>No</v>
      </c>
      <c r="BB33" s="1101">
        <f t="shared" si="97"/>
        <v>14857.518998289994</v>
      </c>
      <c r="BC33" s="1102">
        <f t="shared" si="98"/>
        <v>844.68259769659028</v>
      </c>
      <c r="BD33" s="1102">
        <f t="shared" si="99"/>
        <v>216.40392641373811</v>
      </c>
      <c r="BE33" s="1102">
        <f t="shared" si="100"/>
        <v>4527.4614513669821</v>
      </c>
      <c r="BF33" s="1142">
        <f t="shared" si="47"/>
        <v>20446.066973767302</v>
      </c>
      <c r="BG33" s="1423" t="str">
        <f>IF(OR('Recycling - Case 3'!AC103="No",'Recycling - Case 3'!T183="No"), "No", "Yes")</f>
        <v>No</v>
      </c>
      <c r="BH33" s="596">
        <f t="shared" si="48"/>
        <v>2023</v>
      </c>
      <c r="BI33" s="1102">
        <f>'Recycling - Case 1'!BV103</f>
        <v>101.48251277964827</v>
      </c>
      <c r="BJ33" s="417">
        <f>'Recycling - Case 1'!BW103</f>
        <v>0.43049674501795965</v>
      </c>
      <c r="BK33" s="1142">
        <f>'Recycling - Case 1'!BX103</f>
        <v>48.748213106871191</v>
      </c>
      <c r="BL33" s="1101">
        <f>'Recycling - Case 1'!BY103</f>
        <v>101.48251277964827</v>
      </c>
      <c r="BM33" s="417">
        <f>'Recycling - Case 1'!BZ103</f>
        <v>0.43049674501795965</v>
      </c>
      <c r="BN33" s="1142">
        <f>'Recycling - Case 1'!CA103</f>
        <v>48.748213106871191</v>
      </c>
      <c r="BO33" s="1102">
        <f>'Recycling - Case 2'!BV103</f>
        <v>94.162728281018403</v>
      </c>
      <c r="BP33" s="417">
        <f>'Recycling - Case 2'!BW103</f>
        <v>0.53940726161435248</v>
      </c>
      <c r="BQ33" s="1142">
        <f>'Recycling - Case 2'!BX103</f>
        <v>48.748213106871191</v>
      </c>
      <c r="BR33" s="1101">
        <f>'Recycling - Case 2'!BY103</f>
        <v>94.162728281018403</v>
      </c>
      <c r="BS33" s="417">
        <f>'Recycling - Case 2'!BZ103</f>
        <v>0.53940726161435248</v>
      </c>
      <c r="BT33" s="1142">
        <f>'Recycling - Case 2'!CA103</f>
        <v>48.748213106871191</v>
      </c>
      <c r="BU33" s="1102">
        <f>'Recycling - Case 3'!BV103</f>
        <v>94.162728281018403</v>
      </c>
      <c r="BV33" s="417">
        <f>'Recycling - Case 3'!BW103</f>
        <v>0.53940726161435248</v>
      </c>
      <c r="BW33" s="1142">
        <f>'Recycling - Case 3'!BX103</f>
        <v>48.748213106871191</v>
      </c>
      <c r="BX33" s="1101">
        <f>'Recycling - Case 3'!BY103</f>
        <v>94.162728281018403</v>
      </c>
      <c r="BY33" s="417">
        <f>'Recycling - Case 3'!BZ103</f>
        <v>0.53940726161435248</v>
      </c>
      <c r="BZ33" s="1142">
        <f>'Recycling - Case 3'!CA103</f>
        <v>48.748213106871191</v>
      </c>
      <c r="CA33" s="596">
        <v>2023</v>
      </c>
      <c r="CB33" s="649">
        <f>'Recycling - Case 1'!CB103</f>
        <v>0.12637817597931233</v>
      </c>
      <c r="CC33" s="417">
        <f>'Recycling - Case 1'!CC103</f>
        <v>0.23850745277517538</v>
      </c>
      <c r="CD33" s="417">
        <f>'Recycling - Case 1'!CD103</f>
        <v>0.12637817597931233</v>
      </c>
      <c r="CE33" s="525">
        <f>'Recycling - Case 1'!CE103</f>
        <v>0.23850745277517538</v>
      </c>
      <c r="CF33" s="649">
        <f>'Recycling - Case 2'!CB103</f>
        <v>0.18321939450095748</v>
      </c>
      <c r="CG33" s="417">
        <f>'Recycling - Case 2'!CC103</f>
        <v>0.29501172793092756</v>
      </c>
      <c r="CH33" s="417">
        <f>'Recycling - Case 2'!CD103</f>
        <v>0.18321939450095748</v>
      </c>
      <c r="CI33" s="525">
        <f>'Recycling - Case 2'!CE103</f>
        <v>0.29501172793092756</v>
      </c>
      <c r="CJ33" s="649">
        <f>'Recycling - Case 3'!CB103</f>
        <v>0.18321939450095748</v>
      </c>
      <c r="CK33" s="417">
        <f>'Recycling - Case 3'!CC103</f>
        <v>0.29501172793092756</v>
      </c>
      <c r="CL33" s="417">
        <f>'Recycling - Case 3'!CD103</f>
        <v>0.18321939450095748</v>
      </c>
      <c r="CM33" s="525">
        <f>'Recycling - Case 3'!CE103</f>
        <v>0.29501172793092756</v>
      </c>
    </row>
    <row r="34" spans="1:91">
      <c r="A34" s="4">
        <f>'Input data'!A123</f>
        <v>2023</v>
      </c>
      <c r="B34" s="4"/>
      <c r="C34" s="769">
        <f>'4A SWD Case 1'!BG93</f>
        <v>717.49973461652189</v>
      </c>
      <c r="D34" s="3">
        <f>'4B Biological treatment '!T87</f>
        <v>0.65026675354995978</v>
      </c>
      <c r="E34" s="1157">
        <f>'4B Biological treatment '!U87</f>
        <v>29.262003909748181</v>
      </c>
      <c r="F34" s="1157">
        <f>'4B Biological treatment '!W87</f>
        <v>1.7557202345848908</v>
      </c>
      <c r="G34" s="952">
        <f>'4C2 Open-burning '!R94</f>
        <v>28.797809360586477</v>
      </c>
      <c r="H34" s="952">
        <f>'4C2 Open-burning '!Z94</f>
        <v>9.6895811941742114</v>
      </c>
      <c r="I34" s="952">
        <f>'4C2 Open-burning '!AH94</f>
        <v>0.13489532441719021</v>
      </c>
      <c r="J34" s="987">
        <f>'4D Wastewater treatment and dis'!AV131</f>
        <v>154.08560950052347</v>
      </c>
      <c r="K34" s="770">
        <f>'4D Wastewater treatment and dis'!AW131</f>
        <v>3.132483295366991</v>
      </c>
      <c r="L34" s="771">
        <f t="shared" si="69"/>
        <v>15067.49442694696</v>
      </c>
      <c r="M34" s="772">
        <f t="shared" si="70"/>
        <v>13.655601824549155</v>
      </c>
      <c r="N34" s="771">
        <f t="shared" si="71"/>
        <v>1158.775354826028</v>
      </c>
      <c r="O34" s="773">
        <f t="shared" si="72"/>
        <v>274.09656500757387</v>
      </c>
      <c r="P34" s="771">
        <f t="shared" si="73"/>
        <v>4206.8676210747599</v>
      </c>
      <c r="Q34" s="519">
        <f t="shared" si="74"/>
        <v>15067.49442694696</v>
      </c>
      <c r="R34" s="521">
        <f t="shared" si="75"/>
        <v>1172.4309566505772</v>
      </c>
      <c r="S34" s="518">
        <f t="shared" si="76"/>
        <v>274.09656500757387</v>
      </c>
      <c r="T34" s="519">
        <f t="shared" si="77"/>
        <v>4206.8676210747599</v>
      </c>
      <c r="U34" s="519">
        <f t="shared" si="78"/>
        <v>20720.889569679872</v>
      </c>
      <c r="V34" s="3"/>
      <c r="W34" s="596">
        <f t="shared" si="79"/>
        <v>2024</v>
      </c>
      <c r="X34" s="1101">
        <f t="shared" si="80"/>
        <v>14618.519457679458</v>
      </c>
      <c r="Y34" s="1102">
        <f t="shared" si="81"/>
        <v>1235.7173962100646</v>
      </c>
      <c r="Z34" s="1102">
        <f t="shared" si="82"/>
        <v>266.76357637984171</v>
      </c>
      <c r="AA34" s="1102">
        <f t="shared" si="83"/>
        <v>4309.8911814623261</v>
      </c>
      <c r="AB34" s="1142">
        <f t="shared" si="22"/>
        <v>20430.891611731691</v>
      </c>
      <c r="AC34" s="1423" t="str">
        <f>IF(OR('Recycling - Case 1'!AC104="No",'Recycling - Case 1'!T144="No"), "No", "Yes")</f>
        <v>Yes</v>
      </c>
      <c r="AD34" s="1101">
        <f t="shared" si="84"/>
        <v>14618.519457679458</v>
      </c>
      <c r="AE34" s="1102">
        <f t="shared" si="85"/>
        <v>1235.7173962100646</v>
      </c>
      <c r="AF34" s="1102">
        <f t="shared" si="86"/>
        <v>266.76357637984171</v>
      </c>
      <c r="AG34" s="1102">
        <f t="shared" si="87"/>
        <v>4309.8911814623261</v>
      </c>
      <c r="AH34" s="1142">
        <f t="shared" si="60"/>
        <v>20430.891611731691</v>
      </c>
      <c r="AI34" s="1423" t="str">
        <f>IF(OR('Recycling - Case 1'!AI15="No",'Recycling - Case 1'!Z144="No"), "No", "Yes")</f>
        <v>Yes</v>
      </c>
      <c r="AJ34" s="1101">
        <f t="shared" si="88"/>
        <v>14302.114935629614</v>
      </c>
      <c r="AK34" s="1102">
        <f t="shared" si="89"/>
        <v>1399.5193319049756</v>
      </c>
      <c r="AL34" s="1102">
        <f t="shared" si="90"/>
        <v>204.0956305840258</v>
      </c>
      <c r="AM34" s="1102">
        <f t="shared" si="91"/>
        <v>4689.9393866333494</v>
      </c>
      <c r="AN34" s="1142">
        <f t="shared" si="92"/>
        <v>20595.669284751966</v>
      </c>
      <c r="AO34" s="1416" t="str">
        <f>IF(OR('Recycling - Case 2'!AC104="No",'Recycling - Case 2'!T144="No"), "No", "Yes")</f>
        <v>No</v>
      </c>
      <c r="AP34" s="1101">
        <f t="shared" si="93"/>
        <v>14302.114935629614</v>
      </c>
      <c r="AQ34" s="1102">
        <f t="shared" si="94"/>
        <v>1399.5193319049756</v>
      </c>
      <c r="AR34" s="1102">
        <f t="shared" si="95"/>
        <v>204.0956305840258</v>
      </c>
      <c r="AS34" s="1102">
        <f t="shared" si="96"/>
        <v>4689.9393866333494</v>
      </c>
      <c r="AT34" s="1142">
        <f t="shared" si="37"/>
        <v>20595.669284751966</v>
      </c>
      <c r="AU34" s="1423" t="str">
        <f>IF(OR('Recycling - Case 2'!AC104="No",'Recycling - Case 2'!T184="No"), "No", "Yes")</f>
        <v>No</v>
      </c>
      <c r="AV34" s="1101">
        <f t="shared" si="63"/>
        <v>14302.267612411863</v>
      </c>
      <c r="AW34" s="1102">
        <f t="shared" si="64"/>
        <v>849.95766413530146</v>
      </c>
      <c r="AX34" s="1102">
        <f t="shared" si="65"/>
        <v>204.09563058402586</v>
      </c>
      <c r="AY34" s="1102">
        <f t="shared" si="66"/>
        <v>4689.9393866333494</v>
      </c>
      <c r="AZ34" s="1142">
        <f t="shared" si="67"/>
        <v>20046.260293764539</v>
      </c>
      <c r="BA34" s="1423" t="str">
        <f>IF(OR('Recycling - Case 3'!AC104="No",'Recycling - Case 3'!T144="No"), "No", "Yes")</f>
        <v>No</v>
      </c>
      <c r="BB34" s="1101">
        <f t="shared" si="97"/>
        <v>14302.267612411863</v>
      </c>
      <c r="BC34" s="1102">
        <f t="shared" si="98"/>
        <v>849.95766413530146</v>
      </c>
      <c r="BD34" s="1102">
        <f t="shared" si="99"/>
        <v>204.09563058402586</v>
      </c>
      <c r="BE34" s="1102">
        <f t="shared" si="100"/>
        <v>4689.9393866333494</v>
      </c>
      <c r="BF34" s="1142">
        <f t="shared" si="47"/>
        <v>20046.260293764539</v>
      </c>
      <c r="BG34" s="1423" t="str">
        <f>IF(OR('Recycling - Case 3'!AC104="No",'Recycling - Case 3'!T184="No"), "No", "Yes")</f>
        <v>No</v>
      </c>
      <c r="BH34" s="596">
        <f t="shared" si="48"/>
        <v>2024</v>
      </c>
      <c r="BI34" s="1102">
        <f>'Recycling - Case 1'!BV104</f>
        <v>99.753932230241077</v>
      </c>
      <c r="BJ34" s="417">
        <f>'Recycling - Case 1'!BW104</f>
        <v>0.45071056620718358</v>
      </c>
      <c r="BK34" s="1142">
        <f>'Recycling - Case 1'!BX104</f>
        <v>46.900203343432629</v>
      </c>
      <c r="BL34" s="1101">
        <f>'Recycling - Case 1'!BY104</f>
        <v>99.753932230241077</v>
      </c>
      <c r="BM34" s="417">
        <f>'Recycling - Case 1'!BZ104</f>
        <v>0.45071056620718358</v>
      </c>
      <c r="BN34" s="1142">
        <f>'Recycling - Case 1'!CA104</f>
        <v>46.900203343432629</v>
      </c>
      <c r="BO34" s="1102">
        <f>'Recycling - Case 2'!BV104</f>
        <v>92.676702115943286</v>
      </c>
      <c r="BP34" s="417">
        <f>'Recycling - Case 2'!BW104</f>
        <v>0.5644027417852433</v>
      </c>
      <c r="BQ34" s="1142">
        <f>'Recycling - Case 2'!BX104</f>
        <v>46.900203343432629</v>
      </c>
      <c r="BR34" s="1101">
        <f>'Recycling - Case 2'!BY104</f>
        <v>92.676702115943286</v>
      </c>
      <c r="BS34" s="417">
        <f>'Recycling - Case 2'!BZ104</f>
        <v>0.5644027417852433</v>
      </c>
      <c r="BT34" s="1142">
        <f>'Recycling - Case 2'!CA104</f>
        <v>46.900203343432629</v>
      </c>
      <c r="BU34" s="1102">
        <f>'Recycling - Case 3'!BV104</f>
        <v>92.676702115943286</v>
      </c>
      <c r="BV34" s="417">
        <f>'Recycling - Case 3'!BW104</f>
        <v>0.5644027417852433</v>
      </c>
      <c r="BW34" s="1142">
        <f>'Recycling - Case 3'!BX104</f>
        <v>46.900203343432629</v>
      </c>
      <c r="BX34" s="1101">
        <f>'Recycling - Case 3'!BY104</f>
        <v>92.676702115943286</v>
      </c>
      <c r="BY34" s="417">
        <f>'Recycling - Case 3'!BZ104</f>
        <v>0.5644027417852433</v>
      </c>
      <c r="BZ34" s="1142">
        <f>'Recycling - Case 3'!CA104</f>
        <v>46.900203343432629</v>
      </c>
      <c r="CA34" s="596">
        <v>2024</v>
      </c>
      <c r="CB34" s="649">
        <f>'Recycling - Case 1'!CB104</f>
        <v>0.14272272578160961</v>
      </c>
      <c r="CC34" s="417">
        <f>'Recycling - Case 1'!CC104</f>
        <v>0.25088701283073711</v>
      </c>
      <c r="CD34" s="417">
        <f>'Recycling - Case 1'!CD104</f>
        <v>0.14272272578160961</v>
      </c>
      <c r="CE34" s="525">
        <f>'Recycling - Case 1'!CE104</f>
        <v>0.25088701283073711</v>
      </c>
      <c r="CF34" s="649">
        <f>'Recycling - Case 2'!CB104</f>
        <v>0.20385129219747689</v>
      </c>
      <c r="CG34" s="417">
        <f>'Recycling - Case 2'!CC104</f>
        <v>0.30395392590951709</v>
      </c>
      <c r="CH34" s="417">
        <f>'Recycling - Case 2'!CD104</f>
        <v>0.20385129219747689</v>
      </c>
      <c r="CI34" s="525">
        <f>'Recycling - Case 2'!CE104</f>
        <v>0.30395392590951709</v>
      </c>
      <c r="CJ34" s="649">
        <f>'Recycling - Case 3'!CB104</f>
        <v>0.20385129219747689</v>
      </c>
      <c r="CK34" s="417">
        <f>'Recycling - Case 3'!CC104</f>
        <v>0.30395392590951709</v>
      </c>
      <c r="CL34" s="417">
        <f>'Recycling - Case 3'!CD104</f>
        <v>0.20385129219747689</v>
      </c>
      <c r="CM34" s="525">
        <f>'Recycling - Case 3'!CE104</f>
        <v>0.30395392590951709</v>
      </c>
    </row>
    <row r="35" spans="1:91">
      <c r="A35" s="4">
        <f>'Input data'!A124</f>
        <v>2024</v>
      </c>
      <c r="B35" s="4"/>
      <c r="C35" s="769">
        <f>'4A SWD Case 1'!BG94</f>
        <v>696.11997417521229</v>
      </c>
      <c r="D35" s="3">
        <f>'4B Biological treatment '!T88</f>
        <v>0.68536738558517185</v>
      </c>
      <c r="E35" s="1157">
        <f>'4B Biological treatment '!U88</f>
        <v>30.841532351332727</v>
      </c>
      <c r="F35" s="1157">
        <f>'4B Biological treatment '!W88</f>
        <v>1.8504919410799636</v>
      </c>
      <c r="G35" s="952">
        <f>'4C2 Open-burning '!R95</f>
        <v>28.027372822868667</v>
      </c>
      <c r="H35" s="952">
        <f>'4C2 Open-burning '!Z95</f>
        <v>9.4303528864338215</v>
      </c>
      <c r="I35" s="952">
        <f>'4C2 Open-burning '!AH95</f>
        <v>0.13128642884471864</v>
      </c>
      <c r="J35" s="987">
        <f>'4D Wastewater treatment and dis'!AV132</f>
        <v>158.24697567473672</v>
      </c>
      <c r="K35" s="770">
        <f>'4D Wastewater treatment and dis'!AW132</f>
        <v>3.1829183622350183</v>
      </c>
      <c r="L35" s="771">
        <f t="shared" si="69"/>
        <v>14618.519457679458</v>
      </c>
      <c r="M35" s="772">
        <f t="shared" si="70"/>
        <v>14.392715097288608</v>
      </c>
      <c r="N35" s="771">
        <f t="shared" si="71"/>
        <v>1221.324681112776</v>
      </c>
      <c r="O35" s="773">
        <f t="shared" si="72"/>
        <v>266.76357637984171</v>
      </c>
      <c r="P35" s="771">
        <f t="shared" si="73"/>
        <v>4309.8911814623261</v>
      </c>
      <c r="Q35" s="519">
        <f t="shared" si="74"/>
        <v>14618.519457679458</v>
      </c>
      <c r="R35" s="521">
        <f t="shared" si="75"/>
        <v>1235.7173962100646</v>
      </c>
      <c r="S35" s="518">
        <f t="shared" si="76"/>
        <v>266.76357637984171</v>
      </c>
      <c r="T35" s="519">
        <f t="shared" si="77"/>
        <v>4309.8911814623261</v>
      </c>
      <c r="U35" s="519">
        <f t="shared" si="78"/>
        <v>20430.891611731691</v>
      </c>
      <c r="V35" s="3"/>
      <c r="W35" s="596">
        <f t="shared" si="79"/>
        <v>2025</v>
      </c>
      <c r="X35" s="1101">
        <f t="shared" si="80"/>
        <v>14174.795943320067</v>
      </c>
      <c r="Y35" s="1102">
        <f t="shared" si="81"/>
        <v>1298.538805430403</v>
      </c>
      <c r="Z35" s="1102">
        <f t="shared" si="82"/>
        <v>259.57354139212669</v>
      </c>
      <c r="AA35" s="1102">
        <f t="shared" si="83"/>
        <v>4415.1416853372239</v>
      </c>
      <c r="AB35" s="1142">
        <f t="shared" si="22"/>
        <v>20148.049975479818</v>
      </c>
      <c r="AC35" s="1423" t="str">
        <f>IF(OR('Recycling - Case 1'!AC105="No",'Recycling - Case 1'!T145="No"), "No", "Yes")</f>
        <v>Yes</v>
      </c>
      <c r="AD35" s="1101">
        <f t="shared" si="84"/>
        <v>14174.795943320067</v>
      </c>
      <c r="AE35" s="1102">
        <f t="shared" si="85"/>
        <v>1298.538805430403</v>
      </c>
      <c r="AF35" s="1102">
        <f t="shared" si="86"/>
        <v>259.57354139212669</v>
      </c>
      <c r="AG35" s="1102">
        <f t="shared" si="87"/>
        <v>4415.1416853372239</v>
      </c>
      <c r="AH35" s="1142">
        <f t="shared" si="60"/>
        <v>20148.049975479818</v>
      </c>
      <c r="AI35" s="1423" t="str">
        <f>IF(OR('Recycling - Case 1'!AI16="No",'Recycling - Case 1'!Z145="No"), "No", "Yes")</f>
        <v>Yes</v>
      </c>
      <c r="AJ35" s="1101">
        <f t="shared" si="88"/>
        <v>13768.909811254725</v>
      </c>
      <c r="AK35" s="1102">
        <f t="shared" si="89"/>
        <v>1407.7400958936769</v>
      </c>
      <c r="AL35" s="1102">
        <f t="shared" si="90"/>
        <v>191.62045730555255</v>
      </c>
      <c r="AM35" s="1102">
        <f t="shared" si="91"/>
        <v>4856.4756674346772</v>
      </c>
      <c r="AN35" s="1142">
        <f t="shared" si="92"/>
        <v>20224.746031888633</v>
      </c>
      <c r="AO35" s="1416" t="str">
        <f>IF(OR('Recycling - Case 2'!AC105="No",'Recycling - Case 2'!T145="No"), "No", "Yes")</f>
        <v>No</v>
      </c>
      <c r="AP35" s="1101">
        <f t="shared" si="93"/>
        <v>13768.909811254725</v>
      </c>
      <c r="AQ35" s="1102">
        <f t="shared" si="94"/>
        <v>1407.7400958936769</v>
      </c>
      <c r="AR35" s="1102">
        <f t="shared" si="95"/>
        <v>191.62045730555255</v>
      </c>
      <c r="AS35" s="1102">
        <f t="shared" si="96"/>
        <v>4856.4756674346772</v>
      </c>
      <c r="AT35" s="1142">
        <f t="shared" si="37"/>
        <v>20224.746031888633</v>
      </c>
      <c r="AU35" s="1423" t="str">
        <f>IF(OR('Recycling - Case 2'!AC105="No",'Recycling - Case 2'!T185="No"), "No", "Yes")</f>
        <v>No</v>
      </c>
      <c r="AV35" s="1101">
        <f t="shared" si="63"/>
        <v>13769.111911226639</v>
      </c>
      <c r="AW35" s="1102">
        <f t="shared" si="64"/>
        <v>854.95030782228321</v>
      </c>
      <c r="AX35" s="1102">
        <f t="shared" si="65"/>
        <v>191.62045730555255</v>
      </c>
      <c r="AY35" s="1102">
        <f t="shared" si="66"/>
        <v>4856.4756674346772</v>
      </c>
      <c r="AZ35" s="1142">
        <f t="shared" si="67"/>
        <v>19672.158343789153</v>
      </c>
      <c r="BA35" s="1423" t="str">
        <f>IF(OR('Recycling - Case 3'!AC105="No",'Recycling - Case 3'!T145="No"), "No", "Yes")</f>
        <v>No</v>
      </c>
      <c r="BB35" s="1101">
        <f t="shared" si="97"/>
        <v>13769.111911226639</v>
      </c>
      <c r="BC35" s="1102">
        <f t="shared" si="98"/>
        <v>854.95030782228321</v>
      </c>
      <c r="BD35" s="1102">
        <f t="shared" si="99"/>
        <v>191.62045730555255</v>
      </c>
      <c r="BE35" s="1102">
        <f t="shared" si="100"/>
        <v>4856.4756674346772</v>
      </c>
      <c r="BF35" s="1142">
        <f t="shared" si="47"/>
        <v>19672.158343789153</v>
      </c>
      <c r="BG35" s="1423" t="str">
        <f>IF(OR('Recycling - Case 3'!AC105="No",'Recycling - Case 3'!T185="No"), "No", "Yes")</f>
        <v>No</v>
      </c>
      <c r="BH35" s="596">
        <f t="shared" si="48"/>
        <v>2025</v>
      </c>
      <c r="BI35" s="1102">
        <f>'Recycling - Case 1'!BV105</f>
        <v>97.753897051718553</v>
      </c>
      <c r="BJ35" s="417">
        <f>'Recycling - Case 1'!BW105</f>
        <v>0.46857615691762733</v>
      </c>
      <c r="BK35" s="1142">
        <f>'Recycling - Case 1'!BX105</f>
        <v>41.859241005426526</v>
      </c>
      <c r="BL35" s="1101">
        <f>'Recycling - Case 1'!BY105</f>
        <v>97.753897051718553</v>
      </c>
      <c r="BM35" s="417">
        <f>'Recycling - Case 1'!BZ105</f>
        <v>0.46857615691762733</v>
      </c>
      <c r="BN35" s="1142">
        <f>'Recycling - Case 1'!CA105</f>
        <v>41.859241005426526</v>
      </c>
      <c r="BO35" s="1102">
        <f>'Recycling - Case 2'!BV105</f>
        <v>87.971485159557005</v>
      </c>
      <c r="BP35" s="417">
        <f>'Recycling - Case 2'!BW105</f>
        <v>0.60062536111064291</v>
      </c>
      <c r="BQ35" s="1142">
        <f>'Recycling - Case 2'!BX105</f>
        <v>41.859241005426526</v>
      </c>
      <c r="BR35" s="1101">
        <f>'Recycling - Case 2'!BY105</f>
        <v>87.971485159557005</v>
      </c>
      <c r="BS35" s="417">
        <f>'Recycling - Case 2'!BZ105</f>
        <v>0.60062536111064291</v>
      </c>
      <c r="BT35" s="1142">
        <f>'Recycling - Case 2'!CA105</f>
        <v>41.859241005426526</v>
      </c>
      <c r="BU35" s="1102">
        <f>'Recycling - Case 3'!BV105</f>
        <v>87.971485159557005</v>
      </c>
      <c r="BV35" s="417">
        <f>'Recycling - Case 3'!BW105</f>
        <v>0.60062536111064291</v>
      </c>
      <c r="BW35" s="1142">
        <f>'Recycling - Case 3'!BX105</f>
        <v>41.859241005426526</v>
      </c>
      <c r="BX35" s="1101">
        <f>'Recycling - Case 3'!BY105</f>
        <v>87.971485159557005</v>
      </c>
      <c r="BY35" s="417">
        <f>'Recycling - Case 3'!BZ105</f>
        <v>0.60062536111064291</v>
      </c>
      <c r="BZ35" s="1142">
        <f>'Recycling - Case 3'!CA105</f>
        <v>41.859241005426526</v>
      </c>
      <c r="CA35" s="596">
        <v>2025</v>
      </c>
      <c r="CB35" s="649">
        <f>'Recycling - Case 1'!CB105</f>
        <v>0.15785046840139405</v>
      </c>
      <c r="CC35" s="417">
        <f>'Recycling - Case 1'!CC105</f>
        <v>0.24204066501819499</v>
      </c>
      <c r="CD35" s="417">
        <f>'Recycling - Case 1'!CD105</f>
        <v>0.15785046840139405</v>
      </c>
      <c r="CE35" s="525">
        <f>'Recycling - Case 1'!CE105</f>
        <v>0.24204066501819499</v>
      </c>
      <c r="CF35" s="649">
        <f>'Recycling - Case 2'!CB105</f>
        <v>0.22388125627716271</v>
      </c>
      <c r="CG35" s="417">
        <f>'Recycling - Case 2'!CC105</f>
        <v>0.3229197158617535</v>
      </c>
      <c r="CH35" s="417">
        <f>'Recycling - Case 2'!CD105</f>
        <v>0.22388125627716271</v>
      </c>
      <c r="CI35" s="525">
        <f>'Recycling - Case 2'!CE105</f>
        <v>0.3229197158617535</v>
      </c>
      <c r="CJ35" s="649">
        <f>'Recycling - Case 3'!CB105</f>
        <v>0.22388125627716271</v>
      </c>
      <c r="CK35" s="417">
        <f>'Recycling - Case 3'!CC105</f>
        <v>0.3229197158617535</v>
      </c>
      <c r="CL35" s="417">
        <f>'Recycling - Case 3'!CD105</f>
        <v>0.22388125627716271</v>
      </c>
      <c r="CM35" s="525">
        <f>'Recycling - Case 3'!CE105</f>
        <v>0.3229197158617535</v>
      </c>
    </row>
    <row r="36" spans="1:91">
      <c r="A36" s="4">
        <f>'Input data'!A125</f>
        <v>2025</v>
      </c>
      <c r="B36" s="4"/>
      <c r="C36" s="769">
        <f>'4A SWD Case 1'!BG95</f>
        <v>674.99028301524129</v>
      </c>
      <c r="D36" s="3">
        <f>'4B Biological treatment '!T89</f>
        <v>0.72021009729916985</v>
      </c>
      <c r="E36" s="1157">
        <f>'4B Biological treatment '!U89</f>
        <v>32.409454378462641</v>
      </c>
      <c r="F36" s="1157">
        <f>'4B Biological treatment '!W89</f>
        <v>1.9445672627077581</v>
      </c>
      <c r="G36" s="952">
        <f>'4C2 Open-burning '!R96</f>
        <v>27.271955633067535</v>
      </c>
      <c r="H36" s="952">
        <f>'4C2 Open-burning '!Z96</f>
        <v>9.1761781294444624</v>
      </c>
      <c r="I36" s="952">
        <f>'4C2 Open-burning '!AH96</f>
        <v>0.12774788722814651</v>
      </c>
      <c r="J36" s="987">
        <f>'4D Wastewater treatment and dis'!AV133</f>
        <v>162.50239954694376</v>
      </c>
      <c r="K36" s="770">
        <f>'4D Wastewater treatment and dis'!AW133</f>
        <v>3.2341654672625948</v>
      </c>
      <c r="L36" s="771">
        <f t="shared" si="69"/>
        <v>14174.795943320067</v>
      </c>
      <c r="M36" s="772">
        <f t="shared" si="70"/>
        <v>15.124412043282566</v>
      </c>
      <c r="N36" s="771">
        <f t="shared" si="71"/>
        <v>1283.4143933871205</v>
      </c>
      <c r="O36" s="773">
        <f t="shared" si="72"/>
        <v>259.57354139212669</v>
      </c>
      <c r="P36" s="771">
        <f t="shared" si="73"/>
        <v>4415.1416853372239</v>
      </c>
      <c r="Q36" s="519">
        <f t="shared" si="74"/>
        <v>14174.795943320067</v>
      </c>
      <c r="R36" s="521">
        <f t="shared" si="75"/>
        <v>1298.538805430403</v>
      </c>
      <c r="S36" s="518">
        <f t="shared" si="76"/>
        <v>259.57354139212669</v>
      </c>
      <c r="T36" s="519">
        <f t="shared" si="77"/>
        <v>4415.1416853372239</v>
      </c>
      <c r="U36" s="519">
        <f t="shared" si="78"/>
        <v>20148.049975479818</v>
      </c>
      <c r="V36" s="3"/>
      <c r="W36" s="596">
        <f t="shared" si="79"/>
        <v>2026</v>
      </c>
      <c r="X36" s="1101">
        <f t="shared" si="80"/>
        <v>13751.825592974566</v>
      </c>
      <c r="Y36" s="1102">
        <f t="shared" si="81"/>
        <v>1360.2842928542614</v>
      </c>
      <c r="Z36" s="1102">
        <f t="shared" si="82"/>
        <v>252.58492131751242</v>
      </c>
      <c r="AA36" s="1102">
        <f t="shared" si="83"/>
        <v>4518.5183479885527</v>
      </c>
      <c r="AB36" s="1142">
        <f t="shared" si="22"/>
        <v>19883.213155134894</v>
      </c>
      <c r="AC36" s="1423" t="str">
        <f>IF(OR('Recycling - Case 1'!AC106="No",'Recycling - Case 1'!T146="No"), "No", "Yes")</f>
        <v>Yes</v>
      </c>
      <c r="AD36" s="1101">
        <f t="shared" si="84"/>
        <v>13751.825592974566</v>
      </c>
      <c r="AE36" s="1102">
        <f t="shared" si="85"/>
        <v>1360.2842928542614</v>
      </c>
      <c r="AF36" s="1102">
        <f t="shared" si="86"/>
        <v>252.58492131751242</v>
      </c>
      <c r="AG36" s="1102">
        <f t="shared" si="87"/>
        <v>4518.5183479885527</v>
      </c>
      <c r="AH36" s="1142">
        <f t="shared" si="60"/>
        <v>19883.213155134894</v>
      </c>
      <c r="AI36" s="1423" t="str">
        <f>IF(OR('Recycling - Case 1'!AI17="No",'Recycling - Case 1'!Z146="No"), "No", "Yes")</f>
        <v>Yes</v>
      </c>
      <c r="AJ36" s="1101">
        <f t="shared" si="88"/>
        <v>13256.140438983586</v>
      </c>
      <c r="AK36" s="1102">
        <f t="shared" si="89"/>
        <v>1414.8849380858983</v>
      </c>
      <c r="AL36" s="1102">
        <f t="shared" si="90"/>
        <v>179.02774717071497</v>
      </c>
      <c r="AM36" s="1102">
        <f t="shared" si="91"/>
        <v>5022.5506152726048</v>
      </c>
      <c r="AN36" s="1142">
        <f t="shared" si="92"/>
        <v>19872.603739512804</v>
      </c>
      <c r="AO36" s="1416" t="str">
        <f>IF(OR('Recycling - Case 2'!AC106="No",'Recycling - Case 2'!T146="No"), "No", "Yes")</f>
        <v>No</v>
      </c>
      <c r="AP36" s="1101">
        <f t="shared" si="93"/>
        <v>13256.140438983586</v>
      </c>
      <c r="AQ36" s="1102">
        <f t="shared" si="94"/>
        <v>1414.8849380858983</v>
      </c>
      <c r="AR36" s="1102">
        <f t="shared" si="95"/>
        <v>179.02774717071497</v>
      </c>
      <c r="AS36" s="1102">
        <f t="shared" si="96"/>
        <v>5022.5506152726048</v>
      </c>
      <c r="AT36" s="1142">
        <f t="shared" si="37"/>
        <v>19872.603739512804</v>
      </c>
      <c r="AU36" s="1423" t="str">
        <f>IF(OR('Recycling - Case 2'!AC106="No",'Recycling - Case 2'!T186="No"), "No", "Yes")</f>
        <v>No</v>
      </c>
      <c r="AV36" s="1101">
        <f t="shared" si="63"/>
        <v>13256.398487619486</v>
      </c>
      <c r="AW36" s="1102">
        <f t="shared" si="64"/>
        <v>859.28952146647725</v>
      </c>
      <c r="AX36" s="1102">
        <f t="shared" si="65"/>
        <v>179.02774717071497</v>
      </c>
      <c r="AY36" s="1102">
        <f t="shared" si="66"/>
        <v>5022.5506152726048</v>
      </c>
      <c r="AZ36" s="1142">
        <f t="shared" si="67"/>
        <v>19317.266371529284</v>
      </c>
      <c r="BA36" s="1423" t="str">
        <f>IF(OR('Recycling - Case 3'!AC106="No",'Recycling - Case 3'!T146="No"), "No", "Yes")</f>
        <v>No</v>
      </c>
      <c r="BB36" s="1101">
        <f t="shared" si="97"/>
        <v>13256.398487619486</v>
      </c>
      <c r="BC36" s="1102">
        <f t="shared" si="98"/>
        <v>859.28952146647725</v>
      </c>
      <c r="BD36" s="1102">
        <f t="shared" si="99"/>
        <v>179.02774717071497</v>
      </c>
      <c r="BE36" s="1102">
        <f t="shared" si="100"/>
        <v>5022.5506152726048</v>
      </c>
      <c r="BF36" s="1142">
        <f t="shared" si="47"/>
        <v>19317.266371529284</v>
      </c>
      <c r="BG36" s="1423" t="str">
        <f>IF(OR('Recycling - Case 3'!AC106="No",'Recycling - Case 3'!T186="No"), "No", "Yes")</f>
        <v>No</v>
      </c>
      <c r="BH36" s="596">
        <f t="shared" si="48"/>
        <v>2026</v>
      </c>
      <c r="BI36" s="1102">
        <f>'Recycling - Case 1'!BV106</f>
        <v>95.886151051128607</v>
      </c>
      <c r="BJ36" s="417">
        <f>'Recycling - Case 1'!BW106</f>
        <v>0.48635498666824672</v>
      </c>
      <c r="BK36" s="1142">
        <f>'Recycling - Case 1'!BX106</f>
        <v>37.757514205797321</v>
      </c>
      <c r="BL36" s="1101">
        <f>'Recycling - Case 1'!BY106</f>
        <v>95.886151051128607</v>
      </c>
      <c r="BM36" s="417">
        <f>'Recycling - Case 1'!BZ106</f>
        <v>0.48635498666824672</v>
      </c>
      <c r="BN36" s="1142">
        <f>'Recycling - Case 1'!CA106</f>
        <v>37.757514205797321</v>
      </c>
      <c r="BO36" s="1102">
        <f>'Recycling - Case 2'!BV106</f>
        <v>84.131980311407801</v>
      </c>
      <c r="BP36" s="417">
        <f>'Recycling - Case 2'!BW106</f>
        <v>0.63365564336219404</v>
      </c>
      <c r="BQ36" s="1142">
        <f>'Recycling - Case 2'!BX106</f>
        <v>37.757514205797321</v>
      </c>
      <c r="BR36" s="1101">
        <f>'Recycling - Case 2'!BY106</f>
        <v>84.131980311407801</v>
      </c>
      <c r="BS36" s="417">
        <f>'Recycling - Case 2'!BZ106</f>
        <v>0.63365564336219404</v>
      </c>
      <c r="BT36" s="1142">
        <f>'Recycling - Case 2'!CA106</f>
        <v>37.757514205797321</v>
      </c>
      <c r="BU36" s="1102">
        <f>'Recycling - Case 3'!BV106</f>
        <v>84.131980311407801</v>
      </c>
      <c r="BV36" s="417">
        <f>'Recycling - Case 3'!BW106</f>
        <v>0.63365564336219404</v>
      </c>
      <c r="BW36" s="1142">
        <f>'Recycling - Case 3'!BX106</f>
        <v>37.757514205797321</v>
      </c>
      <c r="BX36" s="1101">
        <f>'Recycling - Case 3'!BY106</f>
        <v>84.131980311407801</v>
      </c>
      <c r="BY36" s="417">
        <f>'Recycling - Case 3'!BZ106</f>
        <v>0.63365564336219404</v>
      </c>
      <c r="BZ36" s="1142">
        <f>'Recycling - Case 3'!CA106</f>
        <v>37.757514205797321</v>
      </c>
      <c r="CA36" s="596">
        <v>2026</v>
      </c>
      <c r="CB36" s="649">
        <f>'Recycling - Case 1'!CB106</f>
        <v>0.17132277452637046</v>
      </c>
      <c r="CC36" s="417">
        <f>'Recycling - Case 1'!CC106</f>
        <v>0.23749755008140383</v>
      </c>
      <c r="CD36" s="417">
        <f>'Recycling - Case 1'!CD106</f>
        <v>0.17132277452637046</v>
      </c>
      <c r="CE36" s="525">
        <f>'Recycling - Case 1'!CE106</f>
        <v>0.23749755008140383</v>
      </c>
      <c r="CF36" s="649">
        <f>'Recycling - Case 2'!CB106</f>
        <v>0.24289710140574805</v>
      </c>
      <c r="CG36" s="417">
        <f>'Recycling - Case 2'!CC106</f>
        <v>0.33962889078288261</v>
      </c>
      <c r="CH36" s="417">
        <f>'Recycling - Case 2'!CD106</f>
        <v>0.24289710140574805</v>
      </c>
      <c r="CI36" s="525">
        <f>'Recycling - Case 2'!CE106</f>
        <v>0.33962889078288261</v>
      </c>
      <c r="CJ36" s="649">
        <f>'Recycling - Case 3'!CB106</f>
        <v>0.24289710140574805</v>
      </c>
      <c r="CK36" s="417">
        <f>'Recycling - Case 3'!CC106</f>
        <v>0.33962889078288261</v>
      </c>
      <c r="CL36" s="417">
        <f>'Recycling - Case 3'!CD106</f>
        <v>0.24289710140574805</v>
      </c>
      <c r="CM36" s="525">
        <f>'Recycling - Case 3'!CE106</f>
        <v>0.33962889078288261</v>
      </c>
    </row>
    <row r="37" spans="1:91">
      <c r="A37" s="4">
        <f>'Input data'!A126</f>
        <v>2026</v>
      </c>
      <c r="B37" s="4"/>
      <c r="C37" s="769">
        <f>'4A SWD Case 1'!BG96</f>
        <v>654.84883776069364</v>
      </c>
      <c r="D37" s="3">
        <f>'4B Biological treatment '!T90</f>
        <v>0.7544560692480653</v>
      </c>
      <c r="E37" s="1157">
        <f>'4B Biological treatment '!U90</f>
        <v>33.950523116162927</v>
      </c>
      <c r="F37" s="1157">
        <f>'4B Biological treatment '!W90</f>
        <v>2.0370313869697756</v>
      </c>
      <c r="G37" s="952">
        <f>'4C2 Open-burning '!R97</f>
        <v>26.537699993648094</v>
      </c>
      <c r="H37" s="952">
        <f>'4C2 Open-burning '!Z97</f>
        <v>8.9291235862897924</v>
      </c>
      <c r="I37" s="952">
        <f>'4C2 Open-burning '!AH97</f>
        <v>0.12430847100573772</v>
      </c>
      <c r="J37" s="987">
        <f>'4D Wastewater treatment and dis'!AV134</f>
        <v>166.70088132394665</v>
      </c>
      <c r="K37" s="770">
        <f>'4D Wastewater treatment and dis'!AW134</f>
        <v>3.2832252909215254</v>
      </c>
      <c r="L37" s="771">
        <f t="shared" si="69"/>
        <v>13751.825592974566</v>
      </c>
      <c r="M37" s="772">
        <f t="shared" si="70"/>
        <v>15.84357745420937</v>
      </c>
      <c r="N37" s="771">
        <f t="shared" si="71"/>
        <v>1344.4407154000519</v>
      </c>
      <c r="O37" s="773">
        <f t="shared" si="72"/>
        <v>252.58492131751242</v>
      </c>
      <c r="P37" s="771">
        <f t="shared" si="73"/>
        <v>4518.5183479885527</v>
      </c>
      <c r="Q37" s="519">
        <f t="shared" si="74"/>
        <v>13751.825592974566</v>
      </c>
      <c r="R37" s="521">
        <f t="shared" si="75"/>
        <v>1360.2842928542614</v>
      </c>
      <c r="S37" s="518">
        <f t="shared" si="76"/>
        <v>252.58492131751242</v>
      </c>
      <c r="T37" s="519">
        <f t="shared" si="77"/>
        <v>4518.5183479885527</v>
      </c>
      <c r="U37" s="519">
        <f t="shared" si="78"/>
        <v>19883.213155134894</v>
      </c>
      <c r="V37" s="3"/>
      <c r="W37" s="596">
        <f t="shared" si="79"/>
        <v>2027</v>
      </c>
      <c r="X37" s="1101">
        <f t="shared" si="80"/>
        <v>13344.506672621757</v>
      </c>
      <c r="Y37" s="1102">
        <f t="shared" si="81"/>
        <v>1421.978807306712</v>
      </c>
      <c r="Z37" s="1102">
        <f t="shared" si="82"/>
        <v>245.81131859373065</v>
      </c>
      <c r="AA37" s="1102">
        <f t="shared" si="83"/>
        <v>4619.7727684389774</v>
      </c>
      <c r="AB37" s="1142">
        <f t="shared" si="22"/>
        <v>19632.069566961178</v>
      </c>
      <c r="AC37" s="1423" t="str">
        <f>IF(OR('Recycling - Case 1'!AC107="No",'Recycling - Case 1'!T147="No"), "No", "Yes")</f>
        <v>Yes</v>
      </c>
      <c r="AD37" s="1101">
        <f t="shared" si="84"/>
        <v>13344.506672621757</v>
      </c>
      <c r="AE37" s="1102">
        <f t="shared" si="85"/>
        <v>1421.978807306712</v>
      </c>
      <c r="AF37" s="1102">
        <f t="shared" si="86"/>
        <v>245.81131859373065</v>
      </c>
      <c r="AG37" s="1102">
        <f t="shared" si="87"/>
        <v>4619.7727684389774</v>
      </c>
      <c r="AH37" s="1142">
        <f t="shared" si="60"/>
        <v>19632.069566961178</v>
      </c>
      <c r="AI37" s="1423" t="str">
        <f>IF(OR('Recycling - Case 1'!AI18="No",'Recycling - Case 1'!Z147="No"), "No", "Yes")</f>
        <v>Yes</v>
      </c>
      <c r="AJ37" s="1101">
        <f t="shared" si="88"/>
        <v>12762.179984870738</v>
      </c>
      <c r="AK37" s="1102">
        <f t="shared" si="89"/>
        <v>1421.978807306712</v>
      </c>
      <c r="AL37" s="1102">
        <f t="shared" si="90"/>
        <v>166.29654607941288</v>
      </c>
      <c r="AM37" s="1102">
        <f t="shared" si="91"/>
        <v>5187.7823044053921</v>
      </c>
      <c r="AN37" s="1142">
        <f t="shared" si="92"/>
        <v>19538.237642662254</v>
      </c>
      <c r="AO37" s="1416" t="str">
        <f>IF(OR('Recycling - Case 2'!AC107="No",'Recycling - Case 2'!T147="No"), "No", "Yes")</f>
        <v>Yes</v>
      </c>
      <c r="AP37" s="1101">
        <f t="shared" si="93"/>
        <v>12762.179984870738</v>
      </c>
      <c r="AQ37" s="1102">
        <f t="shared" si="94"/>
        <v>1421.978807306712</v>
      </c>
      <c r="AR37" s="1102">
        <f t="shared" si="95"/>
        <v>166.29654607941288</v>
      </c>
      <c r="AS37" s="1102">
        <f t="shared" si="96"/>
        <v>5187.7823044053921</v>
      </c>
      <c r="AT37" s="1142">
        <f t="shared" si="37"/>
        <v>19538.237642662254</v>
      </c>
      <c r="AU37" s="1423" t="str">
        <f>IF(OR('Recycling - Case 2'!AC107="No",'Recycling - Case 2'!T187="No"), "No", "Yes")</f>
        <v>Yes</v>
      </c>
      <c r="AV37" s="1101">
        <f t="shared" si="63"/>
        <v>12762.500344365419</v>
      </c>
      <c r="AW37" s="1102">
        <f t="shared" si="64"/>
        <v>863.59777814800327</v>
      </c>
      <c r="AX37" s="1102">
        <f t="shared" si="65"/>
        <v>166.29654607941288</v>
      </c>
      <c r="AY37" s="1102">
        <f t="shared" si="66"/>
        <v>5187.7823044053921</v>
      </c>
      <c r="AZ37" s="1142">
        <f t="shared" si="67"/>
        <v>18980.176972998226</v>
      </c>
      <c r="BA37" s="1423" t="str">
        <f>IF(OR('Recycling - Case 3'!AC107="No",'Recycling - Case 3'!T147="No"), "No", "Yes")</f>
        <v>Yes</v>
      </c>
      <c r="BB37" s="1101">
        <f t="shared" si="97"/>
        <v>12762.500344365419</v>
      </c>
      <c r="BC37" s="1102">
        <f t="shared" si="98"/>
        <v>863.59777814800327</v>
      </c>
      <c r="BD37" s="1102">
        <f t="shared" si="99"/>
        <v>166.29654607941288</v>
      </c>
      <c r="BE37" s="1102">
        <f t="shared" si="100"/>
        <v>5187.7823044053921</v>
      </c>
      <c r="BF37" s="1142">
        <f t="shared" si="47"/>
        <v>18980.176972998226</v>
      </c>
      <c r="BG37" s="1423" t="str">
        <f>IF(OR('Recycling - Case 3'!AC107="No",'Recycling - Case 3'!T187="No"), "No", "Yes")</f>
        <v>Yes</v>
      </c>
      <c r="BH37" s="596">
        <f t="shared" si="48"/>
        <v>2027</v>
      </c>
      <c r="BI37" s="1102">
        <f>'Recycling - Case 1'!BV107</f>
        <v>94.299124556981511</v>
      </c>
      <c r="BJ37" s="417">
        <f>'Recycling - Case 1'!BW107</f>
        <v>0.50482906183889453</v>
      </c>
      <c r="BK37" s="1142">
        <f>'Recycling - Case 1'!BX107</f>
        <v>35.019614880897869</v>
      </c>
      <c r="BL37" s="1101">
        <f>'Recycling - Case 1'!BY107</f>
        <v>94.299124556981511</v>
      </c>
      <c r="BM37" s="417">
        <f>'Recycling - Case 1'!BZ107</f>
        <v>0.50482906183889453</v>
      </c>
      <c r="BN37" s="1142">
        <f>'Recycling - Case 1'!CA107</f>
        <v>35.019614880897869</v>
      </c>
      <c r="BO37" s="1102">
        <f>'Recycling - Case 2'!BV107</f>
        <v>81.855981060852642</v>
      </c>
      <c r="BP37" s="417">
        <f>'Recycling - Case 2'!BW107</f>
        <v>0.65971565450245506</v>
      </c>
      <c r="BQ37" s="1142">
        <f>'Recycling - Case 2'!BX107</f>
        <v>35.019614880897869</v>
      </c>
      <c r="BR37" s="1101">
        <f>'Recycling - Case 2'!BY107</f>
        <v>81.855981060852642</v>
      </c>
      <c r="BS37" s="417">
        <f>'Recycling - Case 2'!BZ107</f>
        <v>0.65971565450245506</v>
      </c>
      <c r="BT37" s="1142">
        <f>'Recycling - Case 2'!CA107</f>
        <v>35.019614880897869</v>
      </c>
      <c r="BU37" s="1102">
        <f>'Recycling - Case 3'!BV107</f>
        <v>81.855981060852642</v>
      </c>
      <c r="BV37" s="417">
        <f>'Recycling - Case 3'!BW107</f>
        <v>0.65971565450245506</v>
      </c>
      <c r="BW37" s="1142">
        <f>'Recycling - Case 3'!BX107</f>
        <v>35.019614880897869</v>
      </c>
      <c r="BX37" s="1101">
        <f>'Recycling - Case 3'!BY107</f>
        <v>81.855981060852642</v>
      </c>
      <c r="BY37" s="417">
        <f>'Recycling - Case 3'!BZ107</f>
        <v>0.65971565450245506</v>
      </c>
      <c r="BZ37" s="1142">
        <f>'Recycling - Case 3'!CA107</f>
        <v>35.019614880897869</v>
      </c>
      <c r="CA37" s="596">
        <v>2027</v>
      </c>
      <c r="CB37" s="649">
        <f>'Recycling - Case 1'!CB107</f>
        <v>0.18325265493865428</v>
      </c>
      <c r="CC37" s="417">
        <f>'Recycling - Case 1'!CC107</f>
        <v>0.24090857049577374</v>
      </c>
      <c r="CD37" s="417">
        <f>'Recycling - Case 1'!CD107</f>
        <v>0.18325265493865428</v>
      </c>
      <c r="CE37" s="525">
        <f>'Recycling - Case 1'!CE107</f>
        <v>0.24090857049577374</v>
      </c>
      <c r="CF37" s="649">
        <f>'Recycling - Case 2'!CB107</f>
        <v>0.26098012918869418</v>
      </c>
      <c r="CG37" s="417">
        <f>'Recycling - Case 2'!CC107</f>
        <v>0.35002220753292401</v>
      </c>
      <c r="CH37" s="417">
        <f>'Recycling - Case 2'!CD107</f>
        <v>0.26098012918869418</v>
      </c>
      <c r="CI37" s="525">
        <f>'Recycling - Case 2'!CE107</f>
        <v>0.35002220753292401</v>
      </c>
      <c r="CJ37" s="649">
        <f>'Recycling - Case 3'!CB107</f>
        <v>0.26098012918869418</v>
      </c>
      <c r="CK37" s="417">
        <f>'Recycling - Case 3'!CC107</f>
        <v>0.35002220753292401</v>
      </c>
      <c r="CL37" s="417">
        <f>'Recycling - Case 3'!CD107</f>
        <v>0.26098012918869418</v>
      </c>
      <c r="CM37" s="525">
        <f>'Recycling - Case 3'!CE107</f>
        <v>0.35002220753292401</v>
      </c>
    </row>
    <row r="38" spans="1:91">
      <c r="A38" s="4">
        <f>'Input data'!A127</f>
        <v>2027</v>
      </c>
      <c r="B38" s="4"/>
      <c r="C38" s="769">
        <f>'4A SWD Case 1'!BG97</f>
        <v>635.45269869627418</v>
      </c>
      <c r="D38" s="3">
        <f>'4B Biological treatment '!T91</f>
        <v>0.78867376999817651</v>
      </c>
      <c r="E38" s="1157">
        <f>'4B Biological treatment '!U91</f>
        <v>35.490319649917943</v>
      </c>
      <c r="F38" s="1157">
        <f>'4B Biological treatment '!W91</f>
        <v>2.1294191789950765</v>
      </c>
      <c r="G38" s="952">
        <f>'4C2 Open-burning '!R98</f>
        <v>25.826035037473154</v>
      </c>
      <c r="H38" s="952">
        <f>'4C2 Open-burning '!Z98</f>
        <v>8.6896701164247112</v>
      </c>
      <c r="I38" s="952">
        <f>'4C2 Open-burning '!AH98</f>
        <v>0.12097487455270498</v>
      </c>
      <c r="J38" s="987">
        <f>'4D Wastewater treatment and dis'!AV135</f>
        <v>170.83246136481878</v>
      </c>
      <c r="K38" s="770">
        <f>'4D Wastewater treatment and dis'!AW135</f>
        <v>3.3299712250896238</v>
      </c>
      <c r="L38" s="771">
        <f t="shared" si="69"/>
        <v>13344.506672621757</v>
      </c>
      <c r="M38" s="772">
        <f t="shared" si="70"/>
        <v>16.562149169961707</v>
      </c>
      <c r="N38" s="771">
        <f t="shared" si="71"/>
        <v>1405.4166581367504</v>
      </c>
      <c r="O38" s="773">
        <f t="shared" si="72"/>
        <v>245.81131859373065</v>
      </c>
      <c r="P38" s="771">
        <f t="shared" si="73"/>
        <v>4619.7727684389774</v>
      </c>
      <c r="Q38" s="519">
        <f t="shared" si="74"/>
        <v>13344.506672621757</v>
      </c>
      <c r="R38" s="521">
        <f t="shared" si="75"/>
        <v>1421.978807306712</v>
      </c>
      <c r="S38" s="518">
        <f t="shared" si="76"/>
        <v>245.81131859373065</v>
      </c>
      <c r="T38" s="519">
        <f t="shared" si="77"/>
        <v>4619.7727684389774</v>
      </c>
      <c r="U38" s="519">
        <f t="shared" si="78"/>
        <v>19632.069566961178</v>
      </c>
      <c r="V38" s="3"/>
      <c r="W38" s="596">
        <f t="shared" si="79"/>
        <v>2028</v>
      </c>
      <c r="X38" s="1101">
        <f t="shared" si="80"/>
        <v>12946.79088933246</v>
      </c>
      <c r="Y38" s="1102">
        <f t="shared" si="81"/>
        <v>1429.2295164395491</v>
      </c>
      <c r="Z38" s="1102">
        <f t="shared" si="82"/>
        <v>232.12239472169486</v>
      </c>
      <c r="AA38" s="1102">
        <f t="shared" si="83"/>
        <v>4718.6571217755627</v>
      </c>
      <c r="AB38" s="1142">
        <f t="shared" si="22"/>
        <v>19326.799922269267</v>
      </c>
      <c r="AC38" s="1423" t="str">
        <f>IF(OR('Recycling - Case 1'!AC108="No",'Recycling - Case 1'!T148="No"), "No", "Yes")</f>
        <v>Yes</v>
      </c>
      <c r="AD38" s="1101">
        <f t="shared" si="84"/>
        <v>12946.79088933246</v>
      </c>
      <c r="AE38" s="1102">
        <f t="shared" si="85"/>
        <v>1429.2295164395491</v>
      </c>
      <c r="AF38" s="1102">
        <f t="shared" si="86"/>
        <v>232.12239472169486</v>
      </c>
      <c r="AG38" s="1102">
        <f t="shared" si="87"/>
        <v>4718.6571217755627</v>
      </c>
      <c r="AH38" s="1142">
        <f t="shared" si="60"/>
        <v>19326.799922269267</v>
      </c>
      <c r="AI38" s="1423" t="str">
        <f>IF(OR('Recycling - Case 1'!AI19="No",'Recycling - Case 1'!Z148="No"), "No", "Yes")</f>
        <v>Yes</v>
      </c>
      <c r="AJ38" s="1101">
        <f t="shared" si="88"/>
        <v>12286.460792318298</v>
      </c>
      <c r="AK38" s="1102">
        <f t="shared" si="89"/>
        <v>1429.2295164395491</v>
      </c>
      <c r="AL38" s="1102">
        <f t="shared" si="90"/>
        <v>153.40585885571505</v>
      </c>
      <c r="AM38" s="1102">
        <f t="shared" si="91"/>
        <v>5351.7815773729699</v>
      </c>
      <c r="AN38" s="1142">
        <f t="shared" si="92"/>
        <v>19220.87774498653</v>
      </c>
      <c r="AO38" s="1416" t="str">
        <f>IF(OR('Recycling - Case 2'!AC108="No",'Recycling - Case 2'!T148="No"), "No", "Yes")</f>
        <v>Yes</v>
      </c>
      <c r="AP38" s="1101">
        <f t="shared" si="93"/>
        <v>12286.460792318298</v>
      </c>
      <c r="AQ38" s="1102">
        <f t="shared" si="94"/>
        <v>1429.2295164395491</v>
      </c>
      <c r="AR38" s="1102">
        <f t="shared" si="95"/>
        <v>153.40585885571505</v>
      </c>
      <c r="AS38" s="1102">
        <f t="shared" si="96"/>
        <v>5351.7815773729699</v>
      </c>
      <c r="AT38" s="1142">
        <f t="shared" si="37"/>
        <v>19220.87774498653</v>
      </c>
      <c r="AU38" s="1423" t="str">
        <f>IF(OR('Recycling - Case 2'!AC108="No",'Recycling - Case 2'!T188="No"), "No", "Yes")</f>
        <v>Yes</v>
      </c>
      <c r="AV38" s="1101">
        <f t="shared" si="63"/>
        <v>12286.849650607719</v>
      </c>
      <c r="AW38" s="1102">
        <f t="shared" si="64"/>
        <v>868.0012870223552</v>
      </c>
      <c r="AX38" s="1102">
        <f t="shared" si="65"/>
        <v>153.40585885571505</v>
      </c>
      <c r="AY38" s="1102">
        <f t="shared" si="66"/>
        <v>5351.7815773729699</v>
      </c>
      <c r="AZ38" s="1142">
        <f t="shared" si="67"/>
        <v>18660.038373858759</v>
      </c>
      <c r="BA38" s="1423" t="str">
        <f>IF(OR('Recycling - Case 3'!AC108="No",'Recycling - Case 3'!T148="No"), "No", "Yes")</f>
        <v>Yes</v>
      </c>
      <c r="BB38" s="1101">
        <f t="shared" si="97"/>
        <v>12286.849650607719</v>
      </c>
      <c r="BC38" s="1102">
        <f t="shared" si="98"/>
        <v>868.0012870223552</v>
      </c>
      <c r="BD38" s="1102">
        <f t="shared" si="99"/>
        <v>153.40585885571505</v>
      </c>
      <c r="BE38" s="1102">
        <f t="shared" si="100"/>
        <v>5351.7815773729699</v>
      </c>
      <c r="BF38" s="1142">
        <f t="shared" si="47"/>
        <v>18660.038373858759</v>
      </c>
      <c r="BG38" s="1423" t="str">
        <f>IF(OR('Recycling - Case 3'!AC108="No",'Recycling - Case 3'!T188="No"), "No", "Yes")</f>
        <v>Yes</v>
      </c>
      <c r="BH38" s="596">
        <f t="shared" si="48"/>
        <v>2028</v>
      </c>
      <c r="BI38" s="1102">
        <f>'Recycling - Case 1'!BV108</f>
        <v>92.479085672149751</v>
      </c>
      <c r="BJ38" s="417">
        <f>'Recycling - Case 1'!BW108</f>
        <v>0.52130033021865774</v>
      </c>
      <c r="BK38" s="1142">
        <f>'Recycling - Case 1'!BX108</f>
        <v>32.897025730580332</v>
      </c>
      <c r="BL38" s="1101">
        <f>'Recycling - Case 1'!BY108</f>
        <v>92.479085672149751</v>
      </c>
      <c r="BM38" s="417">
        <f>'Recycling - Case 1'!BZ108</f>
        <v>0.52130033021865774</v>
      </c>
      <c r="BN38" s="1142">
        <f>'Recycling - Case 1'!CA108</f>
        <v>32.897025730580332</v>
      </c>
      <c r="BO38" s="1102">
        <f>'Recycling - Case 2'!BV108</f>
        <v>80.236516781439207</v>
      </c>
      <c r="BP38" s="417">
        <f>'Recycling - Case 2'!BW108</f>
        <v>0.68260341092778454</v>
      </c>
      <c r="BQ38" s="1142">
        <f>'Recycling - Case 2'!BX108</f>
        <v>32.897025730580332</v>
      </c>
      <c r="BR38" s="1101">
        <f>'Recycling - Case 2'!BY108</f>
        <v>80.236516781439207</v>
      </c>
      <c r="BS38" s="417">
        <f>'Recycling - Case 2'!BZ108</f>
        <v>0.68260341092778454</v>
      </c>
      <c r="BT38" s="1142">
        <f>'Recycling - Case 2'!CA108</f>
        <v>32.897025730580332</v>
      </c>
      <c r="BU38" s="1102">
        <f>'Recycling - Case 3'!BV108</f>
        <v>80.236516781439207</v>
      </c>
      <c r="BV38" s="417">
        <f>'Recycling - Case 3'!BW108</f>
        <v>0.68260341092778454</v>
      </c>
      <c r="BW38" s="1142">
        <f>'Recycling - Case 3'!BX108</f>
        <v>32.897025730580332</v>
      </c>
      <c r="BX38" s="1101">
        <f>'Recycling - Case 3'!BY108</f>
        <v>80.236516781439207</v>
      </c>
      <c r="BY38" s="417">
        <f>'Recycling - Case 3'!BZ108</f>
        <v>0.68260341092778454</v>
      </c>
      <c r="BZ38" s="1142">
        <f>'Recycling - Case 3'!CA108</f>
        <v>32.897025730580332</v>
      </c>
      <c r="CA38" s="596">
        <v>2028</v>
      </c>
      <c r="CB38" s="649">
        <f>'Recycling - Case 1'!CB108</f>
        <v>0.20670588419197256</v>
      </c>
      <c r="CC38" s="417">
        <f>'Recycling - Case 1'!CC108</f>
        <v>0.24834211320139787</v>
      </c>
      <c r="CD38" s="417">
        <f>'Recycling - Case 1'!CD108</f>
        <v>0.20670588419197256</v>
      </c>
      <c r="CE38" s="525">
        <f>'Recycling - Case 1'!CE108</f>
        <v>0.24834211320139787</v>
      </c>
      <c r="CF38" s="649">
        <f>'Recycling - Case 2'!CB108</f>
        <v>0.27820714876718022</v>
      </c>
      <c r="CG38" s="417">
        <f>'Recycling - Case 2'!CC108</f>
        <v>0.35807302697893617</v>
      </c>
      <c r="CH38" s="417">
        <f>'Recycling - Case 2'!CD108</f>
        <v>0.27820714876718022</v>
      </c>
      <c r="CI38" s="525">
        <f>'Recycling - Case 2'!CE108</f>
        <v>0.35807302697893617</v>
      </c>
      <c r="CJ38" s="649">
        <f>'Recycling - Case 3'!CB108</f>
        <v>0.27820714876718022</v>
      </c>
      <c r="CK38" s="417">
        <f>'Recycling - Case 3'!CC108</f>
        <v>0.35807302697893617</v>
      </c>
      <c r="CL38" s="417">
        <f>'Recycling - Case 3'!CD108</f>
        <v>0.27820714876718022</v>
      </c>
      <c r="CM38" s="525">
        <f>'Recycling - Case 3'!CE108</f>
        <v>0.35807302697893617</v>
      </c>
    </row>
    <row r="39" spans="1:91">
      <c r="A39" s="4">
        <f>'Input data'!A128</f>
        <v>2028</v>
      </c>
      <c r="B39" s="4"/>
      <c r="C39" s="769">
        <f>'4A SWD Case 1'!BG98</f>
        <v>616.51385187297433</v>
      </c>
      <c r="D39" s="3">
        <f>'4B Biological treatment '!T92</f>
        <v>0.79269523928982233</v>
      </c>
      <c r="E39" s="1157">
        <f>'4B Biological treatment '!U92</f>
        <v>35.671285768041997</v>
      </c>
      <c r="F39" s="1157">
        <f>'4B Biological treatment '!W92</f>
        <v>2.1402771460825196</v>
      </c>
      <c r="G39" s="952">
        <f>'4C2 Open-burning '!R99</f>
        <v>24.38781555446878</v>
      </c>
      <c r="H39" s="952">
        <f>'4C2 Open-burning '!Z99</f>
        <v>8.2057532920190681</v>
      </c>
      <c r="I39" s="952">
        <f>'4C2 Open-burning '!AH99</f>
        <v>0.11423793559621181</v>
      </c>
      <c r="J39" s="987">
        <f>'4D Wastewater treatment and dis'!AV136</f>
        <v>174.88714210647373</v>
      </c>
      <c r="K39" s="770">
        <f>'4D Wastewater treatment and dis'!AW136</f>
        <v>3.3742810888374657</v>
      </c>
      <c r="L39" s="771">
        <f t="shared" si="69"/>
        <v>12946.79088933246</v>
      </c>
      <c r="M39" s="772">
        <f t="shared" si="70"/>
        <v>16.646600025086268</v>
      </c>
      <c r="N39" s="771">
        <f t="shared" si="71"/>
        <v>1412.5829164144629</v>
      </c>
      <c r="O39" s="773">
        <f t="shared" si="72"/>
        <v>232.12239472169486</v>
      </c>
      <c r="P39" s="771">
        <f t="shared" si="73"/>
        <v>4718.6571217755627</v>
      </c>
      <c r="Q39" s="519">
        <f t="shared" si="74"/>
        <v>12946.79088933246</v>
      </c>
      <c r="R39" s="521">
        <f t="shared" si="75"/>
        <v>1429.2295164395491</v>
      </c>
      <c r="S39" s="518">
        <f t="shared" si="76"/>
        <v>232.12239472169486</v>
      </c>
      <c r="T39" s="519">
        <f t="shared" si="77"/>
        <v>4718.6571217755627</v>
      </c>
      <c r="U39" s="519">
        <f t="shared" si="78"/>
        <v>19326.799922269267</v>
      </c>
      <c r="V39" s="3"/>
      <c r="W39" s="596">
        <f t="shared" si="79"/>
        <v>2029</v>
      </c>
      <c r="X39" s="1101">
        <f t="shared" si="80"/>
        <v>12562.861222369907</v>
      </c>
      <c r="Y39" s="1102">
        <f t="shared" si="81"/>
        <v>1438.8610554369002</v>
      </c>
      <c r="Z39" s="1102">
        <f t="shared" si="82"/>
        <v>219.26984338229971</v>
      </c>
      <c r="AA39" s="1102">
        <f t="shared" si="83"/>
        <v>4814.9251466728774</v>
      </c>
      <c r="AB39" s="1142">
        <f t="shared" si="22"/>
        <v>19035.917267861983</v>
      </c>
      <c r="AC39" s="1423" t="str">
        <f>IF(OR('Recycling - Case 1'!AC109="No",'Recycling - Case 1'!T149="No"), "No", "Yes")</f>
        <v>Yes</v>
      </c>
      <c r="AD39" s="1101">
        <f t="shared" si="84"/>
        <v>12562.861222369907</v>
      </c>
      <c r="AE39" s="1102">
        <f t="shared" si="85"/>
        <v>1438.8610554369002</v>
      </c>
      <c r="AF39" s="1102">
        <f t="shared" si="86"/>
        <v>219.26984338229971</v>
      </c>
      <c r="AG39" s="1102">
        <f t="shared" si="87"/>
        <v>4814.9251466728774</v>
      </c>
      <c r="AH39" s="1142">
        <f t="shared" si="60"/>
        <v>19035.917267861983</v>
      </c>
      <c r="AI39" s="1423" t="str">
        <f>IF(OR('Recycling - Case 1'!AI20="No",'Recycling - Case 1'!Z149="No"), "No", "Yes")</f>
        <v>Yes</v>
      </c>
      <c r="AJ39" s="1101">
        <f t="shared" si="88"/>
        <v>11827.639073717663</v>
      </c>
      <c r="AK39" s="1102">
        <f t="shared" si="89"/>
        <v>1438.8610554369002</v>
      </c>
      <c r="AL39" s="1102">
        <f t="shared" si="90"/>
        <v>140.33449231102381</v>
      </c>
      <c r="AM39" s="1102">
        <f t="shared" si="91"/>
        <v>5514.1535178716267</v>
      </c>
      <c r="AN39" s="1142">
        <f t="shared" si="92"/>
        <v>18920.988139337212</v>
      </c>
      <c r="AO39" s="1416" t="str">
        <f>IF(OR('Recycling - Case 2'!AC109="No",'Recycling - Case 2'!T149="No"), "No", "Yes")</f>
        <v>No</v>
      </c>
      <c r="AP39" s="1101">
        <f t="shared" si="93"/>
        <v>11827.639073717663</v>
      </c>
      <c r="AQ39" s="1102">
        <f t="shared" si="94"/>
        <v>1438.8610554369002</v>
      </c>
      <c r="AR39" s="1102">
        <f t="shared" si="95"/>
        <v>140.33449231102381</v>
      </c>
      <c r="AS39" s="1102">
        <f t="shared" si="96"/>
        <v>5514.1535178716267</v>
      </c>
      <c r="AT39" s="1142">
        <f t="shared" si="37"/>
        <v>18920.988139337212</v>
      </c>
      <c r="AU39" s="1423" t="str">
        <f>IF(OR('Recycling - Case 2'!AC109="No",'Recycling - Case 2'!T189="No"), "No", "Yes")</f>
        <v>No</v>
      </c>
      <c r="AV39" s="1101">
        <f t="shared" si="63"/>
        <v>11828.102432940997</v>
      </c>
      <c r="AW39" s="1102">
        <f t="shared" si="64"/>
        <v>873.85072418380787</v>
      </c>
      <c r="AX39" s="1102">
        <f t="shared" si="65"/>
        <v>140.33449231102381</v>
      </c>
      <c r="AY39" s="1102">
        <f t="shared" si="66"/>
        <v>5514.1535178716267</v>
      </c>
      <c r="AZ39" s="1142">
        <f t="shared" si="67"/>
        <v>18356.441167307454</v>
      </c>
      <c r="BA39" s="1423" t="str">
        <f>IF(OR('Recycling - Case 3'!AC109="No",'Recycling - Case 3'!T149="No"), "No", "Yes")</f>
        <v>No</v>
      </c>
      <c r="BB39" s="1101">
        <f t="shared" si="97"/>
        <v>11828.102432940997</v>
      </c>
      <c r="BC39" s="1102">
        <f t="shared" si="98"/>
        <v>873.85072418380787</v>
      </c>
      <c r="BD39" s="1102">
        <f t="shared" si="99"/>
        <v>140.33449231102381</v>
      </c>
      <c r="BE39" s="1102">
        <f t="shared" si="100"/>
        <v>5514.1535178716267</v>
      </c>
      <c r="BF39" s="1142">
        <f t="shared" si="47"/>
        <v>18356.441167307454</v>
      </c>
      <c r="BG39" s="1423" t="str">
        <f>IF(OR('Recycling - Case 3'!AC109="No",'Recycling - Case 3'!T189="No"), "No", "Yes")</f>
        <v>No</v>
      </c>
      <c r="BH39" s="596">
        <f t="shared" si="48"/>
        <v>2029</v>
      </c>
      <c r="BI39" s="1102">
        <f>'Recycling - Case 1'!BV109</f>
        <v>91.144532772738543</v>
      </c>
      <c r="BJ39" s="417">
        <f>'Recycling - Case 1'!BW109</f>
        <v>0.53951034440496126</v>
      </c>
      <c r="BK39" s="1142">
        <f>'Recycling - Case 1'!BX109</f>
        <v>31.986451408819647</v>
      </c>
      <c r="BL39" s="1101">
        <f>'Recycling - Case 1'!BY109</f>
        <v>91.144532772738543</v>
      </c>
      <c r="BM39" s="417">
        <f>'Recycling - Case 1'!BZ109</f>
        <v>0.53951034440496126</v>
      </c>
      <c r="BN39" s="1142">
        <f>'Recycling - Case 1'!CA109</f>
        <v>31.986451408819647</v>
      </c>
      <c r="BO39" s="1102">
        <f>'Recycling - Case 2'!BV109</f>
        <v>79.287099189019543</v>
      </c>
      <c r="BP39" s="417">
        <f>'Recycling - Case 2'!BW109</f>
        <v>0.70668115321330049</v>
      </c>
      <c r="BQ39" s="1142">
        <f>'Recycling - Case 2'!BX109</f>
        <v>31.986451408819647</v>
      </c>
      <c r="BR39" s="1101">
        <f>'Recycling - Case 2'!BY109</f>
        <v>79.287099189019543</v>
      </c>
      <c r="BS39" s="417">
        <f>'Recycling - Case 2'!BZ109</f>
        <v>0.70668115321330049</v>
      </c>
      <c r="BT39" s="1142">
        <f>'Recycling - Case 2'!CA109</f>
        <v>31.986451408819647</v>
      </c>
      <c r="BU39" s="1102">
        <f>'Recycling - Case 3'!BV109</f>
        <v>79.287099189019543</v>
      </c>
      <c r="BV39" s="417">
        <f>'Recycling - Case 3'!BW109</f>
        <v>0.70668115321330049</v>
      </c>
      <c r="BW39" s="1142">
        <f>'Recycling - Case 3'!BX109</f>
        <v>31.986451408819647</v>
      </c>
      <c r="BX39" s="1101">
        <f>'Recycling - Case 3'!BY109</f>
        <v>79.287099189019543</v>
      </c>
      <c r="BY39" s="417">
        <f>'Recycling - Case 3'!BZ109</f>
        <v>0.70668115321330049</v>
      </c>
      <c r="BZ39" s="1142">
        <f>'Recycling - Case 3'!CA109</f>
        <v>31.986451408819647</v>
      </c>
      <c r="CA39" s="596">
        <v>2029</v>
      </c>
      <c r="CB39" s="649">
        <f>'Recycling - Case 1'!CB109</f>
        <v>0.22830313984315176</v>
      </c>
      <c r="CC39" s="417">
        <f>'Recycling - Case 1'!CC109</f>
        <v>0.26349389145448554</v>
      </c>
      <c r="CD39" s="417">
        <f>'Recycling - Case 1'!CD109</f>
        <v>0.22830313984315176</v>
      </c>
      <c r="CE39" s="525">
        <f>'Recycling - Case 1'!CE109</f>
        <v>0.26349389145448554</v>
      </c>
      <c r="CF39" s="649">
        <f>'Recycling - Case 2'!CB109</f>
        <v>0.29465096067231977</v>
      </c>
      <c r="CG39" s="417">
        <f>'Recycling - Case 2'!CC109</f>
        <v>0.36976079216659063</v>
      </c>
      <c r="CH39" s="417">
        <f>'Recycling - Case 2'!CD109</f>
        <v>0.29465096067231977</v>
      </c>
      <c r="CI39" s="525">
        <f>'Recycling - Case 2'!CE109</f>
        <v>0.36976079216659063</v>
      </c>
      <c r="CJ39" s="649">
        <f>'Recycling - Case 3'!CB109</f>
        <v>0.29465096067231977</v>
      </c>
      <c r="CK39" s="417">
        <f>'Recycling - Case 3'!CC109</f>
        <v>0.36976079216659063</v>
      </c>
      <c r="CL39" s="417">
        <f>'Recycling - Case 3'!CD109</f>
        <v>0.29465096067231977</v>
      </c>
      <c r="CM39" s="525">
        <f>'Recycling - Case 3'!CE109</f>
        <v>0.36976079216659063</v>
      </c>
    </row>
    <row r="40" spans="1:91">
      <c r="A40" s="4">
        <f>'Input data'!A129</f>
        <v>2029</v>
      </c>
      <c r="B40" s="4"/>
      <c r="C40" s="769">
        <f>'4A SWD Case 1'!BG99</f>
        <v>598.2314867795194</v>
      </c>
      <c r="D40" s="3">
        <f>'4B Biological treatment '!T93</f>
        <v>0.79803719103544102</v>
      </c>
      <c r="E40" s="1157">
        <f>'4B Biological treatment '!U93</f>
        <v>35.911673596594845</v>
      </c>
      <c r="F40" s="1157">
        <f>'4B Biological treatment '!W93</f>
        <v>2.1547004157956904</v>
      </c>
      <c r="G40" s="952">
        <f>'4C2 Open-burning '!R100</f>
        <v>23.037469105366707</v>
      </c>
      <c r="H40" s="952">
        <f>'4C2 Open-burning '!Z100</f>
        <v>7.751403053255876</v>
      </c>
      <c r="I40" s="952">
        <f>'4C2 Open-burning '!AH100</f>
        <v>0.1079126134147084</v>
      </c>
      <c r="J40" s="987">
        <f>'4D Wastewater treatment and dis'!AV137</f>
        <v>178.85492731655097</v>
      </c>
      <c r="K40" s="770">
        <f>'4D Wastewater treatment and dis'!AW137</f>
        <v>3.4160376549203448</v>
      </c>
      <c r="L40" s="771">
        <f t="shared" si="69"/>
        <v>12562.861222369907</v>
      </c>
      <c r="M40" s="772">
        <f t="shared" si="70"/>
        <v>16.758781011744261</v>
      </c>
      <c r="N40" s="771">
        <f t="shared" si="71"/>
        <v>1422.1022744251559</v>
      </c>
      <c r="O40" s="773">
        <f t="shared" si="72"/>
        <v>219.26984338229971</v>
      </c>
      <c r="P40" s="771">
        <f t="shared" si="73"/>
        <v>4814.9251466728774</v>
      </c>
      <c r="Q40" s="519">
        <f t="shared" si="74"/>
        <v>12562.861222369907</v>
      </c>
      <c r="R40" s="521">
        <f t="shared" si="75"/>
        <v>1438.8610554369002</v>
      </c>
      <c r="S40" s="518">
        <f t="shared" si="76"/>
        <v>219.26984338229971</v>
      </c>
      <c r="T40" s="519">
        <f t="shared" si="77"/>
        <v>4814.9251466728774</v>
      </c>
      <c r="U40" s="519">
        <f t="shared" si="78"/>
        <v>19035.917267861983</v>
      </c>
      <c r="V40" s="3"/>
      <c r="W40" s="596">
        <f t="shared" si="79"/>
        <v>2030</v>
      </c>
      <c r="X40" s="1101">
        <f t="shared" si="80"/>
        <v>12187.988402366424</v>
      </c>
      <c r="Y40" s="1102">
        <f t="shared" si="81"/>
        <v>1447.5256763766272</v>
      </c>
      <c r="Z40" s="1102">
        <f t="shared" si="82"/>
        <v>207.19602475789975</v>
      </c>
      <c r="AA40" s="1102">
        <f t="shared" si="83"/>
        <v>4908.3331472096324</v>
      </c>
      <c r="AB40" s="1142">
        <f t="shared" si="22"/>
        <v>18751.04325071058</v>
      </c>
      <c r="AC40" s="1423" t="str">
        <f>IF(OR('Recycling - Case 1'!AC110="No",'Recycling - Case 1'!T150="No"), "No", "Yes")</f>
        <v>Yes</v>
      </c>
      <c r="AD40" s="1101">
        <f t="shared" si="84"/>
        <v>12187.988402366424</v>
      </c>
      <c r="AE40" s="1102">
        <f t="shared" si="85"/>
        <v>1447.5256763766272</v>
      </c>
      <c r="AF40" s="1102">
        <f t="shared" si="86"/>
        <v>207.19602475789975</v>
      </c>
      <c r="AG40" s="1102">
        <f t="shared" si="87"/>
        <v>4908.3331472096324</v>
      </c>
      <c r="AH40" s="1142">
        <f t="shared" si="60"/>
        <v>18751.04325071058</v>
      </c>
      <c r="AI40" s="1423" t="str">
        <f>IF(OR('Recycling - Case 1'!AI21="No",'Recycling - Case 1'!Z150="No"), "No", "Yes")</f>
        <v>Yes</v>
      </c>
      <c r="AJ40" s="1101">
        <f t="shared" si="88"/>
        <v>11380.912335583191</v>
      </c>
      <c r="AK40" s="1102">
        <f t="shared" si="89"/>
        <v>1447.5256763766272</v>
      </c>
      <c r="AL40" s="1102">
        <f t="shared" si="90"/>
        <v>127.06089785111131</v>
      </c>
      <c r="AM40" s="1102">
        <f t="shared" si="91"/>
        <v>5674.4989885700234</v>
      </c>
      <c r="AN40" s="1142">
        <f t="shared" si="92"/>
        <v>18629.997898380952</v>
      </c>
      <c r="AO40" s="1416" t="str">
        <f>IF(OR('Recycling - Case 2'!AC110="No",'Recycling - Case 2'!T150="No"), "No", "Yes")</f>
        <v>No</v>
      </c>
      <c r="AP40" s="1101">
        <f t="shared" si="93"/>
        <v>11380.912335583191</v>
      </c>
      <c r="AQ40" s="1102">
        <f t="shared" si="94"/>
        <v>1447.5256763766272</v>
      </c>
      <c r="AR40" s="1102">
        <f t="shared" si="95"/>
        <v>127.06089785111131</v>
      </c>
      <c r="AS40" s="1102">
        <f t="shared" si="96"/>
        <v>5674.4989885700234</v>
      </c>
      <c r="AT40" s="1142">
        <f t="shared" si="37"/>
        <v>18629.997898380952</v>
      </c>
      <c r="AU40" s="1423" t="str">
        <f>IF(OR('Recycling - Case 2'!AC110="No",'Recycling - Case 2'!T190="No"), "No", "Yes")</f>
        <v>No</v>
      </c>
      <c r="AV40" s="1101">
        <f t="shared" si="63"/>
        <v>11381.456000093247</v>
      </c>
      <c r="AW40" s="1102">
        <f t="shared" si="64"/>
        <v>879.11293157648731</v>
      </c>
      <c r="AX40" s="1102">
        <f t="shared" si="65"/>
        <v>127.06089785111131</v>
      </c>
      <c r="AY40" s="1102">
        <f t="shared" si="66"/>
        <v>5674.4989885700234</v>
      </c>
      <c r="AZ40" s="1142">
        <f t="shared" si="67"/>
        <v>18062.128818090867</v>
      </c>
      <c r="BA40" s="1423" t="str">
        <f>IF(OR('Recycling - Case 3'!AC110="No",'Recycling - Case 3'!T150="No"), "No", "Yes")</f>
        <v>No</v>
      </c>
      <c r="BB40" s="1101">
        <f t="shared" si="97"/>
        <v>11381.456000093247</v>
      </c>
      <c r="BC40" s="1102">
        <f t="shared" si="98"/>
        <v>879.11293157648731</v>
      </c>
      <c r="BD40" s="1102">
        <f t="shared" si="99"/>
        <v>127.06089785111131</v>
      </c>
      <c r="BE40" s="1102">
        <f t="shared" si="100"/>
        <v>5674.4989885700234</v>
      </c>
      <c r="BF40" s="1142">
        <f t="shared" si="47"/>
        <v>18062.128818090867</v>
      </c>
      <c r="BG40" s="1423" t="str">
        <f>IF(OR('Recycling - Case 3'!AC110="No",'Recycling - Case 3'!T190="No"), "No", "Yes")</f>
        <v>No</v>
      </c>
      <c r="BH40" s="596">
        <f t="shared" si="48"/>
        <v>2030</v>
      </c>
      <c r="BI40" s="1102">
        <f>'Recycling - Case 1'!BV110</f>
        <v>89.626442887275189</v>
      </c>
      <c r="BJ40" s="417">
        <f>'Recycling - Case 1'!BW110</f>
        <v>0.55602533546003752</v>
      </c>
      <c r="BK40" s="1142">
        <f>'Recycling - Case 1'!BX110</f>
        <v>29.783743542171866</v>
      </c>
      <c r="BL40" s="1101">
        <f>'Recycling - Case 1'!BY110</f>
        <v>89.626442887275189</v>
      </c>
      <c r="BM40" s="417">
        <f>'Recycling - Case 1'!BZ110</f>
        <v>0.55602533546003752</v>
      </c>
      <c r="BN40" s="1142">
        <f>'Recycling - Case 1'!CA110</f>
        <v>29.783743542171866</v>
      </c>
      <c r="BO40" s="1102">
        <f>'Recycling - Case 2'!BV110</f>
        <v>77.425635465611222</v>
      </c>
      <c r="BP40" s="417">
        <f>'Recycling - Case 2'!BW110</f>
        <v>0.73177237505739356</v>
      </c>
      <c r="BQ40" s="1142">
        <f>'Recycling - Case 2'!BX110</f>
        <v>29.783743542171866</v>
      </c>
      <c r="BR40" s="1101">
        <f>'Recycling - Case 2'!BY110</f>
        <v>77.425635465611222</v>
      </c>
      <c r="BS40" s="417">
        <f>'Recycling - Case 2'!BZ110</f>
        <v>0.73177237505739356</v>
      </c>
      <c r="BT40" s="1142">
        <f>'Recycling - Case 2'!CA110</f>
        <v>29.783743542171866</v>
      </c>
      <c r="BU40" s="1102">
        <f>'Recycling - Case 3'!BV110</f>
        <v>77.425635465611222</v>
      </c>
      <c r="BV40" s="417">
        <f>'Recycling - Case 3'!BW110</f>
        <v>0.73177237505739356</v>
      </c>
      <c r="BW40" s="1142">
        <f>'Recycling - Case 3'!BX110</f>
        <v>29.783743542171866</v>
      </c>
      <c r="BX40" s="1101">
        <f>'Recycling - Case 3'!BY110</f>
        <v>77.425635465611222</v>
      </c>
      <c r="BY40" s="417">
        <f>'Recycling - Case 3'!BZ110</f>
        <v>0.73177237505739356</v>
      </c>
      <c r="BZ40" s="1142">
        <f>'Recycling - Case 3'!CA110</f>
        <v>29.783743542171866</v>
      </c>
      <c r="CA40" s="596">
        <v>2030</v>
      </c>
      <c r="CB40" s="649">
        <f>'Recycling - Case 1'!CB110</f>
        <v>0.24819358924646606</v>
      </c>
      <c r="CC40" s="417">
        <f>'Recycling - Case 1'!CC110</f>
        <v>0.26942727422419854</v>
      </c>
      <c r="CD40" s="417">
        <f>'Recycling - Case 1'!CD110</f>
        <v>0.24819358924646606</v>
      </c>
      <c r="CE40" s="525">
        <f>'Recycling - Case 1'!CE110</f>
        <v>0.26942727422419854</v>
      </c>
      <c r="CF40" s="649">
        <f>'Recycling - Case 2'!CB110</f>
        <v>0.31038080902495269</v>
      </c>
      <c r="CG40" s="417">
        <f>'Recycling - Case 2'!CC110</f>
        <v>0.38146510228185027</v>
      </c>
      <c r="CH40" s="417">
        <f>'Recycling - Case 2'!CD110</f>
        <v>0.31038080902495269</v>
      </c>
      <c r="CI40" s="525">
        <f>'Recycling - Case 2'!CE110</f>
        <v>0.38146510228185027</v>
      </c>
      <c r="CJ40" s="649">
        <f>'Recycling - Case 3'!CB110</f>
        <v>0.31038080902495269</v>
      </c>
      <c r="CK40" s="417">
        <f>'Recycling - Case 3'!CC110</f>
        <v>0.38146510228185027</v>
      </c>
      <c r="CL40" s="417">
        <f>'Recycling - Case 3'!CD110</f>
        <v>0.31038080902495269</v>
      </c>
      <c r="CM40" s="525">
        <f>'Recycling - Case 3'!CE110</f>
        <v>0.38146510228185027</v>
      </c>
    </row>
    <row r="41" spans="1:91">
      <c r="A41" s="4">
        <f>'Input data'!A130</f>
        <v>2030</v>
      </c>
      <c r="B41" s="4"/>
      <c r="C41" s="769">
        <f>'4A SWD Case 1'!BG100</f>
        <v>580.38040011268686</v>
      </c>
      <c r="D41" s="3">
        <f>'4B Biological treatment '!T94</f>
        <v>0.80284285988720328</v>
      </c>
      <c r="E41" s="1157">
        <f>'4B Biological treatment '!U94</f>
        <v>36.127928694924137</v>
      </c>
      <c r="F41" s="1157">
        <f>'4B Biological treatment '!W94</f>
        <v>2.1676757216954483</v>
      </c>
      <c r="G41" s="952">
        <f>'4C2 Open-burning '!R101</f>
        <v>21.768939793479273</v>
      </c>
      <c r="H41" s="952">
        <f>'4C2 Open-burning '!Z101</f>
        <v>7.324581776303269</v>
      </c>
      <c r="I41" s="952">
        <f>'4C2 Open-burning '!AH101</f>
        <v>0.10197054084532856</v>
      </c>
      <c r="J41" s="987">
        <f>'4D Wastewater treatment and dis'!AV138</f>
        <v>182.72586224236846</v>
      </c>
      <c r="K41" s="770">
        <f>'4D Wastewater treatment and dis'!AW138</f>
        <v>3.4551291616770792</v>
      </c>
      <c r="L41" s="771">
        <f t="shared" si="69"/>
        <v>12187.988402366424</v>
      </c>
      <c r="M41" s="772">
        <f t="shared" si="70"/>
        <v>16.859700057631269</v>
      </c>
      <c r="N41" s="771">
        <f t="shared" si="71"/>
        <v>1430.6659763189959</v>
      </c>
      <c r="O41" s="773">
        <f t="shared" si="72"/>
        <v>207.19602475789975</v>
      </c>
      <c r="P41" s="771">
        <f t="shared" si="73"/>
        <v>4908.3331472096324</v>
      </c>
      <c r="Q41" s="519">
        <f t="shared" si="74"/>
        <v>12187.988402366424</v>
      </c>
      <c r="R41" s="521">
        <f t="shared" si="75"/>
        <v>1447.5256763766272</v>
      </c>
      <c r="S41" s="518">
        <f t="shared" si="76"/>
        <v>207.19602475789975</v>
      </c>
      <c r="T41" s="519">
        <f t="shared" si="77"/>
        <v>4908.3331472096324</v>
      </c>
      <c r="U41" s="519">
        <f t="shared" si="78"/>
        <v>18751.04325071058</v>
      </c>
      <c r="V41" s="3"/>
      <c r="W41" s="596">
        <f t="shared" si="79"/>
        <v>2031</v>
      </c>
      <c r="X41" s="1101">
        <f t="shared" si="80"/>
        <v>11827.429844905932</v>
      </c>
      <c r="Y41" s="1102">
        <f t="shared" si="81"/>
        <v>1457.782222423391</v>
      </c>
      <c r="Z41" s="1102">
        <f t="shared" si="82"/>
        <v>196.76014303510908</v>
      </c>
      <c r="AA41" s="1102">
        <f t="shared" si="83"/>
        <v>5001.5986350618459</v>
      </c>
      <c r="AB41" s="1142">
        <f t="shared" si="22"/>
        <v>18483.570845426279</v>
      </c>
      <c r="AC41" s="1423" t="str">
        <f>IF(OR('Recycling - Case 1'!AC111="No",'Recycling - Case 1'!T151="No"), "No", "Yes")</f>
        <v>Yes</v>
      </c>
      <c r="AD41" s="1101">
        <f t="shared" si="84"/>
        <v>11827.429844905932</v>
      </c>
      <c r="AE41" s="1102">
        <f t="shared" si="85"/>
        <v>1457.782222423391</v>
      </c>
      <c r="AF41" s="1102">
        <f t="shared" si="86"/>
        <v>196.76014303510908</v>
      </c>
      <c r="AG41" s="1102">
        <f t="shared" si="87"/>
        <v>5001.5986350618459</v>
      </c>
      <c r="AH41" s="1142">
        <f t="shared" si="60"/>
        <v>18483.570845426279</v>
      </c>
      <c r="AI41" s="1423" t="str">
        <f>IF(OR('Recycling - Case 1'!AI22="No",'Recycling - Case 1'!Z151="No"), "No", "Yes")</f>
        <v>Yes</v>
      </c>
      <c r="AJ41" s="1101">
        <f t="shared" si="88"/>
        <v>10947.195357694232</v>
      </c>
      <c r="AK41" s="1102">
        <f t="shared" si="89"/>
        <v>1457.782222423391</v>
      </c>
      <c r="AL41" s="1102">
        <f t="shared" si="90"/>
        <v>111.97989564182652</v>
      </c>
      <c r="AM41" s="1102">
        <f t="shared" si="91"/>
        <v>5737.542683109079</v>
      </c>
      <c r="AN41" s="1142">
        <f t="shared" si="92"/>
        <v>18254.50015886853</v>
      </c>
      <c r="AO41" s="1416" t="str">
        <f>IF(OR('Recycling - Case 2'!AC111="No",'Recycling - Case 2'!T151="No"), "No", "Yes")</f>
        <v>No</v>
      </c>
      <c r="AP41" s="1101">
        <f t="shared" si="93"/>
        <v>10947.195357694232</v>
      </c>
      <c r="AQ41" s="1102">
        <f t="shared" si="94"/>
        <v>1457.782222423391</v>
      </c>
      <c r="AR41" s="1102">
        <f t="shared" si="95"/>
        <v>111.97989564182652</v>
      </c>
      <c r="AS41" s="1102">
        <f t="shared" si="96"/>
        <v>5737.542683109079</v>
      </c>
      <c r="AT41" s="1142">
        <f t="shared" si="37"/>
        <v>18254.50015886853</v>
      </c>
      <c r="AU41" s="1423" t="str">
        <f>IF(OR('Recycling - Case 2'!AC111="No",'Recycling - Case 2'!T191="No"), "No", "Yes")</f>
        <v>No</v>
      </c>
      <c r="AV41" s="1101">
        <f t="shared" si="63"/>
        <v>10947.824921724799</v>
      </c>
      <c r="AW41" s="1102">
        <f t="shared" si="64"/>
        <v>885.34194872635214</v>
      </c>
      <c r="AX41" s="1102">
        <f t="shared" si="65"/>
        <v>111.97989564182652</v>
      </c>
      <c r="AY41" s="1102">
        <f t="shared" si="66"/>
        <v>5737.542683109079</v>
      </c>
      <c r="AZ41" s="1142">
        <f t="shared" si="67"/>
        <v>17682.689449202058</v>
      </c>
      <c r="BA41" s="1423" t="str">
        <f>IF(OR('Recycling - Case 3'!AC111="No",'Recycling - Case 3'!T151="No"), "No", "Yes")</f>
        <v>No</v>
      </c>
      <c r="BB41" s="1101">
        <f t="shared" si="97"/>
        <v>10947.824921724799</v>
      </c>
      <c r="BC41" s="1102">
        <f t="shared" si="98"/>
        <v>885.34194872635214</v>
      </c>
      <c r="BD41" s="1102">
        <f t="shared" si="99"/>
        <v>111.97989564182652</v>
      </c>
      <c r="BE41" s="1102">
        <f t="shared" si="100"/>
        <v>5737.542683109079</v>
      </c>
      <c r="BF41" s="1142">
        <f t="shared" si="47"/>
        <v>17682.689449202058</v>
      </c>
      <c r="BG41" s="1423" t="str">
        <f>IF(OR('Recycling - Case 3'!AC111="No",'Recycling - Case 3'!T191="No"), "No", "Yes")</f>
        <v>No</v>
      </c>
      <c r="BH41" s="596">
        <f t="shared" si="48"/>
        <v>2031</v>
      </c>
      <c r="BI41" s="1102">
        <f>'Recycling - Case 1'!BV111</f>
        <v>88.627942335366967</v>
      </c>
      <c r="BJ41" s="417">
        <f>'Recycling - Case 1'!BW111</f>
        <v>0.56752882019133377</v>
      </c>
      <c r="BK41" s="1142">
        <f>'Recycling - Case 1'!BX111</f>
        <v>28.782558928955986</v>
      </c>
      <c r="BL41" s="1101">
        <f>'Recycling - Case 1'!BY111</f>
        <v>88.627942335366967</v>
      </c>
      <c r="BM41" s="417">
        <f>'Recycling - Case 1'!BZ111</f>
        <v>0.56752882019133377</v>
      </c>
      <c r="BN41" s="1142">
        <f>'Recycling - Case 1'!CA111</f>
        <v>28.782558928955986</v>
      </c>
      <c r="BO41" s="1102">
        <f>'Recycling - Case 2'!BV111</f>
        <v>76.730298546442867</v>
      </c>
      <c r="BP41" s="417">
        <f>'Recycling - Case 2'!BW111</f>
        <v>0.74152762371672021</v>
      </c>
      <c r="BQ41" s="1142">
        <f>'Recycling - Case 2'!BX111</f>
        <v>28.782558928955986</v>
      </c>
      <c r="BR41" s="1101">
        <f>'Recycling - Case 2'!BY111</f>
        <v>76.730298546442867</v>
      </c>
      <c r="BS41" s="417">
        <f>'Recycling - Case 2'!BZ111</f>
        <v>0.74152762371672021</v>
      </c>
      <c r="BT41" s="1142">
        <f>'Recycling - Case 2'!CA111</f>
        <v>28.782558928955986</v>
      </c>
      <c r="BU41" s="1102">
        <f>'Recycling - Case 3'!BV111</f>
        <v>76.730298546442867</v>
      </c>
      <c r="BV41" s="417">
        <f>'Recycling - Case 3'!BW111</f>
        <v>0.74152762371672021</v>
      </c>
      <c r="BW41" s="1142">
        <f>'Recycling - Case 3'!BX111</f>
        <v>28.782558928955986</v>
      </c>
      <c r="BX41" s="1101">
        <f>'Recycling - Case 3'!BY111</f>
        <v>76.730298546442867</v>
      </c>
      <c r="BY41" s="417">
        <f>'Recycling - Case 3'!BZ111</f>
        <v>0.74152762371672021</v>
      </c>
      <c r="BZ41" s="1142">
        <f>'Recycling - Case 3'!CA111</f>
        <v>28.782558928955986</v>
      </c>
      <c r="CA41" s="596">
        <v>2031</v>
      </c>
      <c r="CB41" s="649">
        <f>'Recycling - Case 1'!CB111</f>
        <v>0.26563496051422275</v>
      </c>
      <c r="CC41" s="417">
        <f>'Recycling - Case 1'!CC111</f>
        <v>0.28171404968398939</v>
      </c>
      <c r="CD41" s="417">
        <f>'Recycling - Case 1'!CD111</f>
        <v>0.26563496051422275</v>
      </c>
      <c r="CE41" s="525">
        <f>'Recycling - Case 1'!CE111</f>
        <v>0.28171404968398939</v>
      </c>
      <c r="CF41" s="649">
        <f>'Recycling - Case 2'!CB111</f>
        <v>0.33036774602210461</v>
      </c>
      <c r="CG41" s="417">
        <f>'Recycling - Case 2'!CC111</f>
        <v>0.38879974895291702</v>
      </c>
      <c r="CH41" s="417">
        <f>'Recycling - Case 2'!CD111</f>
        <v>0.33036774602210461</v>
      </c>
      <c r="CI41" s="525">
        <f>'Recycling - Case 2'!CE111</f>
        <v>0.38879974895291702</v>
      </c>
      <c r="CJ41" s="649">
        <f>'Recycling - Case 3'!CB111</f>
        <v>0.33036774602210461</v>
      </c>
      <c r="CK41" s="417">
        <f>'Recycling - Case 3'!CC111</f>
        <v>0.38879974895291702</v>
      </c>
      <c r="CL41" s="417">
        <f>'Recycling - Case 3'!CD111</f>
        <v>0.33036774602210461</v>
      </c>
      <c r="CM41" s="525">
        <f>'Recycling - Case 3'!CE111</f>
        <v>0.38879974895291702</v>
      </c>
    </row>
    <row r="42" spans="1:91">
      <c r="A42" s="4">
        <f>'Input data'!A131</f>
        <v>2031</v>
      </c>
      <c r="B42" s="4"/>
      <c r="C42" s="769">
        <f>'4A SWD Case 1'!BG101</f>
        <v>563.21094499552055</v>
      </c>
      <c r="D42" s="3">
        <f>'4B Biological treatment '!T95</f>
        <v>0.80853146002406595</v>
      </c>
      <c r="E42" s="1157">
        <f>'4B Biological treatment '!U95</f>
        <v>36.383915701082962</v>
      </c>
      <c r="F42" s="1157">
        <f>'4B Biological treatment '!W95</f>
        <v>2.1830349420649782</v>
      </c>
      <c r="G42" s="952">
        <f>'4C2 Open-burning '!R102</f>
        <v>20.672499448251845</v>
      </c>
      <c r="H42" s="952">
        <f>'4C2 Open-burning '!Z102</f>
        <v>6.9556631680639249</v>
      </c>
      <c r="I42" s="952">
        <f>'4C2 Open-burning '!AH102</f>
        <v>9.6834571153273555E-2</v>
      </c>
      <c r="J42" s="987">
        <f>'4D Wastewater treatment and dis'!AV139</f>
        <v>186.60041821724701</v>
      </c>
      <c r="K42" s="770">
        <f>'4D Wastewater treatment and dis'!AW139</f>
        <v>3.493515653224704</v>
      </c>
      <c r="L42" s="771">
        <f t="shared" si="69"/>
        <v>11827.429844905932</v>
      </c>
      <c r="M42" s="772">
        <f t="shared" si="70"/>
        <v>16.979160660505386</v>
      </c>
      <c r="N42" s="771">
        <f t="shared" si="71"/>
        <v>1440.8030617628856</v>
      </c>
      <c r="O42" s="773">
        <f t="shared" si="72"/>
        <v>196.76014303510908</v>
      </c>
      <c r="P42" s="771">
        <f t="shared" si="73"/>
        <v>5001.5986350618459</v>
      </c>
      <c r="Q42" s="519">
        <f t="shared" si="74"/>
        <v>11827.429844905932</v>
      </c>
      <c r="R42" s="521">
        <f t="shared" si="75"/>
        <v>1457.782222423391</v>
      </c>
      <c r="S42" s="518">
        <f t="shared" si="76"/>
        <v>196.76014303510908</v>
      </c>
      <c r="T42" s="519">
        <f t="shared" si="77"/>
        <v>5001.5986350618459</v>
      </c>
      <c r="U42" s="519">
        <f t="shared" si="78"/>
        <v>18483.570845426279</v>
      </c>
      <c r="V42" s="3"/>
      <c r="W42" s="596">
        <f t="shared" si="79"/>
        <v>2032</v>
      </c>
      <c r="X42" s="1101">
        <f t="shared" si="80"/>
        <v>11476.75411971312</v>
      </c>
      <c r="Y42" s="1102">
        <f t="shared" si="81"/>
        <v>1468.5147776031451</v>
      </c>
      <c r="Z42" s="1102">
        <f t="shared" si="82"/>
        <v>186.41402773817754</v>
      </c>
      <c r="AA42" s="1102">
        <f t="shared" si="83"/>
        <v>5094.6495771837372</v>
      </c>
      <c r="AB42" s="1142">
        <f t="shared" si="22"/>
        <v>18226.33250223818</v>
      </c>
      <c r="AC42" s="1423" t="str">
        <f>IF(OR('Recycling - Case 1'!AC112="No",'Recycling - Case 1'!T152="No"), "No", "Yes")</f>
        <v>Yes</v>
      </c>
      <c r="AD42" s="1101">
        <f t="shared" si="84"/>
        <v>11476.75411971312</v>
      </c>
      <c r="AE42" s="1102">
        <f t="shared" si="85"/>
        <v>1468.5147776031451</v>
      </c>
      <c r="AF42" s="1102">
        <f t="shared" si="86"/>
        <v>186.41402773817754</v>
      </c>
      <c r="AG42" s="1102">
        <f t="shared" si="87"/>
        <v>5094.6495771837372</v>
      </c>
      <c r="AH42" s="1142">
        <f t="shared" si="60"/>
        <v>18226.33250223818</v>
      </c>
      <c r="AI42" s="1423" t="str">
        <f>IF(OR('Recycling - Case 1'!AI23="No",'Recycling - Case 1'!Z152="No"), "No", "Yes")</f>
        <v>Yes</v>
      </c>
      <c r="AJ42" s="1101">
        <f t="shared" si="88"/>
        <v>10522.601981530597</v>
      </c>
      <c r="AK42" s="1102">
        <f t="shared" si="89"/>
        <v>1468.5147776031451</v>
      </c>
      <c r="AL42" s="1102">
        <f t="shared" si="90"/>
        <v>97.02579641340661</v>
      </c>
      <c r="AM42" s="1102">
        <f t="shared" si="91"/>
        <v>5799.3731995054168</v>
      </c>
      <c r="AN42" s="1142">
        <f t="shared" si="92"/>
        <v>17887.515755052566</v>
      </c>
      <c r="AO42" s="1416" t="str">
        <f>IF(OR('Recycling - Case 2'!AC112="No",'Recycling - Case 2'!T152="No"), "No", "Yes")</f>
        <v>No</v>
      </c>
      <c r="AP42" s="1101">
        <f t="shared" si="93"/>
        <v>10522.601981530597</v>
      </c>
      <c r="AQ42" s="1102">
        <f t="shared" si="94"/>
        <v>1468.5147776031451</v>
      </c>
      <c r="AR42" s="1102">
        <f t="shared" si="95"/>
        <v>97.02579641340661</v>
      </c>
      <c r="AS42" s="1102">
        <f t="shared" si="96"/>
        <v>5799.3731995054168</v>
      </c>
      <c r="AT42" s="1142">
        <f t="shared" si="37"/>
        <v>17887.515755052566</v>
      </c>
      <c r="AU42" s="1423" t="str">
        <f>IF(OR('Recycling - Case 2'!AC112="No",'Recycling - Case 2'!T192="No"), "No", "Yes")</f>
        <v>No</v>
      </c>
      <c r="AV42" s="1101">
        <f t="shared" si="63"/>
        <v>10523.313748775707</v>
      </c>
      <c r="AW42" s="1102">
        <f t="shared" si="64"/>
        <v>891.86005628144426</v>
      </c>
      <c r="AX42" s="1102">
        <f t="shared" si="65"/>
        <v>97.02579641340661</v>
      </c>
      <c r="AY42" s="1102">
        <f t="shared" si="66"/>
        <v>5799.3731995054168</v>
      </c>
      <c r="AZ42" s="1142">
        <f t="shared" si="67"/>
        <v>17311.572800975977</v>
      </c>
      <c r="BA42" s="1423" t="str">
        <f>IF(OR('Recycling - Case 3'!AC112="No",'Recycling - Case 3'!T152="No"), "No", "Yes")</f>
        <v>No</v>
      </c>
      <c r="BB42" s="1101">
        <f t="shared" si="97"/>
        <v>10523.313748775707</v>
      </c>
      <c r="BC42" s="1102">
        <f t="shared" si="98"/>
        <v>891.86005628144426</v>
      </c>
      <c r="BD42" s="1102">
        <f t="shared" si="99"/>
        <v>97.02579641340661</v>
      </c>
      <c r="BE42" s="1102">
        <f t="shared" si="100"/>
        <v>5799.3731995054168</v>
      </c>
      <c r="BF42" s="1142">
        <f t="shared" si="47"/>
        <v>17311.572800975977</v>
      </c>
      <c r="BG42" s="1423" t="str">
        <f>IF(OR('Recycling - Case 3'!AC112="No",'Recycling - Case 3'!T192="No"), "No", "Yes")</f>
        <v>No</v>
      </c>
      <c r="BH42" s="596">
        <f t="shared" si="48"/>
        <v>2032</v>
      </c>
      <c r="BI42" s="1102">
        <f>'Recycling - Case 1'!BV112</f>
        <v>87.742890545128475</v>
      </c>
      <c r="BJ42" s="417">
        <f>'Recycling - Case 1'!BW112</f>
        <v>0.57935960403172726</v>
      </c>
      <c r="BK42" s="1142">
        <f>'Recycling - Case 1'!BX112</f>
        <v>27.987384812012181</v>
      </c>
      <c r="BL42" s="1101">
        <f>'Recycling - Case 1'!BY112</f>
        <v>87.742890545128475</v>
      </c>
      <c r="BM42" s="417">
        <f>'Recycling - Case 1'!BZ112</f>
        <v>0.57935960403172726</v>
      </c>
      <c r="BN42" s="1142">
        <f>'Recycling - Case 1'!CA112</f>
        <v>27.987384812012181</v>
      </c>
      <c r="BO42" s="1102">
        <f>'Recycling - Case 2'!BV112</f>
        <v>76.271202265834958</v>
      </c>
      <c r="BP42" s="417">
        <f>'Recycling - Case 2'!BW112</f>
        <v>0.75061049755970777</v>
      </c>
      <c r="BQ42" s="1142">
        <f>'Recycling - Case 2'!BX112</f>
        <v>27.987384812012181</v>
      </c>
      <c r="BR42" s="1101">
        <f>'Recycling - Case 2'!BY112</f>
        <v>76.271202265834958</v>
      </c>
      <c r="BS42" s="417">
        <f>'Recycling - Case 2'!BZ112</f>
        <v>0.75061049755970777</v>
      </c>
      <c r="BT42" s="1142">
        <f>'Recycling - Case 2'!CA112</f>
        <v>27.987384812012181</v>
      </c>
      <c r="BU42" s="1102">
        <f>'Recycling - Case 3'!BV112</f>
        <v>76.271202265834958</v>
      </c>
      <c r="BV42" s="417">
        <f>'Recycling - Case 3'!BW112</f>
        <v>0.75061049755970777</v>
      </c>
      <c r="BW42" s="1142">
        <f>'Recycling - Case 3'!BX112</f>
        <v>27.987384812012181</v>
      </c>
      <c r="BX42" s="1101">
        <f>'Recycling - Case 3'!BY112</f>
        <v>76.271202265834958</v>
      </c>
      <c r="BY42" s="417">
        <f>'Recycling - Case 3'!BZ112</f>
        <v>0.75061049755970777</v>
      </c>
      <c r="BZ42" s="1142">
        <f>'Recycling - Case 3'!CA112</f>
        <v>27.987384812012181</v>
      </c>
      <c r="CA42" s="596">
        <v>2032</v>
      </c>
      <c r="CB42" s="649">
        <f>'Recycling - Case 1'!CB112</f>
        <v>0.28257711248716522</v>
      </c>
      <c r="CC42" s="417">
        <f>'Recycling - Case 1'!CC112</f>
        <v>0.29472914697206964</v>
      </c>
      <c r="CD42" s="417">
        <f>'Recycling - Case 1'!CD112</f>
        <v>0.28257711248716522</v>
      </c>
      <c r="CE42" s="525">
        <f>'Recycling - Case 1'!CE112</f>
        <v>0.29472914697206964</v>
      </c>
      <c r="CF42" s="649">
        <f>'Recycling - Case 2'!CB112</f>
        <v>0.34981432630700493</v>
      </c>
      <c r="CG42" s="417">
        <f>'Recycling - Case 2'!CC112</f>
        <v>0.39531655758213946</v>
      </c>
      <c r="CH42" s="417">
        <f>'Recycling - Case 2'!CD112</f>
        <v>0.34981432630700493</v>
      </c>
      <c r="CI42" s="525">
        <f>'Recycling - Case 2'!CE112</f>
        <v>0.39531655758213946</v>
      </c>
      <c r="CJ42" s="649">
        <f>'Recycling - Case 3'!CB112</f>
        <v>0.34981432630700504</v>
      </c>
      <c r="CK42" s="417">
        <f>'Recycling - Case 3'!CC112</f>
        <v>0.39531655758213946</v>
      </c>
      <c r="CL42" s="417">
        <f>'Recycling - Case 3'!CD112</f>
        <v>0.34981432630700504</v>
      </c>
      <c r="CM42" s="525">
        <f>'Recycling - Case 3'!CE112</f>
        <v>0.39531655758213946</v>
      </c>
    </row>
    <row r="43" spans="1:91">
      <c r="A43" s="4">
        <f>'Input data'!A132</f>
        <v>2032</v>
      </c>
      <c r="B43" s="4"/>
      <c r="C43" s="769">
        <f>'4A SWD Case 1'!BG102</f>
        <v>546.51210093871998</v>
      </c>
      <c r="D43" s="3">
        <f>'4B Biological treatment '!T96</f>
        <v>0.81448406966341946</v>
      </c>
      <c r="E43" s="1157">
        <f>'4B Biological treatment '!U96</f>
        <v>36.651783134853872</v>
      </c>
      <c r="F43" s="1157">
        <f>'4B Biological treatment '!W96</f>
        <v>2.1991069880912324</v>
      </c>
      <c r="G43" s="952">
        <f>'4C2 Open-burning '!R103</f>
        <v>19.585490364663187</v>
      </c>
      <c r="H43" s="952">
        <f>'4C2 Open-burning '!Z103</f>
        <v>6.5899178906244362</v>
      </c>
      <c r="I43" s="952">
        <f>'4C2 Open-burning '!AH103</f>
        <v>9.1742779581939313E-2</v>
      </c>
      <c r="J43" s="987">
        <f>'4D Wastewater treatment and dis'!AV140</f>
        <v>190.4756621781487</v>
      </c>
      <c r="K43" s="770">
        <f>'4D Wastewater treatment and dis'!AW140</f>
        <v>3.5311634562664973</v>
      </c>
      <c r="L43" s="771">
        <f t="shared" si="69"/>
        <v>11476.75411971312</v>
      </c>
      <c r="M43" s="772">
        <f t="shared" si="70"/>
        <v>17.10416546293181</v>
      </c>
      <c r="N43" s="771">
        <f t="shared" si="71"/>
        <v>1451.4106121402133</v>
      </c>
      <c r="O43" s="773">
        <f t="shared" si="72"/>
        <v>186.41402773817754</v>
      </c>
      <c r="P43" s="771">
        <f t="shared" si="73"/>
        <v>5094.6495771837372</v>
      </c>
      <c r="Q43" s="519">
        <f t="shared" si="74"/>
        <v>11476.75411971312</v>
      </c>
      <c r="R43" s="521">
        <f t="shared" si="75"/>
        <v>1468.5147776031451</v>
      </c>
      <c r="S43" s="518">
        <f t="shared" si="76"/>
        <v>186.41402773817754</v>
      </c>
      <c r="T43" s="519">
        <f t="shared" si="77"/>
        <v>5094.6495771837372</v>
      </c>
      <c r="U43" s="519">
        <f t="shared" si="78"/>
        <v>18226.33250223818</v>
      </c>
      <c r="V43" s="3"/>
      <c r="W43" s="596">
        <f t="shared" si="79"/>
        <v>2033</v>
      </c>
      <c r="X43" s="1101">
        <f t="shared" si="80"/>
        <v>11134.650900045082</v>
      </c>
      <c r="Y43" s="1102">
        <f t="shared" si="81"/>
        <v>1481.1372537227801</v>
      </c>
      <c r="Z43" s="1102">
        <f t="shared" si="82"/>
        <v>176.15233140650432</v>
      </c>
      <c r="AA43" s="1102">
        <f t="shared" si="83"/>
        <v>5187.4129614585527</v>
      </c>
      <c r="AB43" s="1142">
        <f t="shared" si="22"/>
        <v>17979.353446632918</v>
      </c>
      <c r="AC43" s="1423" t="str">
        <f>IF(OR('Recycling - Case 1'!AC113="No",'Recycling - Case 1'!T153="No"), "No", "Yes")</f>
        <v>Yes</v>
      </c>
      <c r="AD43" s="1101">
        <f t="shared" si="84"/>
        <v>11134.650900045082</v>
      </c>
      <c r="AE43" s="1102">
        <f t="shared" si="85"/>
        <v>1481.1372537227801</v>
      </c>
      <c r="AF43" s="1102">
        <f t="shared" si="86"/>
        <v>176.15233140650432</v>
      </c>
      <c r="AG43" s="1102">
        <f t="shared" si="87"/>
        <v>5187.4129614585527</v>
      </c>
      <c r="AH43" s="1142">
        <f t="shared" si="60"/>
        <v>17979.353446632918</v>
      </c>
      <c r="AI43" s="1423" t="str">
        <f>IF(OR('Recycling - Case 1'!AI24="No",'Recycling - Case 1'!Z153="No"), "No", "Yes")</f>
        <v>Yes</v>
      </c>
      <c r="AJ43" s="1101">
        <f t="shared" si="88"/>
        <v>10106.616677829699</v>
      </c>
      <c r="AK43" s="1102">
        <f t="shared" si="89"/>
        <v>1481.1372537227801</v>
      </c>
      <c r="AL43" s="1102">
        <f t="shared" si="90"/>
        <v>96.694356140916881</v>
      </c>
      <c r="AM43" s="1102">
        <f t="shared" si="91"/>
        <v>5859.9358157372899</v>
      </c>
      <c r="AN43" s="1142">
        <f t="shared" si="92"/>
        <v>17544.384103430686</v>
      </c>
      <c r="AO43" s="1416" t="str">
        <f>IF(OR('Recycling - Case 2'!AC113="No",'Recycling - Case 2'!T153="No"), "No", "Yes")</f>
        <v>No</v>
      </c>
      <c r="AP43" s="1101">
        <f t="shared" si="93"/>
        <v>10106.616677829699</v>
      </c>
      <c r="AQ43" s="1102">
        <f t="shared" si="94"/>
        <v>1481.1372537227801</v>
      </c>
      <c r="AR43" s="1102">
        <f t="shared" si="95"/>
        <v>96.694356140916881</v>
      </c>
      <c r="AS43" s="1102">
        <f t="shared" si="96"/>
        <v>5859.9358157372899</v>
      </c>
      <c r="AT43" s="1142">
        <f t="shared" si="37"/>
        <v>17544.384103430686</v>
      </c>
      <c r="AU43" s="1423" t="str">
        <f>IF(OR('Recycling - Case 2'!AC113="No",'Recycling - Case 2'!T193="No"), "No", "Yes")</f>
        <v>No</v>
      </c>
      <c r="AV43" s="1101">
        <f t="shared" si="63"/>
        <v>10107.40714210576</v>
      </c>
      <c r="AW43" s="1102">
        <f t="shared" si="64"/>
        <v>899.52595276009117</v>
      </c>
      <c r="AX43" s="1102">
        <f t="shared" si="65"/>
        <v>96.694356140916881</v>
      </c>
      <c r="AY43" s="1102">
        <f t="shared" si="66"/>
        <v>5859.9358157372899</v>
      </c>
      <c r="AZ43" s="1142">
        <f t="shared" si="67"/>
        <v>16963.563266744059</v>
      </c>
      <c r="BA43" s="1423" t="str">
        <f>IF(OR('Recycling - Case 3'!AC113="No",'Recycling - Case 3'!T153="No"), "No", "Yes")</f>
        <v>No</v>
      </c>
      <c r="BB43" s="1101">
        <f t="shared" si="97"/>
        <v>10107.40714210576</v>
      </c>
      <c r="BC43" s="1102">
        <f t="shared" si="98"/>
        <v>899.52595276009117</v>
      </c>
      <c r="BD43" s="1102">
        <f t="shared" si="99"/>
        <v>96.694356140916881</v>
      </c>
      <c r="BE43" s="1102">
        <f t="shared" si="100"/>
        <v>5859.9358157372899</v>
      </c>
      <c r="BF43" s="1142">
        <f t="shared" si="47"/>
        <v>16963.563266744059</v>
      </c>
      <c r="BG43" s="1423" t="str">
        <f>IF(OR('Recycling - Case 3'!AC113="No",'Recycling - Case 3'!T193="No"), "No", "Yes")</f>
        <v>No</v>
      </c>
      <c r="BH43" s="596">
        <f t="shared" si="48"/>
        <v>2033</v>
      </c>
      <c r="BI43" s="1102">
        <f>'Recycling - Case 1'!BV113</f>
        <v>87.380329965766151</v>
      </c>
      <c r="BJ43" s="417">
        <f>'Recycling - Case 1'!BW113</f>
        <v>0.59341057462291869</v>
      </c>
      <c r="BK43" s="1142">
        <f>'Recycling - Case 1'!BX113</f>
        <v>28.989172151095854</v>
      </c>
      <c r="BL43" s="1101">
        <f>'Recycling - Case 1'!BY113</f>
        <v>87.380329965766151</v>
      </c>
      <c r="BM43" s="417">
        <f>'Recycling - Case 1'!BZ113</f>
        <v>0.59341057462291869</v>
      </c>
      <c r="BN43" s="1142">
        <f>'Recycling - Case 1'!CA113</f>
        <v>28.989172151095854</v>
      </c>
      <c r="BO43" s="1102">
        <f>'Recycling - Case 2'!BV113</f>
        <v>78.197370616746369</v>
      </c>
      <c r="BP43" s="417">
        <f>'Recycling - Case 2'!BW113</f>
        <v>0.7490668876422879</v>
      </c>
      <c r="BQ43" s="1142">
        <f>'Recycling - Case 2'!BX113</f>
        <v>28.989172151095854</v>
      </c>
      <c r="BR43" s="1101">
        <f>'Recycling - Case 2'!BY113</f>
        <v>78.197370616746369</v>
      </c>
      <c r="BS43" s="417">
        <f>'Recycling - Case 2'!BZ113</f>
        <v>0.7490668876422879</v>
      </c>
      <c r="BT43" s="1142">
        <f>'Recycling - Case 2'!CA113</f>
        <v>28.989172151095854</v>
      </c>
      <c r="BU43" s="1102">
        <f>'Recycling - Case 3'!BV113</f>
        <v>78.197370616746369</v>
      </c>
      <c r="BV43" s="417">
        <f>'Recycling - Case 3'!BW113</f>
        <v>0.7490668876422879</v>
      </c>
      <c r="BW43" s="1142">
        <f>'Recycling - Case 3'!BX113</f>
        <v>28.989172151095854</v>
      </c>
      <c r="BX43" s="1101">
        <f>'Recycling - Case 3'!BY113</f>
        <v>78.197370616746369</v>
      </c>
      <c r="BY43" s="417">
        <f>'Recycling - Case 3'!BZ113</f>
        <v>0.7490668876422879</v>
      </c>
      <c r="BZ43" s="1142">
        <f>'Recycling - Case 3'!CA113</f>
        <v>28.989172151095854</v>
      </c>
      <c r="CA43" s="596">
        <v>2033</v>
      </c>
      <c r="CB43" s="649">
        <f>'Recycling - Case 1'!CB113</f>
        <v>0.29904399838876228</v>
      </c>
      <c r="CC43" s="417">
        <f>'Recycling - Case 1'!CC113</f>
        <v>0.31700051021938846</v>
      </c>
      <c r="CD43" s="417">
        <f>'Recycling - Case 1'!CD113</f>
        <v>0.29904399838876228</v>
      </c>
      <c r="CE43" s="525">
        <f>'Recycling - Case 1'!CE113</f>
        <v>0.31700051021938846</v>
      </c>
      <c r="CF43" s="649">
        <f>'Recycling - Case 2'!CB113</f>
        <v>0.35323480765047022</v>
      </c>
      <c r="CG43" s="417">
        <f>'Recycling - Case 2'!CC113</f>
        <v>0.39479791092534633</v>
      </c>
      <c r="CH43" s="417">
        <f>'Recycling - Case 2'!CD113</f>
        <v>0.35323480765047022</v>
      </c>
      <c r="CI43" s="525">
        <f>'Recycling - Case 2'!CE113</f>
        <v>0.39479791092534633</v>
      </c>
      <c r="CJ43" s="649">
        <f>'Recycling - Case 3'!CB113</f>
        <v>0.35323480765047022</v>
      </c>
      <c r="CK43" s="417">
        <f>'Recycling - Case 3'!CC113</f>
        <v>0.39479791092534633</v>
      </c>
      <c r="CL43" s="417">
        <f>'Recycling - Case 3'!CD113</f>
        <v>0.35323480765047022</v>
      </c>
      <c r="CM43" s="525">
        <f>'Recycling - Case 3'!CE113</f>
        <v>0.39479791092534633</v>
      </c>
    </row>
    <row r="44" spans="1:91">
      <c r="A44" s="4">
        <f>'Input data'!A133</f>
        <v>2033</v>
      </c>
      <c r="B44" s="4"/>
      <c r="C44" s="769">
        <f>'4A SWD Case 1'!BG103</f>
        <v>530.22147143071822</v>
      </c>
      <c r="D44" s="3">
        <f>'4B Biological treatment '!T97</f>
        <v>0.82148488836538025</v>
      </c>
      <c r="E44" s="1157">
        <f>'4B Biological treatment '!U97</f>
        <v>36.966819976442103</v>
      </c>
      <c r="F44" s="1157">
        <f>'4B Biological treatment '!W97</f>
        <v>2.2180091985865262</v>
      </c>
      <c r="G44" s="952">
        <f>'4C2 Open-burning '!R104</f>
        <v>18.507350714618365</v>
      </c>
      <c r="H44" s="952">
        <f>'4C2 Open-burning '!Z104</f>
        <v>6.2271569060314338</v>
      </c>
      <c r="I44" s="952">
        <f>'4C2 Open-burning '!AH104</f>
        <v>8.6692534403954344E-2</v>
      </c>
      <c r="J44" s="987">
        <f>'4D Wastewater treatment and dis'!AV141</f>
        <v>194.34860921737365</v>
      </c>
      <c r="K44" s="770">
        <f>'4D Wastewater treatment and dis'!AW141</f>
        <v>3.5680392512700192</v>
      </c>
      <c r="L44" s="771">
        <f t="shared" si="69"/>
        <v>11134.650900045082</v>
      </c>
      <c r="M44" s="772">
        <f t="shared" si="70"/>
        <v>17.251182655672984</v>
      </c>
      <c r="N44" s="771">
        <f t="shared" si="71"/>
        <v>1463.8860710671072</v>
      </c>
      <c r="O44" s="773">
        <f t="shared" si="72"/>
        <v>176.15233140650432</v>
      </c>
      <c r="P44" s="771">
        <f t="shared" si="73"/>
        <v>5187.4129614585527</v>
      </c>
      <c r="Q44" s="519">
        <f t="shared" si="74"/>
        <v>11134.650900045082</v>
      </c>
      <c r="R44" s="521">
        <f t="shared" si="75"/>
        <v>1481.1372537227801</v>
      </c>
      <c r="S44" s="518">
        <f t="shared" si="76"/>
        <v>176.15233140650432</v>
      </c>
      <c r="T44" s="519">
        <f t="shared" si="77"/>
        <v>5187.4129614585527</v>
      </c>
      <c r="U44" s="519">
        <f t="shared" si="78"/>
        <v>17979.353446632918</v>
      </c>
      <c r="V44" s="3"/>
      <c r="W44" s="596">
        <f t="shared" si="79"/>
        <v>2034</v>
      </c>
      <c r="X44" s="1101">
        <f t="shared" si="80"/>
        <v>10793.484150192759</v>
      </c>
      <c r="Y44" s="1102">
        <f t="shared" si="81"/>
        <v>1494.902308601505</v>
      </c>
      <c r="Z44" s="1102">
        <f t="shared" si="82"/>
        <v>165.96999435763598</v>
      </c>
      <c r="AA44" s="1102">
        <f t="shared" si="83"/>
        <v>5279.8148873590344</v>
      </c>
      <c r="AB44" s="1142">
        <f t="shared" si="22"/>
        <v>17734.171340510933</v>
      </c>
      <c r="AC44" s="1423" t="str">
        <f>IF(OR('Recycling - Case 1'!AC114="No",'Recycling - Case 1'!T154="No"), "No", "Yes")</f>
        <v>Yes</v>
      </c>
      <c r="AD44" s="1101">
        <f t="shared" si="84"/>
        <v>10793.484150192759</v>
      </c>
      <c r="AE44" s="1102">
        <f t="shared" si="85"/>
        <v>1494.902308601505</v>
      </c>
      <c r="AF44" s="1102">
        <f t="shared" si="86"/>
        <v>165.96999435763598</v>
      </c>
      <c r="AG44" s="1102">
        <f t="shared" si="87"/>
        <v>5279.8148873590344</v>
      </c>
      <c r="AH44" s="1142">
        <f t="shared" si="60"/>
        <v>17734.171340510933</v>
      </c>
      <c r="AI44" s="1423" t="str">
        <f>IF(OR('Recycling - Case 1'!AI25="No",'Recycling - Case 1'!Z154="No"), "No", "Yes")</f>
        <v>Yes</v>
      </c>
      <c r="AJ44" s="1101">
        <f t="shared" si="88"/>
        <v>9711.2155088105937</v>
      </c>
      <c r="AK44" s="1102">
        <f t="shared" si="89"/>
        <v>1494.902308601505</v>
      </c>
      <c r="AL44" s="1102">
        <f t="shared" si="90"/>
        <v>96.378830466311783</v>
      </c>
      <c r="AM44" s="1102">
        <f t="shared" si="91"/>
        <v>5919.1764704369907</v>
      </c>
      <c r="AN44" s="1142">
        <f t="shared" si="92"/>
        <v>17221.673118315401</v>
      </c>
      <c r="AO44" s="1416" t="str">
        <f>IF(OR('Recycling - Case 2'!AC114="No",'Recycling - Case 2'!T154="No"), "No", "Yes")</f>
        <v>No</v>
      </c>
      <c r="AP44" s="1101">
        <f t="shared" si="93"/>
        <v>9711.2155088105937</v>
      </c>
      <c r="AQ44" s="1102">
        <f t="shared" si="94"/>
        <v>1494.902308601505</v>
      </c>
      <c r="AR44" s="1102">
        <f t="shared" si="95"/>
        <v>96.378830466311783</v>
      </c>
      <c r="AS44" s="1102">
        <f t="shared" si="96"/>
        <v>5919.1764704369907</v>
      </c>
      <c r="AT44" s="1142">
        <f t="shared" si="37"/>
        <v>17221.673118315401</v>
      </c>
      <c r="AU44" s="1423" t="str">
        <f>IF(OR('Recycling - Case 2'!AC114="No",'Recycling - Case 2'!T194="No"), "No", "Yes")</f>
        <v>No</v>
      </c>
      <c r="AV44" s="1101">
        <f t="shared" si="63"/>
        <v>9712.0813418508351</v>
      </c>
      <c r="AW44" s="1102">
        <f t="shared" si="64"/>
        <v>907.88576146347657</v>
      </c>
      <c r="AX44" s="1102">
        <f t="shared" si="65"/>
        <v>96.378830466311783</v>
      </c>
      <c r="AY44" s="1102">
        <f t="shared" si="66"/>
        <v>5919.1764704369907</v>
      </c>
      <c r="AZ44" s="1142">
        <f t="shared" si="67"/>
        <v>16635.522404217612</v>
      </c>
      <c r="BA44" s="1423" t="str">
        <f>IF(OR('Recycling - Case 3'!AC114="No",'Recycling - Case 3'!T154="No"), "No", "Yes")</f>
        <v>No</v>
      </c>
      <c r="BB44" s="1101">
        <f t="shared" si="97"/>
        <v>9712.0813418508351</v>
      </c>
      <c r="BC44" s="1102">
        <f t="shared" si="98"/>
        <v>907.88576146347657</v>
      </c>
      <c r="BD44" s="1102">
        <f t="shared" si="99"/>
        <v>96.378830466311783</v>
      </c>
      <c r="BE44" s="1102">
        <f t="shared" si="100"/>
        <v>5919.1764704369907</v>
      </c>
      <c r="BF44" s="1142">
        <f t="shared" si="47"/>
        <v>16635.522404217612</v>
      </c>
      <c r="BG44" s="1423" t="str">
        <f>IF(OR('Recycling - Case 3'!AC114="No",'Recycling - Case 3'!T194="No"), "No", "Yes")</f>
        <v>No</v>
      </c>
      <c r="BH44" s="596">
        <f t="shared" si="48"/>
        <v>2034</v>
      </c>
      <c r="BI44" s="1102">
        <f>'Recycling - Case 1'!BV114</f>
        <v>87.227920233842113</v>
      </c>
      <c r="BJ44" s="417">
        <f>'Recycling - Case 1'!BW114</f>
        <v>0.60807557966603765</v>
      </c>
      <c r="BK44" s="1142">
        <f>'Recycling - Case 1'!BX114</f>
        <v>30.478258098855207</v>
      </c>
      <c r="BL44" s="1101">
        <f>'Recycling - Case 1'!BY114</f>
        <v>87.227920233842113</v>
      </c>
      <c r="BM44" s="417">
        <f>'Recycling - Case 1'!BZ114</f>
        <v>0.60807557966603765</v>
      </c>
      <c r="BN44" s="1142">
        <f>'Recycling - Case 1'!CA114</f>
        <v>30.478258098855207</v>
      </c>
      <c r="BO44" s="1102">
        <f>'Recycling - Case 2'!BV114</f>
        <v>80.683462508178934</v>
      </c>
      <c r="BP44" s="417">
        <f>'Recycling - Case 2'!BW114</f>
        <v>0.74572532563751104</v>
      </c>
      <c r="BQ44" s="1142">
        <f>'Recycling - Case 2'!BX114</f>
        <v>30.478258098855207</v>
      </c>
      <c r="BR44" s="1101">
        <f>'Recycling - Case 2'!BY114</f>
        <v>80.683462508178934</v>
      </c>
      <c r="BS44" s="417">
        <f>'Recycling - Case 2'!BZ114</f>
        <v>0.74572532563751104</v>
      </c>
      <c r="BT44" s="1142">
        <f>'Recycling - Case 2'!CA114</f>
        <v>30.478258098855207</v>
      </c>
      <c r="BU44" s="1102">
        <f>'Recycling - Case 3'!BV114</f>
        <v>80.683462508178934</v>
      </c>
      <c r="BV44" s="417">
        <f>'Recycling - Case 3'!BW114</f>
        <v>0.74572532563751104</v>
      </c>
      <c r="BW44" s="1142">
        <f>'Recycling - Case 3'!BX114</f>
        <v>30.478258098855207</v>
      </c>
      <c r="BX44" s="1101">
        <f>'Recycling - Case 3'!BY114</f>
        <v>80.683462508178934</v>
      </c>
      <c r="BY44" s="417">
        <f>'Recycling - Case 3'!BZ114</f>
        <v>0.74572532563751104</v>
      </c>
      <c r="BZ44" s="1142">
        <f>'Recycling - Case 3'!CA114</f>
        <v>30.478258098855207</v>
      </c>
      <c r="CA44" s="596">
        <v>2034</v>
      </c>
      <c r="CB44" s="649">
        <f>'Recycling - Case 1'!CB114</f>
        <v>0.3150585480493896</v>
      </c>
      <c r="CC44" s="417">
        <f>'Recycling - Case 1'!CC114</f>
        <v>0.34022123371815327</v>
      </c>
      <c r="CD44" s="417">
        <f>'Recycling - Case 1'!CD114</f>
        <v>0.3150585480493896</v>
      </c>
      <c r="CE44" s="525">
        <f>'Recycling - Case 1'!CE114</f>
        <v>0.34022123371815327</v>
      </c>
      <c r="CF44" s="649">
        <f>'Recycling - Case 2'!CB114</f>
        <v>0.35651031341358341</v>
      </c>
      <c r="CG44" s="417">
        <f>'Recycling - Case 2'!CC114</f>
        <v>0.39271446917828801</v>
      </c>
      <c r="CH44" s="417">
        <f>'Recycling - Case 2'!CD114</f>
        <v>0.35651031341358341</v>
      </c>
      <c r="CI44" s="525">
        <f>'Recycling - Case 2'!CE114</f>
        <v>0.39271446917828801</v>
      </c>
      <c r="CJ44" s="649">
        <f>'Recycling - Case 3'!CB114</f>
        <v>0.35651031341358341</v>
      </c>
      <c r="CK44" s="417">
        <f>'Recycling - Case 3'!CC114</f>
        <v>0.39271446917828801</v>
      </c>
      <c r="CL44" s="417">
        <f>'Recycling - Case 3'!CD114</f>
        <v>0.35651031341358341</v>
      </c>
      <c r="CM44" s="525">
        <f>'Recycling - Case 3'!CE114</f>
        <v>0.39271446917828801</v>
      </c>
    </row>
    <row r="45" spans="1:91">
      <c r="A45" s="4">
        <f>'Input data'!A134</f>
        <v>2034</v>
      </c>
      <c r="B45" s="4"/>
      <c r="C45" s="769">
        <f>'4A SWD Case 1'!BG104</f>
        <v>513.97543572346467</v>
      </c>
      <c r="D45" s="3">
        <f>'4B Biological treatment '!T98</f>
        <v>0.82911941686162249</v>
      </c>
      <c r="E45" s="1157">
        <f>'4B Biological treatment '!U98</f>
        <v>37.310373758773004</v>
      </c>
      <c r="F45" s="1157">
        <f>'4B Biological treatment '!W98</f>
        <v>2.2386224255263802</v>
      </c>
      <c r="G45" s="952">
        <f>'4C2 Open-burning '!R105</f>
        <v>17.437548905279943</v>
      </c>
      <c r="H45" s="952">
        <f>'4C2 Open-burning '!Z105</f>
        <v>5.8672013495700392</v>
      </c>
      <c r="I45" s="952">
        <f>'4C2 Open-burning '!AH105</f>
        <v>8.1681345520597415E-2</v>
      </c>
      <c r="J45" s="987">
        <f>'4D Wastewater treatment and dis'!AV142</f>
        <v>198.21622618378117</v>
      </c>
      <c r="K45" s="770">
        <f>'4D Wastewater treatment and dis'!AW142</f>
        <v>3.604110120966546</v>
      </c>
      <c r="L45" s="771">
        <f t="shared" si="69"/>
        <v>10793.484150192759</v>
      </c>
      <c r="M45" s="772">
        <f t="shared" si="70"/>
        <v>17.411507754094071</v>
      </c>
      <c r="N45" s="771">
        <f t="shared" si="71"/>
        <v>1477.4908008474108</v>
      </c>
      <c r="O45" s="773">
        <f t="shared" si="72"/>
        <v>165.96999435763598</v>
      </c>
      <c r="P45" s="771">
        <f t="shared" si="73"/>
        <v>5279.8148873590344</v>
      </c>
      <c r="Q45" s="519">
        <f t="shared" si="74"/>
        <v>10793.484150192759</v>
      </c>
      <c r="R45" s="521">
        <f t="shared" si="75"/>
        <v>1494.902308601505</v>
      </c>
      <c r="S45" s="518">
        <f t="shared" si="76"/>
        <v>165.96999435763598</v>
      </c>
      <c r="T45" s="519">
        <f t="shared" si="77"/>
        <v>5279.8148873590344</v>
      </c>
      <c r="U45" s="519">
        <f t="shared" si="78"/>
        <v>17734.171340510933</v>
      </c>
      <c r="V45" s="3"/>
      <c r="W45" s="596">
        <f t="shared" si="79"/>
        <v>2035</v>
      </c>
      <c r="X45" s="1101">
        <f t="shared" si="80"/>
        <v>10451.053451272361</v>
      </c>
      <c r="Y45" s="1102">
        <f t="shared" si="81"/>
        <v>1505.8873760396166</v>
      </c>
      <c r="Z45" s="1102">
        <f t="shared" si="82"/>
        <v>155.86222296280377</v>
      </c>
      <c r="AA45" s="1102">
        <f t="shared" si="83"/>
        <v>5371.7806596633172</v>
      </c>
      <c r="AB45" s="1142">
        <f t="shared" si="22"/>
        <v>17484.583709938099</v>
      </c>
      <c r="AC45" s="1423" t="str">
        <f>IF(OR('Recycling - Case 1'!AC115="No",'Recycling - Case 1'!T155="No"), "No", "Yes")</f>
        <v>Yes</v>
      </c>
      <c r="AD45" s="1101">
        <f t="shared" si="84"/>
        <v>10451.053451272361</v>
      </c>
      <c r="AE45" s="1102">
        <f t="shared" si="85"/>
        <v>1505.8873760396166</v>
      </c>
      <c r="AF45" s="1102">
        <f t="shared" si="86"/>
        <v>155.86222296280377</v>
      </c>
      <c r="AG45" s="1102">
        <f t="shared" si="87"/>
        <v>5371.7806596633172</v>
      </c>
      <c r="AH45" s="1142">
        <f t="shared" si="60"/>
        <v>17484.583709938099</v>
      </c>
      <c r="AI45" s="1423" t="str">
        <f>IF(OR('Recycling - Case 1'!AI26="No",'Recycling - Case 1'!Z155="No"), "No", "Yes")</f>
        <v>Yes</v>
      </c>
      <c r="AJ45" s="1101">
        <f t="shared" si="88"/>
        <v>9335.3836670131168</v>
      </c>
      <c r="AK45" s="1102">
        <f t="shared" si="89"/>
        <v>1505.8873760396166</v>
      </c>
      <c r="AL45" s="1102">
        <f t="shared" si="90"/>
        <v>96.07859245659904</v>
      </c>
      <c r="AM45" s="1102">
        <f t="shared" si="91"/>
        <v>5977.0418423532319</v>
      </c>
      <c r="AN45" s="1142">
        <f t="shared" si="92"/>
        <v>16914.391477862562</v>
      </c>
      <c r="AO45" s="1416" t="str">
        <f>IF(OR('Recycling - Case 2'!AC115="No",'Recycling - Case 2'!T155="No"), "No", "Yes")</f>
        <v>No</v>
      </c>
      <c r="AP45" s="1101">
        <f t="shared" si="93"/>
        <v>9335.3836670131168</v>
      </c>
      <c r="AQ45" s="1102">
        <f t="shared" si="94"/>
        <v>1505.8873760396166</v>
      </c>
      <c r="AR45" s="1102">
        <f t="shared" si="95"/>
        <v>96.07859245659904</v>
      </c>
      <c r="AS45" s="1102">
        <f t="shared" si="96"/>
        <v>5977.0418423532319</v>
      </c>
      <c r="AT45" s="1142">
        <f t="shared" si="37"/>
        <v>16914.391477862562</v>
      </c>
      <c r="AU45" s="1423" t="str">
        <f>IF(OR('Recycling - Case 2'!AC115="No",'Recycling - Case 2'!T195="No"), "No", "Yes")</f>
        <v>No</v>
      </c>
      <c r="AV45" s="1101">
        <f t="shared" si="63"/>
        <v>9336.3217069865095</v>
      </c>
      <c r="AW45" s="1102">
        <f t="shared" si="64"/>
        <v>914.55722504901848</v>
      </c>
      <c r="AX45" s="1102">
        <f t="shared" si="65"/>
        <v>96.07859245659904</v>
      </c>
      <c r="AY45" s="1102">
        <f t="shared" si="66"/>
        <v>5977.0418423532319</v>
      </c>
      <c r="AZ45" s="1142">
        <f t="shared" si="67"/>
        <v>16323.999366845359</v>
      </c>
      <c r="BA45" s="1423" t="str">
        <f>IF(OR('Recycling - Case 3'!AC115="No",'Recycling - Case 3'!T155="No"), "No", "Yes")</f>
        <v>No</v>
      </c>
      <c r="BB45" s="1101">
        <f t="shared" si="97"/>
        <v>9336.3217069865095</v>
      </c>
      <c r="BC45" s="1102">
        <f t="shared" si="98"/>
        <v>914.55722504901848</v>
      </c>
      <c r="BD45" s="1102">
        <f t="shared" si="99"/>
        <v>96.07859245659904</v>
      </c>
      <c r="BE45" s="1102">
        <f t="shared" si="100"/>
        <v>5977.0418423532319</v>
      </c>
      <c r="BF45" s="1142">
        <f t="shared" si="47"/>
        <v>16323.999366845359</v>
      </c>
      <c r="BG45" s="1423" t="str">
        <f>IF(OR('Recycling - Case 3'!AC115="No",'Recycling - Case 3'!T195="No"), "No", "Yes")</f>
        <v>No</v>
      </c>
      <c r="BH45" s="596">
        <f t="shared" si="48"/>
        <v>2035</v>
      </c>
      <c r="BI45" s="1102">
        <f>'Recycling - Case 1'!BV115</f>
        <v>85.195469307760874</v>
      </c>
      <c r="BJ45" s="417">
        <f>'Recycling - Case 1'!BW115</f>
        <v>0.61402483557777365</v>
      </c>
      <c r="BK45" s="1142">
        <f>'Recycling - Case 1'!BX115</f>
        <v>23.293526984521989</v>
      </c>
      <c r="BL45" s="1101">
        <f>'Recycling - Case 1'!BY115</f>
        <v>85.195469307760874</v>
      </c>
      <c r="BM45" s="417">
        <f>'Recycling - Case 1'!BZ115</f>
        <v>0.61402483557777365</v>
      </c>
      <c r="BN45" s="1142">
        <f>'Recycling - Case 1'!CA115</f>
        <v>23.293526984521989</v>
      </c>
      <c r="BO45" s="1102">
        <f>'Recycling - Case 2'!BV115</f>
        <v>74.311786883385537</v>
      </c>
      <c r="BP45" s="417">
        <f>'Recycling - Case 2'!BW115</f>
        <v>0.78193334911277168</v>
      </c>
      <c r="BQ45" s="1142">
        <f>'Recycling - Case 2'!BX115</f>
        <v>23.293526984521989</v>
      </c>
      <c r="BR45" s="1101">
        <f>'Recycling - Case 2'!BY115</f>
        <v>74.311786883385537</v>
      </c>
      <c r="BS45" s="417">
        <f>'Recycling - Case 2'!BZ115</f>
        <v>0.78193334911277168</v>
      </c>
      <c r="BT45" s="1142">
        <f>'Recycling - Case 2'!CA115</f>
        <v>23.293526984521989</v>
      </c>
      <c r="BU45" s="1102">
        <f>'Recycling - Case 3'!BV115</f>
        <v>74.311786883385537</v>
      </c>
      <c r="BV45" s="417">
        <f>'Recycling - Case 3'!BW115</f>
        <v>0.78193334911277168</v>
      </c>
      <c r="BW45" s="1142">
        <f>'Recycling - Case 3'!BX115</f>
        <v>23.293526984521989</v>
      </c>
      <c r="BX45" s="1101">
        <f>'Recycling - Case 3'!BY115</f>
        <v>74.311786883385537</v>
      </c>
      <c r="BY45" s="417">
        <f>'Recycling - Case 3'!BZ115</f>
        <v>0.78193334911277168</v>
      </c>
      <c r="BZ45" s="1142">
        <f>'Recycling - Case 3'!CA115</f>
        <v>23.293526984521989</v>
      </c>
      <c r="CA45" s="596">
        <v>2035</v>
      </c>
      <c r="CB45" s="649">
        <f>'Recycling - Case 1'!CB115</f>
        <v>0.3306427300073066</v>
      </c>
      <c r="CC45" s="417">
        <f>'Recycling - Case 1'!CC115</f>
        <v>0.3205824091328664</v>
      </c>
      <c r="CD45" s="417">
        <f>'Recycling - Case 1'!CD115</f>
        <v>0.3306427300073066</v>
      </c>
      <c r="CE45" s="525">
        <f>'Recycling - Case 1'!CE115</f>
        <v>0.3205824091328664</v>
      </c>
      <c r="CF45" s="649">
        <f>'Recycling - Case 2'!CB115</f>
        <v>0.35964473479152448</v>
      </c>
      <c r="CG45" s="417">
        <f>'Recycling - Case 2'!CC115</f>
        <v>0.42554960402631026</v>
      </c>
      <c r="CH45" s="417">
        <f>'Recycling - Case 2'!CD115</f>
        <v>0.35964473479152448</v>
      </c>
      <c r="CI45" s="525">
        <f>'Recycling - Case 2'!CE115</f>
        <v>0.42554960402631026</v>
      </c>
      <c r="CJ45" s="649">
        <f>'Recycling - Case 3'!CB115</f>
        <v>0.35964473479152448</v>
      </c>
      <c r="CK45" s="417">
        <f>'Recycling - Case 3'!CC115</f>
        <v>0.42554960402631026</v>
      </c>
      <c r="CL45" s="417">
        <f>'Recycling - Case 3'!CD115</f>
        <v>0.35964473479152448</v>
      </c>
      <c r="CM45" s="525">
        <f>'Recycling - Case 3'!CE115</f>
        <v>0.42554960402631026</v>
      </c>
    </row>
    <row r="46" spans="1:91">
      <c r="A46" s="4">
        <f>'Input data'!A135</f>
        <v>2035</v>
      </c>
      <c r="B46" s="4"/>
      <c r="C46" s="769">
        <f>'4A SWD Case 1'!BG105</f>
        <v>497.66921196535048</v>
      </c>
      <c r="D46" s="3">
        <f>'4B Biological treatment '!T99</f>
        <v>0.83521207767033656</v>
      </c>
      <c r="E46" s="1157">
        <f>'4B Biological treatment '!U99</f>
        <v>37.584543495165143</v>
      </c>
      <c r="F46" s="1157">
        <f>'4B Biological treatment '!W99</f>
        <v>2.2550726097099085</v>
      </c>
      <c r="G46" s="952">
        <f>'4C2 Open-burning '!R106</f>
        <v>16.375581296598956</v>
      </c>
      <c r="H46" s="952">
        <f>'4C2 Open-burning '!Z106</f>
        <v>5.5098817617828963</v>
      </c>
      <c r="I46" s="952">
        <f>'4C2 Open-burning '!AH106</f>
        <v>7.6706853770206432E-2</v>
      </c>
      <c r="J46" s="987">
        <f>'4D Wastewater treatment and dis'!AV143</f>
        <v>202.07543543121741</v>
      </c>
      <c r="K46" s="770">
        <f>'4D Wastewater treatment and dis'!AW143</f>
        <v>3.6393435987346821</v>
      </c>
      <c r="L46" s="771">
        <f t="shared" si="69"/>
        <v>10451.053451272361</v>
      </c>
      <c r="M46" s="772">
        <f t="shared" si="70"/>
        <v>17.539453631077066</v>
      </c>
      <c r="N46" s="771">
        <f t="shared" si="71"/>
        <v>1488.3479224085395</v>
      </c>
      <c r="O46" s="773">
        <f t="shared" si="72"/>
        <v>155.86222296280377</v>
      </c>
      <c r="P46" s="771">
        <f t="shared" si="73"/>
        <v>5371.7806596633172</v>
      </c>
      <c r="Q46" s="519">
        <f t="shared" si="74"/>
        <v>10451.053451272361</v>
      </c>
      <c r="R46" s="521">
        <f t="shared" si="75"/>
        <v>1505.8873760396166</v>
      </c>
      <c r="S46" s="518">
        <f t="shared" si="76"/>
        <v>155.86222296280377</v>
      </c>
      <c r="T46" s="519">
        <f t="shared" si="77"/>
        <v>5371.7806596633172</v>
      </c>
      <c r="U46" s="519">
        <f t="shared" si="78"/>
        <v>17484.583709938099</v>
      </c>
      <c r="V46" s="3"/>
      <c r="W46" s="596">
        <f t="shared" si="79"/>
        <v>2036</v>
      </c>
      <c r="X46" s="1101">
        <f t="shared" si="80"/>
        <v>10142.805389999217</v>
      </c>
      <c r="Y46" s="1102">
        <f t="shared" si="81"/>
        <v>1516.8865590698106</v>
      </c>
      <c r="Z46" s="1102">
        <f t="shared" si="82"/>
        <v>145.82172016402839</v>
      </c>
      <c r="AA46" s="1102">
        <f t="shared" si="83"/>
        <v>5463.6197122027133</v>
      </c>
      <c r="AB46" s="1142">
        <f t="shared" si="22"/>
        <v>17269.133381435771</v>
      </c>
      <c r="AC46" s="1423" t="str">
        <f>IF(OR('Recycling - Case 1'!AC116="No",'Recycling - Case 1'!T156="No"), "No", "Yes")</f>
        <v>Yes</v>
      </c>
      <c r="AD46" s="1101">
        <f t="shared" si="84"/>
        <v>10142.805389999217</v>
      </c>
      <c r="AE46" s="1102">
        <f t="shared" si="85"/>
        <v>1516.8865590698106</v>
      </c>
      <c r="AF46" s="1102">
        <f t="shared" si="86"/>
        <v>145.82172016402839</v>
      </c>
      <c r="AG46" s="1102">
        <f t="shared" si="87"/>
        <v>5463.6197122027133</v>
      </c>
      <c r="AH46" s="1142">
        <f t="shared" si="60"/>
        <v>17269.133381435771</v>
      </c>
      <c r="AI46" s="1423" t="str">
        <f>IF(OR('Recycling - Case 1'!AI27="No",'Recycling - Case 1'!Z156="No"), "No", "Yes")</f>
        <v>Yes</v>
      </c>
      <c r="AJ46" s="1101">
        <f t="shared" si="88"/>
        <v>8978.1559847443114</v>
      </c>
      <c r="AK46" s="1102">
        <f t="shared" si="89"/>
        <v>1516.8865590698106</v>
      </c>
      <c r="AL46" s="1102">
        <f t="shared" si="90"/>
        <v>95.79093269878274</v>
      </c>
      <c r="AM46" s="1102">
        <f t="shared" si="91"/>
        <v>6033.9044242920972</v>
      </c>
      <c r="AN46" s="1142">
        <f t="shared" si="92"/>
        <v>16624.737900805001</v>
      </c>
      <c r="AO46" s="1416" t="str">
        <f>IF(OR('Recycling - Case 2'!AC116="No",'Recycling - Case 2'!T156="No"), "No", "Yes")</f>
        <v>Yes</v>
      </c>
      <c r="AP46" s="1101">
        <f t="shared" si="93"/>
        <v>8978.1559847443114</v>
      </c>
      <c r="AQ46" s="1102">
        <f t="shared" si="94"/>
        <v>1516.8865590698106</v>
      </c>
      <c r="AR46" s="1102">
        <f t="shared" si="95"/>
        <v>95.79093269878274</v>
      </c>
      <c r="AS46" s="1102">
        <f t="shared" si="96"/>
        <v>6033.9044242920972</v>
      </c>
      <c r="AT46" s="1142">
        <f t="shared" si="37"/>
        <v>16624.737900805001</v>
      </c>
      <c r="AU46" s="1423" t="str">
        <f>IF(OR('Recycling - Case 2'!AC116="No",'Recycling - Case 2'!T196="No"), "No", "Yes")</f>
        <v>Yes</v>
      </c>
      <c r="AV46" s="1101">
        <f t="shared" si="63"/>
        <v>8979.1632254584401</v>
      </c>
      <c r="AW46" s="1102">
        <f t="shared" si="64"/>
        <v>921.23726133191497</v>
      </c>
      <c r="AX46" s="1102">
        <f t="shared" si="65"/>
        <v>95.79093269878274</v>
      </c>
      <c r="AY46" s="1102">
        <f t="shared" si="66"/>
        <v>6033.9044242920972</v>
      </c>
      <c r="AZ46" s="1142">
        <f t="shared" si="67"/>
        <v>16030.095843781235</v>
      </c>
      <c r="BA46" s="1423" t="str">
        <f>IF(OR('Recycling - Case 3'!AC116="No",'Recycling - Case 3'!T156="No"), "No", "Yes")</f>
        <v>Yes</v>
      </c>
      <c r="BB46" s="1101">
        <f t="shared" si="97"/>
        <v>8979.1632254584401</v>
      </c>
      <c r="BC46" s="1102">
        <f t="shared" si="98"/>
        <v>921.23726133191497</v>
      </c>
      <c r="BD46" s="1102">
        <f t="shared" si="99"/>
        <v>95.79093269878274</v>
      </c>
      <c r="BE46" s="1102">
        <f t="shared" si="100"/>
        <v>6033.9044242920972</v>
      </c>
      <c r="BF46" s="1142">
        <f t="shared" si="47"/>
        <v>16030.095843781235</v>
      </c>
      <c r="BG46" s="1423" t="str">
        <f>IF(OR('Recycling - Case 3'!AC116="No",'Recycling - Case 3'!T196="No"), "No", "Yes")</f>
        <v>Yes</v>
      </c>
      <c r="BH46" s="596">
        <f t="shared" si="48"/>
        <v>2036</v>
      </c>
      <c r="BI46" s="1102">
        <f>'Recycling - Case 1'!BV116</f>
        <v>83.340644081556832</v>
      </c>
      <c r="BJ46" s="417">
        <f>'Recycling - Case 1'!BW116</f>
        <v>0.62063714045256724</v>
      </c>
      <c r="BK46" s="1142">
        <f>'Recycling - Case 1'!BX116</f>
        <v>16.814169506355952</v>
      </c>
      <c r="BL46" s="1101">
        <f>'Recycling - Case 1'!BY116</f>
        <v>83.340644081556832</v>
      </c>
      <c r="BM46" s="417">
        <f>'Recycling - Case 1'!BZ116</f>
        <v>0.62063714045256724</v>
      </c>
      <c r="BN46" s="1142">
        <f>'Recycling - Case 1'!CA116</f>
        <v>16.814169506355952</v>
      </c>
      <c r="BO46" s="1102">
        <f>'Recycling - Case 2'!BV116</f>
        <v>72.244272007283868</v>
      </c>
      <c r="BP46" s="417">
        <f>'Recycling - Case 2'!BW116</f>
        <v>0.7796815232035218</v>
      </c>
      <c r="BQ46" s="1142">
        <f>'Recycling - Case 2'!BX116</f>
        <v>16.814169506355952</v>
      </c>
      <c r="BR46" s="1101">
        <f>'Recycling - Case 2'!BY116</f>
        <v>72.244272007283868</v>
      </c>
      <c r="BS46" s="417">
        <f>'Recycling - Case 2'!BZ116</f>
        <v>0.7796815232035218</v>
      </c>
      <c r="BT46" s="1142">
        <f>'Recycling - Case 2'!CA116</f>
        <v>16.814169506355952</v>
      </c>
      <c r="BU46" s="1102">
        <f>'Recycling - Case 3'!BV116</f>
        <v>72.244272007283868</v>
      </c>
      <c r="BV46" s="417">
        <f>'Recycling - Case 3'!BW116</f>
        <v>0.7796815232035218</v>
      </c>
      <c r="BW46" s="1142">
        <f>'Recycling - Case 3'!BX116</f>
        <v>16.814169506355952</v>
      </c>
      <c r="BX46" s="1101">
        <f>'Recycling - Case 3'!BY116</f>
        <v>72.244272007283868</v>
      </c>
      <c r="BY46" s="417">
        <f>'Recycling - Case 3'!BZ116</f>
        <v>0.7796815232035218</v>
      </c>
      <c r="BZ46" s="1142">
        <f>'Recycling - Case 3'!CA116</f>
        <v>16.814169506355952</v>
      </c>
      <c r="CA46" s="596">
        <v>2036</v>
      </c>
      <c r="CB46" s="649">
        <f>'Recycling - Case 1'!CB116</f>
        <v>0.34584518582565693</v>
      </c>
      <c r="CC46" s="417">
        <f>'Recycling - Case 1'!CC116</f>
        <v>0.3020513705538056</v>
      </c>
      <c r="CD46" s="417">
        <f>'Recycling - Case 1'!CD116</f>
        <v>0.34584518582565693</v>
      </c>
      <c r="CE46" s="525">
        <f>'Recycling - Case 1'!CE116</f>
        <v>0.3020513705538056</v>
      </c>
      <c r="CF46" s="649">
        <f>'Recycling - Case 2'!CB116</f>
        <v>0.36266411035080748</v>
      </c>
      <c r="CG46" s="417">
        <f>'Recycling - Case 2'!CC116</f>
        <v>0.41900369056731934</v>
      </c>
      <c r="CH46" s="417">
        <f>'Recycling - Case 2'!CD116</f>
        <v>0.36266411035080748</v>
      </c>
      <c r="CI46" s="525">
        <f>'Recycling - Case 2'!CE116</f>
        <v>0.41900369056731934</v>
      </c>
      <c r="CJ46" s="649">
        <f>'Recycling - Case 3'!CB116</f>
        <v>0.36266411035080748</v>
      </c>
      <c r="CK46" s="417">
        <f>'Recycling - Case 3'!CC116</f>
        <v>0.41900369056731934</v>
      </c>
      <c r="CL46" s="417">
        <f>'Recycling - Case 3'!CD116</f>
        <v>0.36266411035080748</v>
      </c>
      <c r="CM46" s="525">
        <f>'Recycling - Case 3'!CE116</f>
        <v>0.41900369056731934</v>
      </c>
    </row>
    <row r="47" spans="1:91">
      <c r="A47" s="4">
        <f>'Input data'!A136</f>
        <v>2036</v>
      </c>
      <c r="B47" s="4"/>
      <c r="C47" s="769">
        <f>'4A SWD Case 1'!BG106</f>
        <v>482.99073285710563</v>
      </c>
      <c r="D47" s="3">
        <f>'4B Biological treatment '!T100</f>
        <v>0.84131256742640637</v>
      </c>
      <c r="E47" s="1157">
        <f>'4B Biological treatment '!U100</f>
        <v>37.859065534188282</v>
      </c>
      <c r="F47" s="1157">
        <f>'4B Biological treatment '!W100</f>
        <v>2.2715439320512969</v>
      </c>
      <c r="G47" s="952">
        <f>'4C2 Open-burning '!R107</f>
        <v>15.320681227072075</v>
      </c>
      <c r="H47" s="952">
        <f>'4C2 Open-burning '!Z107</f>
        <v>5.1549401845457679</v>
      </c>
      <c r="I47" s="952">
        <f>'4C2 Open-burning '!AH107</f>
        <v>7.1765467940307068E-2</v>
      </c>
      <c r="J47" s="987">
        <f>'4D Wastewater treatment and dis'!AV144</f>
        <v>205.93762381457663</v>
      </c>
      <c r="K47" s="770">
        <f>'4D Wastewater treatment and dis'!AW144</f>
        <v>3.6739664906342075</v>
      </c>
      <c r="L47" s="771">
        <f t="shared" si="69"/>
        <v>10142.805389999217</v>
      </c>
      <c r="M47" s="772">
        <f t="shared" si="70"/>
        <v>17.667563915954535</v>
      </c>
      <c r="N47" s="771">
        <f t="shared" si="71"/>
        <v>1499.218995153856</v>
      </c>
      <c r="O47" s="773">
        <f t="shared" si="72"/>
        <v>145.82172016402839</v>
      </c>
      <c r="P47" s="771">
        <f t="shared" si="73"/>
        <v>5463.6197122027133</v>
      </c>
      <c r="Q47" s="519">
        <f t="shared" si="74"/>
        <v>10142.805389999217</v>
      </c>
      <c r="R47" s="521">
        <f t="shared" si="75"/>
        <v>1516.8865590698106</v>
      </c>
      <c r="S47" s="518">
        <f t="shared" si="76"/>
        <v>145.82172016402839</v>
      </c>
      <c r="T47" s="519">
        <f t="shared" si="77"/>
        <v>5463.6197122027133</v>
      </c>
      <c r="U47" s="519">
        <f t="shared" si="78"/>
        <v>17269.133381435771</v>
      </c>
      <c r="V47" s="3"/>
      <c r="W47" s="596">
        <f t="shared" si="79"/>
        <v>2037</v>
      </c>
      <c r="X47" s="1101">
        <f t="shared" si="80"/>
        <v>9864.5351369920554</v>
      </c>
      <c r="Y47" s="1102">
        <f t="shared" si="81"/>
        <v>1529.7560580508825</v>
      </c>
      <c r="Z47" s="1102">
        <f t="shared" si="82"/>
        <v>142.22935505070291</v>
      </c>
      <c r="AA47" s="1102">
        <f t="shared" si="83"/>
        <v>5555.2755684870554</v>
      </c>
      <c r="AB47" s="1142">
        <f t="shared" si="22"/>
        <v>17091.796118580693</v>
      </c>
      <c r="AC47" s="1423" t="str">
        <f>IF(OR('Recycling - Case 1'!AC117="No",'Recycling - Case 1'!T157="No"), "No", "Yes")</f>
        <v>Yes</v>
      </c>
      <c r="AD47" s="1101">
        <f t="shared" si="84"/>
        <v>9864.5351369920554</v>
      </c>
      <c r="AE47" s="1102">
        <f t="shared" si="85"/>
        <v>1529.7560580508825</v>
      </c>
      <c r="AF47" s="1102">
        <f t="shared" si="86"/>
        <v>142.22935505070291</v>
      </c>
      <c r="AG47" s="1102">
        <f t="shared" si="87"/>
        <v>5555.2755684870554</v>
      </c>
      <c r="AH47" s="1142">
        <f t="shared" si="60"/>
        <v>17091.796118580693</v>
      </c>
      <c r="AI47" s="1423" t="str">
        <f>IF(OR('Recycling - Case 1'!AI28="No",'Recycling - Case 1'!Z157="No"), "No", "Yes")</f>
        <v>Yes</v>
      </c>
      <c r="AJ47" s="1101">
        <f t="shared" si="88"/>
        <v>8657.2501370379559</v>
      </c>
      <c r="AK47" s="1102">
        <f t="shared" si="89"/>
        <v>1529.7560580508825</v>
      </c>
      <c r="AL47" s="1102">
        <f t="shared" si="90"/>
        <v>95.515396353463032</v>
      </c>
      <c r="AM47" s="1102">
        <f t="shared" si="91"/>
        <v>6089.7245696542341</v>
      </c>
      <c r="AN47" s="1142">
        <f t="shared" si="92"/>
        <v>16372.246161096535</v>
      </c>
      <c r="AO47" s="1416" t="str">
        <f>IF(OR('Recycling - Case 2'!AC117="No",'Recycling - Case 2'!T157="No"), "No", "Yes")</f>
        <v>Yes</v>
      </c>
      <c r="AP47" s="1101">
        <f t="shared" si="93"/>
        <v>8657.2501370379559</v>
      </c>
      <c r="AQ47" s="1102">
        <f t="shared" si="94"/>
        <v>1529.7560580508825</v>
      </c>
      <c r="AR47" s="1102">
        <f t="shared" si="95"/>
        <v>95.515396353463032</v>
      </c>
      <c r="AS47" s="1102">
        <f t="shared" si="96"/>
        <v>6089.7245696542341</v>
      </c>
      <c r="AT47" s="1142">
        <f t="shared" si="37"/>
        <v>16372.246161096535</v>
      </c>
      <c r="AU47" s="1423" t="str">
        <f>IF(OR('Recycling - Case 2'!AC117="No",'Recycling - Case 2'!T197="No"), "No", "Yes")</f>
        <v>Yes</v>
      </c>
      <c r="AV47" s="1101">
        <f t="shared" si="63"/>
        <v>8658.3237265923617</v>
      </c>
      <c r="AW47" s="1102">
        <f t="shared" si="64"/>
        <v>929.05318001426315</v>
      </c>
      <c r="AX47" s="1102">
        <f t="shared" si="65"/>
        <v>95.515396353463032</v>
      </c>
      <c r="AY47" s="1102">
        <f t="shared" si="66"/>
        <v>6089.7245696542341</v>
      </c>
      <c r="AZ47" s="1142">
        <f t="shared" si="67"/>
        <v>15772.616872614322</v>
      </c>
      <c r="BA47" s="1423" t="str">
        <f>IF(OR('Recycling - Case 3'!AC117="No",'Recycling - Case 3'!T157="No"), "No", "Yes")</f>
        <v>Yes</v>
      </c>
      <c r="BB47" s="1101">
        <f t="shared" si="97"/>
        <v>8658.3237265923617</v>
      </c>
      <c r="BC47" s="1102">
        <f t="shared" si="98"/>
        <v>929.05318001426315</v>
      </c>
      <c r="BD47" s="1102">
        <f t="shared" si="99"/>
        <v>95.515396353463032</v>
      </c>
      <c r="BE47" s="1102">
        <f t="shared" si="100"/>
        <v>6089.7245696542341</v>
      </c>
      <c r="BF47" s="1142">
        <f t="shared" si="47"/>
        <v>15772.616872614322</v>
      </c>
      <c r="BG47" s="1423" t="str">
        <f>IF(OR('Recycling - Case 3'!AC117="No",'Recycling - Case 3'!T197="No"), "No", "Yes")</f>
        <v>Yes</v>
      </c>
      <c r="BH47" s="596">
        <f t="shared" si="48"/>
        <v>2037</v>
      </c>
      <c r="BI47" s="1102">
        <f>'Recycling - Case 1'!BV117</f>
        <v>83.316833029109745</v>
      </c>
      <c r="BJ47" s="417">
        <f>'Recycling - Case 1'!BW117</f>
        <v>0.63321228577141619</v>
      </c>
      <c r="BK47" s="1142">
        <f>'Recycling - Case 1'!BX117</f>
        <v>17.54232249040458</v>
      </c>
      <c r="BL47" s="1101">
        <f>'Recycling - Case 1'!BY117</f>
        <v>83.316833029109745</v>
      </c>
      <c r="BM47" s="417">
        <f>'Recycling - Case 1'!BZ117</f>
        <v>0.63321228577141619</v>
      </c>
      <c r="BN47" s="1142">
        <f>'Recycling - Case 1'!CA117</f>
        <v>17.54232249040458</v>
      </c>
      <c r="BO47" s="1102">
        <f>'Recycling - Case 2'!BV117</f>
        <v>73.468581065364987</v>
      </c>
      <c r="BP47" s="417">
        <f>'Recycling - Case 2'!BW117</f>
        <v>0.7833529961364829</v>
      </c>
      <c r="BQ47" s="1142">
        <f>'Recycling - Case 2'!BX117</f>
        <v>17.54232249040458</v>
      </c>
      <c r="BR47" s="1101">
        <f>'Recycling - Case 2'!BY117</f>
        <v>73.468581065364987</v>
      </c>
      <c r="BS47" s="417">
        <f>'Recycling - Case 2'!BZ117</f>
        <v>0.7833529961364829</v>
      </c>
      <c r="BT47" s="1142">
        <f>'Recycling - Case 2'!CA117</f>
        <v>17.54232249040458</v>
      </c>
      <c r="BU47" s="1102">
        <f>'Recycling - Case 3'!BV117</f>
        <v>73.468581065364987</v>
      </c>
      <c r="BV47" s="417">
        <f>'Recycling - Case 3'!BW117</f>
        <v>0.7833529961364829</v>
      </c>
      <c r="BW47" s="1142">
        <f>'Recycling - Case 3'!BX117</f>
        <v>17.54232249040458</v>
      </c>
      <c r="BX47" s="1101">
        <f>'Recycling - Case 3'!BY117</f>
        <v>73.468581065364987</v>
      </c>
      <c r="BY47" s="417">
        <f>'Recycling - Case 3'!BZ117</f>
        <v>0.7833529961364829</v>
      </c>
      <c r="BZ47" s="1142">
        <f>'Recycling - Case 3'!CA117</f>
        <v>17.54232249040458</v>
      </c>
      <c r="CA47" s="596">
        <v>2037</v>
      </c>
      <c r="CB47" s="649">
        <f>'Recycling - Case 1'!CB117</f>
        <v>0.35321623019832382</v>
      </c>
      <c r="CC47" s="417">
        <f>'Recycling - Case 1'!CC117</f>
        <v>0.32209907548062378</v>
      </c>
      <c r="CD47" s="417">
        <f>'Recycling - Case 1'!CD117</f>
        <v>0.35321623019832382</v>
      </c>
      <c r="CE47" s="525">
        <f>'Recycling - Case 1'!CE117</f>
        <v>0.32209907548062378</v>
      </c>
      <c r="CF47" s="649">
        <f>'Recycling - Case 2'!CB117</f>
        <v>0.36557129745283368</v>
      </c>
      <c r="CG47" s="417">
        <f>'Recycling - Case 2'!CC117</f>
        <v>0.4237004558706301</v>
      </c>
      <c r="CH47" s="417">
        <f>'Recycling - Case 2'!CD117</f>
        <v>0.36557129745283368</v>
      </c>
      <c r="CI47" s="525">
        <f>'Recycling - Case 2'!CE117</f>
        <v>0.4237004558706301</v>
      </c>
      <c r="CJ47" s="649">
        <f>'Recycling - Case 3'!CB117</f>
        <v>0.36557129745283368</v>
      </c>
      <c r="CK47" s="417">
        <f>'Recycling - Case 3'!CC117</f>
        <v>0.4237004558706301</v>
      </c>
      <c r="CL47" s="417">
        <f>'Recycling - Case 3'!CD117</f>
        <v>0.36557129745283368</v>
      </c>
      <c r="CM47" s="525">
        <f>'Recycling - Case 3'!CE117</f>
        <v>0.4237004558706301</v>
      </c>
    </row>
    <row r="48" spans="1:91">
      <c r="A48" s="4">
        <f>'Input data'!A137</f>
        <v>2037</v>
      </c>
      <c r="B48" s="4"/>
      <c r="C48" s="769">
        <f>'4A SWD Case 1'!BG107</f>
        <v>469.73976842819309</v>
      </c>
      <c r="D48" s="3">
        <f>'4B Biological treatment '!T101</f>
        <v>0.84845039270708966</v>
      </c>
      <c r="E48" s="1157">
        <f>'4B Biological treatment '!U101</f>
        <v>38.180267671819031</v>
      </c>
      <c r="F48" s="1157">
        <f>'4B Biological treatment '!W101</f>
        <v>2.2908160603091421</v>
      </c>
      <c r="G48" s="952">
        <f>'4C2 Open-burning '!R108</f>
        <v>14.943251303116956</v>
      </c>
      <c r="H48" s="952">
        <f>'4C2 Open-burning '!Z108</f>
        <v>5.0279465702926149</v>
      </c>
      <c r="I48" s="952">
        <f>'4C2 Open-burning '!AH108</f>
        <v>6.9997502488519492E-2</v>
      </c>
      <c r="J48" s="987">
        <f>'4D Wastewater treatment and dis'!AV145</f>
        <v>209.8004583340292</v>
      </c>
      <c r="K48" s="770">
        <f>'4D Wastewater treatment and dis'!AW145</f>
        <v>3.7079546563627162</v>
      </c>
      <c r="L48" s="771">
        <f t="shared" si="69"/>
        <v>9864.5351369920554</v>
      </c>
      <c r="M48" s="772">
        <f t="shared" si="70"/>
        <v>17.817458246848883</v>
      </c>
      <c r="N48" s="771">
        <f t="shared" si="71"/>
        <v>1511.9385998040336</v>
      </c>
      <c r="O48" s="773">
        <f t="shared" si="72"/>
        <v>142.22935505070291</v>
      </c>
      <c r="P48" s="771">
        <f t="shared" si="73"/>
        <v>5555.2755684870554</v>
      </c>
      <c r="Q48" s="519">
        <f t="shared" si="74"/>
        <v>9864.5351369920554</v>
      </c>
      <c r="R48" s="521">
        <f t="shared" si="75"/>
        <v>1529.7560580508825</v>
      </c>
      <c r="S48" s="518">
        <f t="shared" si="76"/>
        <v>142.22935505070291</v>
      </c>
      <c r="T48" s="519">
        <f t="shared" si="77"/>
        <v>5555.2755684870554</v>
      </c>
      <c r="U48" s="519">
        <f t="shared" si="78"/>
        <v>17091.796118580693</v>
      </c>
      <c r="V48" s="3"/>
      <c r="W48" s="596">
        <f t="shared" si="79"/>
        <v>2038</v>
      </c>
      <c r="X48" s="1101">
        <f t="shared" si="80"/>
        <v>9590.8489645879326</v>
      </c>
      <c r="Y48" s="1102">
        <f t="shared" si="81"/>
        <v>1542.323640201309</v>
      </c>
      <c r="Z48" s="1102">
        <f t="shared" si="82"/>
        <v>135.81370639142557</v>
      </c>
      <c r="AA48" s="1102">
        <f t="shared" si="83"/>
        <v>5646.6910794093974</v>
      </c>
      <c r="AB48" s="1142">
        <f t="shared" si="22"/>
        <v>16915.677390590063</v>
      </c>
      <c r="AC48" s="1423" t="str">
        <f>IF(OR('Recycling - Case 1'!AC118="No",'Recycling - Case 1'!T158="No"), "No", "Yes")</f>
        <v>Yes</v>
      </c>
      <c r="AD48" s="1101">
        <f t="shared" si="84"/>
        <v>9590.8489645879326</v>
      </c>
      <c r="AE48" s="1102">
        <f t="shared" si="85"/>
        <v>1542.323640201309</v>
      </c>
      <c r="AF48" s="1102">
        <f t="shared" si="86"/>
        <v>135.81370639142557</v>
      </c>
      <c r="AG48" s="1102">
        <f t="shared" si="87"/>
        <v>5646.6910794093974</v>
      </c>
      <c r="AH48" s="1142">
        <f t="shared" si="60"/>
        <v>16915.677390590063</v>
      </c>
      <c r="AI48" s="1423" t="str">
        <f>IF(OR('Recycling - Case 1'!AI29="No",'Recycling - Case 1'!Z158="No"), "No", "Yes")</f>
        <v>Yes</v>
      </c>
      <c r="AJ48" s="1101">
        <f t="shared" si="88"/>
        <v>8350.1298301105071</v>
      </c>
      <c r="AK48" s="1102">
        <f t="shared" si="89"/>
        <v>1542.323640201309</v>
      </c>
      <c r="AL48" s="1102">
        <f t="shared" si="90"/>
        <v>95.251554951353185</v>
      </c>
      <c r="AM48" s="1102">
        <f t="shared" si="91"/>
        <v>6144.4630649174987</v>
      </c>
      <c r="AN48" s="1142">
        <f t="shared" si="92"/>
        <v>16132.168090180669</v>
      </c>
      <c r="AO48" s="1416" t="str">
        <f>IF(OR('Recycling - Case 2'!AC118="No",'Recycling - Case 2'!T158="No"), "No", "Yes")</f>
        <v>Yes</v>
      </c>
      <c r="AP48" s="1101">
        <f t="shared" si="93"/>
        <v>8350.1298301105071</v>
      </c>
      <c r="AQ48" s="1102">
        <f t="shared" si="94"/>
        <v>1542.323640201309</v>
      </c>
      <c r="AR48" s="1102">
        <f t="shared" si="95"/>
        <v>95.251554951353185</v>
      </c>
      <c r="AS48" s="1102">
        <f t="shared" si="96"/>
        <v>6144.4630649174987</v>
      </c>
      <c r="AT48" s="1142">
        <f t="shared" si="37"/>
        <v>16132.168090180669</v>
      </c>
      <c r="AU48" s="1423" t="str">
        <f>IF(OR('Recycling - Case 2'!AC118="No",'Recycling - Case 2'!T198="No"), "No", "Yes")</f>
        <v>Yes</v>
      </c>
      <c r="AV48" s="1101">
        <f t="shared" si="63"/>
        <v>8351.2670610900532</v>
      </c>
      <c r="AW48" s="1102">
        <f t="shared" si="64"/>
        <v>936.68573822542078</v>
      </c>
      <c r="AX48" s="1102">
        <f t="shared" si="65"/>
        <v>95.251554951353185</v>
      </c>
      <c r="AY48" s="1102">
        <f t="shared" si="66"/>
        <v>6144.4630649174987</v>
      </c>
      <c r="AZ48" s="1142">
        <f t="shared" si="67"/>
        <v>15527.667419184327</v>
      </c>
      <c r="BA48" s="1423" t="str">
        <f>IF(OR('Recycling - Case 3'!AC118="No",'Recycling - Case 3'!T158="No"), "No", "Yes")</f>
        <v>Yes</v>
      </c>
      <c r="BB48" s="1101">
        <f t="shared" si="97"/>
        <v>8351.2670610900532</v>
      </c>
      <c r="BC48" s="1102">
        <f t="shared" si="98"/>
        <v>936.68573822542078</v>
      </c>
      <c r="BD48" s="1102">
        <f t="shared" si="99"/>
        <v>95.251554951353185</v>
      </c>
      <c r="BE48" s="1102">
        <f t="shared" si="100"/>
        <v>6144.4630649174987</v>
      </c>
      <c r="BF48" s="1142">
        <f t="shared" si="47"/>
        <v>15527.667419184327</v>
      </c>
      <c r="BG48" s="1423" t="str">
        <f>IF(OR('Recycling - Case 3'!AC118="No",'Recycling - Case 3'!T198="No"), "No", "Yes")</f>
        <v>Yes</v>
      </c>
      <c r="BH48" s="596">
        <f t="shared" si="48"/>
        <v>2038</v>
      </c>
      <c r="BI48" s="1102">
        <f>'Recycling - Case 1'!BV118</f>
        <v>82.470689051725415</v>
      </c>
      <c r="BJ48" s="417">
        <f>'Recycling - Case 1'!BW118</f>
        <v>0.64280252599509302</v>
      </c>
      <c r="BK48" s="1142">
        <f>'Recycling - Case 1'!BX118</f>
        <v>14.615640739395873</v>
      </c>
      <c r="BL48" s="1101">
        <f>'Recycling - Case 1'!BY118</f>
        <v>82.470689051725415</v>
      </c>
      <c r="BM48" s="417">
        <f>'Recycling - Case 1'!BZ118</f>
        <v>0.64280252599509302</v>
      </c>
      <c r="BN48" s="1142">
        <f>'Recycling - Case 1'!CA118</f>
        <v>14.615640739395873</v>
      </c>
      <c r="BO48" s="1102">
        <f>'Recycling - Case 2'!BV118</f>
        <v>73.209498470222584</v>
      </c>
      <c r="BP48" s="417">
        <f>'Recycling - Case 2'!BW118</f>
        <v>0.78258629961262127</v>
      </c>
      <c r="BQ48" s="1142">
        <f>'Recycling - Case 2'!BX118</f>
        <v>14.615640739395873</v>
      </c>
      <c r="BR48" s="1101">
        <f>'Recycling - Case 2'!BY118</f>
        <v>73.209498470222584</v>
      </c>
      <c r="BS48" s="417">
        <f>'Recycling - Case 2'!BZ118</f>
        <v>0.78258629961262127</v>
      </c>
      <c r="BT48" s="1142">
        <f>'Recycling - Case 2'!CA118</f>
        <v>14.615640739395873</v>
      </c>
      <c r="BU48" s="1102">
        <f>'Recycling - Case 3'!BV118</f>
        <v>73.209498470222584</v>
      </c>
      <c r="BV48" s="417">
        <f>'Recycling - Case 3'!BW118</f>
        <v>0.78258629961262127</v>
      </c>
      <c r="BW48" s="1142">
        <f>'Recycling - Case 3'!BX118</f>
        <v>14.615640739395873</v>
      </c>
      <c r="BX48" s="1101">
        <f>'Recycling - Case 3'!BY118</f>
        <v>73.209498470222584</v>
      </c>
      <c r="BY48" s="417">
        <f>'Recycling - Case 3'!BZ118</f>
        <v>0.78258629961262127</v>
      </c>
      <c r="BZ48" s="1142">
        <f>'Recycling - Case 3'!CA118</f>
        <v>14.615640739395873</v>
      </c>
      <c r="CA48" s="596">
        <v>2038</v>
      </c>
      <c r="CB48" s="649">
        <f>'Recycling - Case 1'!CB118</f>
        <v>0.36369345508761963</v>
      </c>
      <c r="CC48" s="417">
        <f>'Recycling - Case 1'!CC118</f>
        <v>0.32232440850963928</v>
      </c>
      <c r="CD48" s="417">
        <f>'Recycling - Case 1'!CD118</f>
        <v>0.36369345508761963</v>
      </c>
      <c r="CE48" s="525">
        <f>'Recycling - Case 1'!CE118</f>
        <v>0.32232440850963928</v>
      </c>
      <c r="CF48" s="649">
        <f>'Recycling - Case 2'!CB118</f>
        <v>0.36836902471937161</v>
      </c>
      <c r="CG48" s="417">
        <f>'Recycling - Case 2'!CC118</f>
        <v>0.42124160638990238</v>
      </c>
      <c r="CH48" s="417">
        <f>'Recycling - Case 2'!CD118</f>
        <v>0.36836902471937161</v>
      </c>
      <c r="CI48" s="525">
        <f>'Recycling - Case 2'!CE118</f>
        <v>0.42124160638990238</v>
      </c>
      <c r="CJ48" s="649">
        <f>'Recycling - Case 3'!CB118</f>
        <v>0.36836902471937161</v>
      </c>
      <c r="CK48" s="417">
        <f>'Recycling - Case 3'!CC118</f>
        <v>0.42124160638990238</v>
      </c>
      <c r="CL48" s="417">
        <f>'Recycling - Case 3'!CD118</f>
        <v>0.36836902471937161</v>
      </c>
      <c r="CM48" s="525">
        <f>'Recycling - Case 3'!CE118</f>
        <v>0.42124160638990238</v>
      </c>
    </row>
    <row r="49" spans="1:91">
      <c r="A49" s="4">
        <f>'Input data'!A138</f>
        <v>2038</v>
      </c>
      <c r="B49" s="4"/>
      <c r="C49" s="769">
        <f>'4A SWD Case 1'!BG108</f>
        <v>456.70709355180628</v>
      </c>
      <c r="D49" s="3">
        <f>'4B Biological treatment '!T102</f>
        <v>0.85542076550266744</v>
      </c>
      <c r="E49" s="1157">
        <f>'4B Biological treatment '!U102</f>
        <v>38.493934447620028</v>
      </c>
      <c r="F49" s="1157">
        <f>'4B Biological treatment '!W102</f>
        <v>2.3096360668572018</v>
      </c>
      <c r="G49" s="952">
        <f>'4C2 Open-burning '!R109</f>
        <v>14.269194599745768</v>
      </c>
      <c r="H49" s="952">
        <f>'4C2 Open-burning '!Z109</f>
        <v>4.8011471261053265</v>
      </c>
      <c r="I49" s="952">
        <f>'4C2 Open-burning '!AH109</f>
        <v>6.6840071430541742E-2</v>
      </c>
      <c r="J49" s="987">
        <f>'4D Wastewater treatment and dis'!AV146</f>
        <v>213.66157006773292</v>
      </c>
      <c r="K49" s="770">
        <f>'4D Wastewater treatment and dis'!AW146</f>
        <v>3.7412842193129237</v>
      </c>
      <c r="L49" s="771">
        <f t="shared" si="69"/>
        <v>9590.8489645879326</v>
      </c>
      <c r="M49" s="772">
        <f t="shared" si="70"/>
        <v>17.963836075556017</v>
      </c>
      <c r="N49" s="771">
        <f t="shared" si="71"/>
        <v>1524.359804125753</v>
      </c>
      <c r="O49" s="773">
        <f t="shared" si="72"/>
        <v>135.81370639142557</v>
      </c>
      <c r="P49" s="771">
        <f t="shared" si="73"/>
        <v>5646.6910794093974</v>
      </c>
      <c r="Q49" s="519">
        <f t="shared" si="74"/>
        <v>9590.8489645879326</v>
      </c>
      <c r="R49" s="521">
        <f t="shared" si="75"/>
        <v>1542.323640201309</v>
      </c>
      <c r="S49" s="518">
        <f t="shared" si="76"/>
        <v>135.81370639142557</v>
      </c>
      <c r="T49" s="519">
        <f t="shared" si="77"/>
        <v>5646.6910794093974</v>
      </c>
      <c r="U49" s="519">
        <f t="shared" si="78"/>
        <v>16915.677390590063</v>
      </c>
      <c r="V49" s="3"/>
      <c r="W49" s="596">
        <f t="shared" si="79"/>
        <v>2039</v>
      </c>
      <c r="X49" s="1101">
        <f t="shared" si="80"/>
        <v>9334.2587956279585</v>
      </c>
      <c r="Y49" s="1102">
        <f t="shared" si="81"/>
        <v>1555.7930518458707</v>
      </c>
      <c r="Z49" s="1102">
        <f t="shared" si="82"/>
        <v>129.43957338741708</v>
      </c>
      <c r="AA49" s="1102">
        <f t="shared" si="83"/>
        <v>5737.8084798882846</v>
      </c>
      <c r="AB49" s="1142">
        <f t="shared" si="22"/>
        <v>16757.299900749531</v>
      </c>
      <c r="AC49" s="1423" t="str">
        <f>IF(OR('Recycling - Case 1'!AC119="No",'Recycling - Case 1'!T159="No"), "No", "Yes")</f>
        <v>Yes</v>
      </c>
      <c r="AD49" s="1101">
        <f t="shared" si="84"/>
        <v>9334.2587956279585</v>
      </c>
      <c r="AE49" s="1102">
        <f t="shared" si="85"/>
        <v>1555.7930518458707</v>
      </c>
      <c r="AF49" s="1102">
        <f t="shared" si="86"/>
        <v>129.43957338741708</v>
      </c>
      <c r="AG49" s="1102">
        <f t="shared" si="87"/>
        <v>5737.8084798882846</v>
      </c>
      <c r="AH49" s="1142">
        <f t="shared" si="60"/>
        <v>16757.299900749531</v>
      </c>
      <c r="AI49" s="1423" t="str">
        <f>IF(OR('Recycling - Case 1'!AI30="No",'Recycling - Case 1'!Z159="No"), "No", "Yes")</f>
        <v>Yes</v>
      </c>
      <c r="AJ49" s="1101">
        <f t="shared" si="88"/>
        <v>8067.6044690930421</v>
      </c>
      <c r="AK49" s="1102">
        <f t="shared" si="89"/>
        <v>1555.7930518458707</v>
      </c>
      <c r="AL49" s="1102">
        <f t="shared" si="90"/>
        <v>94.999004785552572</v>
      </c>
      <c r="AM49" s="1102">
        <f t="shared" si="91"/>
        <v>6198.0811750318489</v>
      </c>
      <c r="AN49" s="1142">
        <f t="shared" si="92"/>
        <v>15916.477700756313</v>
      </c>
      <c r="AO49" s="1416" t="str">
        <f>IF(OR('Recycling - Case 2'!AC119="No",'Recycling - Case 2'!T159="No"), "No", "Yes")</f>
        <v>Yes</v>
      </c>
      <c r="AP49" s="1101">
        <f t="shared" si="93"/>
        <v>8067.6044690930421</v>
      </c>
      <c r="AQ49" s="1102">
        <f t="shared" si="94"/>
        <v>1555.7930518458707</v>
      </c>
      <c r="AR49" s="1102">
        <f t="shared" si="95"/>
        <v>94.999004785552572</v>
      </c>
      <c r="AS49" s="1102">
        <f t="shared" si="96"/>
        <v>6198.0811750318489</v>
      </c>
      <c r="AT49" s="1142">
        <f t="shared" si="37"/>
        <v>15916.477700756313</v>
      </c>
      <c r="AU49" s="1423" t="str">
        <f>IF(OR('Recycling - Case 2'!AC119="No",'Recycling - Case 2'!T199="No"), "No", "Yes")</f>
        <v>Yes</v>
      </c>
      <c r="AV49" s="1101">
        <f t="shared" si="63"/>
        <v>8068.802769341346</v>
      </c>
      <c r="AW49" s="1102">
        <f t="shared" si="64"/>
        <v>944.86599654532904</v>
      </c>
      <c r="AX49" s="1102">
        <f t="shared" si="65"/>
        <v>94.999004785552572</v>
      </c>
      <c r="AY49" s="1102">
        <f t="shared" si="66"/>
        <v>6198.0811750318489</v>
      </c>
      <c r="AZ49" s="1142">
        <f t="shared" si="67"/>
        <v>15306.748945704076</v>
      </c>
      <c r="BA49" s="1423" t="str">
        <f>IF(OR('Recycling - Case 3'!AC119="No",'Recycling - Case 3'!T159="No"), "No", "Yes")</f>
        <v>Yes</v>
      </c>
      <c r="BB49" s="1101">
        <f t="shared" si="97"/>
        <v>8068.802769341346</v>
      </c>
      <c r="BC49" s="1102">
        <f t="shared" si="98"/>
        <v>944.86599654532904</v>
      </c>
      <c r="BD49" s="1102">
        <f t="shared" si="99"/>
        <v>94.999004785552572</v>
      </c>
      <c r="BE49" s="1102">
        <f t="shared" si="100"/>
        <v>6198.0811750318489</v>
      </c>
      <c r="BF49" s="1142">
        <f t="shared" si="47"/>
        <v>15306.748945704076</v>
      </c>
      <c r="BG49" s="1423" t="str">
        <f>IF(OR('Recycling - Case 3'!AC119="No",'Recycling - Case 3'!T199="No"), "No", "Yes")</f>
        <v>Yes</v>
      </c>
      <c r="BH49" s="596">
        <f t="shared" si="48"/>
        <v>2039</v>
      </c>
      <c r="BI49" s="1102">
        <f>'Recycling - Case 1'!BV119</f>
        <v>81.715044839570382</v>
      </c>
      <c r="BJ49" s="417">
        <f>'Recycling - Case 1'!BW119</f>
        <v>0.65257581309251167</v>
      </c>
      <c r="BK49" s="1142">
        <f>'Recycling - Case 1'!BX119</f>
        <v>11.688958988387169</v>
      </c>
      <c r="BL49" s="1101">
        <f>'Recycling - Case 1'!BY119</f>
        <v>81.715044839570382</v>
      </c>
      <c r="BM49" s="417">
        <f>'Recycling - Case 1'!BZ119</f>
        <v>0.65257581309251167</v>
      </c>
      <c r="BN49" s="1142">
        <f>'Recycling - Case 1'!CA119</f>
        <v>11.688958988387169</v>
      </c>
      <c r="BO49" s="1102">
        <f>'Recycling - Case 2'!BV119</f>
        <v>73.007597014105684</v>
      </c>
      <c r="BP49" s="417">
        <f>'Recycling - Case 2'!BW119</f>
        <v>0.78198504516125933</v>
      </c>
      <c r="BQ49" s="1142">
        <f>'Recycling - Case 2'!BX119</f>
        <v>11.688958988387169</v>
      </c>
      <c r="BR49" s="1101">
        <f>'Recycling - Case 2'!BY119</f>
        <v>73.007597014105684</v>
      </c>
      <c r="BS49" s="417">
        <f>'Recycling - Case 2'!BZ119</f>
        <v>0.78198504516125933</v>
      </c>
      <c r="BT49" s="1142">
        <f>'Recycling - Case 2'!CA119</f>
        <v>11.688958988387169</v>
      </c>
      <c r="BU49" s="1102">
        <f>'Recycling - Case 3'!BV119</f>
        <v>73.007597014105684</v>
      </c>
      <c r="BV49" s="417">
        <f>'Recycling - Case 3'!BW119</f>
        <v>0.78198504516125933</v>
      </c>
      <c r="BW49" s="1142">
        <f>'Recycling - Case 3'!BX119</f>
        <v>11.688958988387169</v>
      </c>
      <c r="BX49" s="1101">
        <f>'Recycling - Case 3'!BY119</f>
        <v>73.007597014105684</v>
      </c>
      <c r="BY49" s="417">
        <f>'Recycling - Case 3'!BZ119</f>
        <v>0.78198504516125933</v>
      </c>
      <c r="BZ49" s="1142">
        <f>'Recycling - Case 3'!CA119</f>
        <v>11.688958988387169</v>
      </c>
      <c r="CA49" s="596">
        <v>2039</v>
      </c>
      <c r="CB49" s="649">
        <f>'Recycling - Case 1'!CB119</f>
        <v>0.37391019275039494</v>
      </c>
      <c r="CC49" s="417">
        <f>'Recycling - Case 1'!CC119</f>
        <v>0.32257694556985639</v>
      </c>
      <c r="CD49" s="417">
        <f>'Recycling - Case 1'!CD119</f>
        <v>0.37391019275039494</v>
      </c>
      <c r="CE49" s="525">
        <f>'Recycling - Case 1'!CE119</f>
        <v>0.32257694556985639</v>
      </c>
      <c r="CF49" s="649">
        <f>'Recycling - Case 2'!CB119</f>
        <v>0.37105989712936271</v>
      </c>
      <c r="CG49" s="417">
        <f>'Recycling - Case 2'!CC119</f>
        <v>0.41896394034163265</v>
      </c>
      <c r="CH49" s="417">
        <f>'Recycling - Case 2'!CD119</f>
        <v>0.37105989712936271</v>
      </c>
      <c r="CI49" s="525">
        <f>'Recycling - Case 2'!CE119</f>
        <v>0.41896394034163265</v>
      </c>
      <c r="CJ49" s="649">
        <f>'Recycling - Case 3'!CB119</f>
        <v>0.37105989712936271</v>
      </c>
      <c r="CK49" s="417">
        <f>'Recycling - Case 3'!CC119</f>
        <v>0.41896394034163265</v>
      </c>
      <c r="CL49" s="417">
        <f>'Recycling - Case 3'!CD119</f>
        <v>0.37105989712936271</v>
      </c>
      <c r="CM49" s="525">
        <f>'Recycling - Case 3'!CE119</f>
        <v>0.41896394034163265</v>
      </c>
    </row>
    <row r="50" spans="1:91">
      <c r="A50" s="4">
        <f>'Input data'!A139</f>
        <v>2039</v>
      </c>
      <c r="B50" s="4"/>
      <c r="C50" s="769">
        <f>'4A SWD Case 1'!BG109</f>
        <v>444.48851407752181</v>
      </c>
      <c r="D50" s="3">
        <f>'4B Biological treatment '!T103</f>
        <v>0.86289132104596267</v>
      </c>
      <c r="E50" s="1157">
        <f>'4B Biological treatment '!U103</f>
        <v>38.830109447068317</v>
      </c>
      <c r="F50" s="1157">
        <f>'4B Biological treatment '!W103</f>
        <v>2.3298065668240993</v>
      </c>
      <c r="G50" s="952">
        <f>'4C2 Open-burning '!R110</f>
        <v>13.599499716545076</v>
      </c>
      <c r="H50" s="952">
        <f>'4C2 Open-burning '!Z110</f>
        <v>4.5758153008666591</v>
      </c>
      <c r="I50" s="952">
        <f>'4C2 Open-burning '!AH110</f>
        <v>6.3703072105394123E-2</v>
      </c>
      <c r="J50" s="987">
        <f>'4D Wastewater treatment and dis'!AV147</f>
        <v>217.51855646105938</v>
      </c>
      <c r="K50" s="770">
        <f>'4D Wastewater treatment and dis'!AW147</f>
        <v>3.7739315942130265</v>
      </c>
      <c r="L50" s="771">
        <f t="shared" si="69"/>
        <v>9334.2587956279585</v>
      </c>
      <c r="M50" s="772">
        <f t="shared" si="70"/>
        <v>18.120717741965215</v>
      </c>
      <c r="N50" s="771">
        <f t="shared" si="71"/>
        <v>1537.6723341039055</v>
      </c>
      <c r="O50" s="773">
        <f t="shared" si="72"/>
        <v>129.43957338741708</v>
      </c>
      <c r="P50" s="771">
        <f t="shared" si="73"/>
        <v>5737.8084798882846</v>
      </c>
      <c r="Q50" s="519">
        <f t="shared" si="74"/>
        <v>9334.2587956279585</v>
      </c>
      <c r="R50" s="521">
        <f t="shared" si="75"/>
        <v>1555.7930518458707</v>
      </c>
      <c r="S50" s="518">
        <f t="shared" si="76"/>
        <v>129.43957338741708</v>
      </c>
      <c r="T50" s="519">
        <f t="shared" si="77"/>
        <v>5737.8084798882846</v>
      </c>
      <c r="U50" s="519">
        <f t="shared" si="78"/>
        <v>16757.299900749531</v>
      </c>
      <c r="V50" s="3"/>
      <c r="W50" s="596">
        <f t="shared" si="79"/>
        <v>2040</v>
      </c>
      <c r="X50" s="1101">
        <f t="shared" si="80"/>
        <v>9094.1238689321362</v>
      </c>
      <c r="Y50" s="1102">
        <f t="shared" si="81"/>
        <v>1569.3079470649179</v>
      </c>
      <c r="Z50" s="1102">
        <f t="shared" si="82"/>
        <v>123.10475731241043</v>
      </c>
      <c r="AA50" s="1102">
        <f t="shared" si="83"/>
        <v>5828.5694471771785</v>
      </c>
      <c r="AB50" s="1142">
        <f t="shared" si="22"/>
        <v>16615.106020486644</v>
      </c>
      <c r="AC50" s="1423" t="str">
        <f>IF(OR('Recycling - Case 1'!AC120="No",'Recycling - Case 1'!T160="No"), "No", "Yes")</f>
        <v>Yes</v>
      </c>
      <c r="AD50" s="1101">
        <f t="shared" si="84"/>
        <v>9094.1238689321362</v>
      </c>
      <c r="AE50" s="1102">
        <f t="shared" si="85"/>
        <v>1569.3079470649179</v>
      </c>
      <c r="AF50" s="1102">
        <f t="shared" si="86"/>
        <v>123.10475731241043</v>
      </c>
      <c r="AG50" s="1102">
        <f t="shared" si="87"/>
        <v>5828.5694471771785</v>
      </c>
      <c r="AH50" s="1142">
        <f t="shared" si="60"/>
        <v>16615.106020486644</v>
      </c>
      <c r="AI50" s="1423" t="str">
        <f>IF(OR('Recycling - Case 1'!AI31="No",'Recycling - Case 1'!Z160="No"), "No", "Yes")</f>
        <v>Yes</v>
      </c>
      <c r="AJ50" s="1101">
        <f t="shared" si="88"/>
        <v>7808.6134387678994</v>
      </c>
      <c r="AK50" s="1102">
        <f t="shared" si="89"/>
        <v>1569.3079470649179</v>
      </c>
      <c r="AL50" s="1102">
        <f t="shared" si="90"/>
        <v>94.757365429428205</v>
      </c>
      <c r="AM50" s="1102">
        <f t="shared" si="91"/>
        <v>6250.5406886302117</v>
      </c>
      <c r="AN50" s="1142">
        <f t="shared" si="92"/>
        <v>15723.219439892457</v>
      </c>
      <c r="AO50" s="1416" t="str">
        <f>IF(OR('Recycling - Case 2'!AC120="No",'Recycling - Case 2'!T160="No"), "No", "Yes")</f>
        <v>Yes</v>
      </c>
      <c r="AP50" s="1101">
        <f t="shared" si="93"/>
        <v>7808.6134387678994</v>
      </c>
      <c r="AQ50" s="1102">
        <f t="shared" si="94"/>
        <v>1569.3079470649179</v>
      </c>
      <c r="AR50" s="1102">
        <f t="shared" si="95"/>
        <v>94.757365429428205</v>
      </c>
      <c r="AS50" s="1102">
        <f t="shared" si="96"/>
        <v>6250.5406886302117</v>
      </c>
      <c r="AT50" s="1142">
        <f t="shared" si="37"/>
        <v>15723.219439892457</v>
      </c>
      <c r="AU50" s="1423" t="str">
        <f>IF(OR('Recycling - Case 2'!AC120="No",'Recycling - Case 2'!T200="No"), "No", "Yes")</f>
        <v>Yes</v>
      </c>
      <c r="AV50" s="1101">
        <f t="shared" si="63"/>
        <v>7809.8703627079958</v>
      </c>
      <c r="AW50" s="1102">
        <f t="shared" si="64"/>
        <v>953.07387800115657</v>
      </c>
      <c r="AX50" s="1102">
        <f t="shared" si="65"/>
        <v>94.757365429428205</v>
      </c>
      <c r="AY50" s="1102">
        <f t="shared" si="66"/>
        <v>6250.5406886302117</v>
      </c>
      <c r="AZ50" s="1142">
        <f t="shared" si="67"/>
        <v>15108.242294768792</v>
      </c>
      <c r="BA50" s="1423" t="str">
        <f>IF(OR('Recycling - Case 3'!AC120="No",'Recycling - Case 3'!T160="No"), "No", "Yes")</f>
        <v>Yes</v>
      </c>
      <c r="BB50" s="1101">
        <f t="shared" si="97"/>
        <v>7809.8703627079958</v>
      </c>
      <c r="BC50" s="1102">
        <f t="shared" si="98"/>
        <v>953.07387800115657</v>
      </c>
      <c r="BD50" s="1102">
        <f t="shared" si="99"/>
        <v>94.757365429428205</v>
      </c>
      <c r="BE50" s="1102">
        <f t="shared" si="100"/>
        <v>6250.5406886302117</v>
      </c>
      <c r="BF50" s="1142">
        <f t="shared" si="47"/>
        <v>15108.242294768792</v>
      </c>
      <c r="BG50" s="1423" t="str">
        <f>IF(OR('Recycling - Case 3'!AC120="No",'Recycling - Case 3'!T200="No"), "No", "Yes")</f>
        <v>Yes</v>
      </c>
      <c r="BH50" s="596">
        <f t="shared" si="48"/>
        <v>2040</v>
      </c>
      <c r="BI50" s="1102">
        <f>'Recycling - Case 1'!BV120</f>
        <v>80.992687168376918</v>
      </c>
      <c r="BJ50" s="417">
        <f>'Recycling - Case 1'!BW120</f>
        <v>0.66228028134442274</v>
      </c>
      <c r="BK50" s="1142">
        <f>'Recycling - Case 1'!BX120</f>
        <v>8.7622772373784628</v>
      </c>
      <c r="BL50" s="1101">
        <f>'Recycling - Case 1'!BY120</f>
        <v>80.992687168376918</v>
      </c>
      <c r="BM50" s="417">
        <f>'Recycling - Case 1'!BZ120</f>
        <v>0.66228028134442274</v>
      </c>
      <c r="BN50" s="1142">
        <f>'Recycling - Case 1'!CA120</f>
        <v>8.7622772373784628</v>
      </c>
      <c r="BO50" s="1102">
        <f>'Recycling - Case 2'!BV120</f>
        <v>72.806816055620374</v>
      </c>
      <c r="BP50" s="417">
        <f>'Recycling - Case 2'!BW120</f>
        <v>0.78138382052367561</v>
      </c>
      <c r="BQ50" s="1142">
        <f>'Recycling - Case 2'!BX120</f>
        <v>8.7622772373784628</v>
      </c>
      <c r="BR50" s="1101">
        <f>'Recycling - Case 2'!BY120</f>
        <v>72.806816055620374</v>
      </c>
      <c r="BS50" s="417">
        <f>'Recycling - Case 2'!BZ120</f>
        <v>0.78138382052367561</v>
      </c>
      <c r="BT50" s="1142">
        <f>'Recycling - Case 2'!CA120</f>
        <v>8.7622772373784628</v>
      </c>
      <c r="BU50" s="1102">
        <f>'Recycling - Case 3'!BV120</f>
        <v>72.806816055620374</v>
      </c>
      <c r="BV50" s="417">
        <f>'Recycling - Case 3'!BW120</f>
        <v>0.78138382052367561</v>
      </c>
      <c r="BW50" s="1142">
        <f>'Recycling - Case 3'!BX120</f>
        <v>8.7622772373784628</v>
      </c>
      <c r="BX50" s="1101">
        <f>'Recycling - Case 3'!BY120</f>
        <v>72.806816055620374</v>
      </c>
      <c r="BY50" s="417">
        <f>'Recycling - Case 3'!BZ120</f>
        <v>0.78138382052367561</v>
      </c>
      <c r="BZ50" s="1142">
        <f>'Recycling - Case 3'!CA120</f>
        <v>8.7622772373784628</v>
      </c>
      <c r="CA50" s="596">
        <v>2040</v>
      </c>
      <c r="CB50" s="649">
        <f>'Recycling - Case 1'!CB120</f>
        <v>0.38387717210459582</v>
      </c>
      <c r="CC50" s="417">
        <f>'Recycling - Case 1'!CC120</f>
        <v>0.32250437601692827</v>
      </c>
      <c r="CD50" s="417">
        <f>'Recycling - Case 1'!CD120</f>
        <v>0.38387717210459582</v>
      </c>
      <c r="CE50" s="525">
        <f>'Recycling - Case 1'!CE120</f>
        <v>0.32250437601692827</v>
      </c>
      <c r="CF50" s="649">
        <f>'Recycling - Case 2'!CB120</f>
        <v>0.37364640081421818</v>
      </c>
      <c r="CG50" s="417">
        <f>'Recycling - Case 2'!CC120</f>
        <v>0.41665506317915713</v>
      </c>
      <c r="CH50" s="417">
        <f>'Recycling - Case 2'!CD120</f>
        <v>0.37364640081421818</v>
      </c>
      <c r="CI50" s="525">
        <f>'Recycling - Case 2'!CE120</f>
        <v>0.41665506317915713</v>
      </c>
      <c r="CJ50" s="649">
        <f>'Recycling - Case 3'!CB120</f>
        <v>0.37364640081421818</v>
      </c>
      <c r="CK50" s="417">
        <f>'Recycling - Case 3'!CC120</f>
        <v>0.41665506317915713</v>
      </c>
      <c r="CL50" s="417">
        <f>'Recycling - Case 3'!CD120</f>
        <v>0.37364640081421818</v>
      </c>
      <c r="CM50" s="525">
        <f>'Recycling - Case 3'!CE120</f>
        <v>0.41665506317915713</v>
      </c>
    </row>
    <row r="51" spans="1:91">
      <c r="A51" s="4">
        <f>'Input data'!A140</f>
        <v>2040</v>
      </c>
      <c r="B51" s="4"/>
      <c r="C51" s="769">
        <f>'4A SWD Case 1'!BG110</f>
        <v>433.05351756819698</v>
      </c>
      <c r="D51" s="3">
        <f>'4B Biological treatment '!T104</f>
        <v>0.87038710319740331</v>
      </c>
      <c r="E51" s="1157">
        <f>'4B Biological treatment '!U104</f>
        <v>39.167419643883143</v>
      </c>
      <c r="F51" s="1157">
        <f>'4B Biological treatment '!W104</f>
        <v>2.350045178632989</v>
      </c>
      <c r="G51" s="952">
        <f>'4C2 Open-burning '!R111</f>
        <v>12.933935645512737</v>
      </c>
      <c r="H51" s="952">
        <f>'4C2 Open-burning '!Z111</f>
        <v>4.3518733674562897</v>
      </c>
      <c r="I51" s="952">
        <f>'4C2 Open-burning '!AH111</f>
        <v>6.0585422420372931E-2</v>
      </c>
      <c r="J51" s="987">
        <f>'4D Wastewater treatment and dis'!AV148</f>
        <v>221.36898369686295</v>
      </c>
      <c r="K51" s="770">
        <f>'4D Wastewater treatment and dis'!AW148</f>
        <v>3.8058735146550235</v>
      </c>
      <c r="L51" s="771">
        <f t="shared" si="69"/>
        <v>9094.1238689321362</v>
      </c>
      <c r="M51" s="772">
        <f t="shared" si="70"/>
        <v>18.278129167145469</v>
      </c>
      <c r="N51" s="771">
        <f t="shared" si="71"/>
        <v>1551.0298178977725</v>
      </c>
      <c r="O51" s="773">
        <f t="shared" si="72"/>
        <v>123.10475731241043</v>
      </c>
      <c r="P51" s="771">
        <f t="shared" si="73"/>
        <v>5828.5694471771785</v>
      </c>
      <c r="Q51" s="519">
        <f t="shared" si="74"/>
        <v>9094.1238689321362</v>
      </c>
      <c r="R51" s="521">
        <f t="shared" si="75"/>
        <v>1569.3079470649179</v>
      </c>
      <c r="S51" s="518">
        <f t="shared" si="76"/>
        <v>123.10475731241043</v>
      </c>
      <c r="T51" s="519">
        <f t="shared" si="77"/>
        <v>5828.5694471771785</v>
      </c>
      <c r="U51" s="519">
        <f t="shared" si="78"/>
        <v>16615.106020486644</v>
      </c>
      <c r="V51" s="3"/>
      <c r="W51" s="596">
        <f t="shared" si="79"/>
        <v>2041</v>
      </c>
      <c r="X51" s="1101">
        <f t="shared" si="80"/>
        <v>8869.7907849143248</v>
      </c>
      <c r="Y51" s="1102">
        <f t="shared" si="81"/>
        <v>1584.5041661408554</v>
      </c>
      <c r="Z51" s="1102">
        <f t="shared" si="82"/>
        <v>116.8065756190172</v>
      </c>
      <c r="AA51" s="1102">
        <f t="shared" si="83"/>
        <v>5919.0314655370876</v>
      </c>
      <c r="AB51" s="1142">
        <f t="shared" si="22"/>
        <v>16490.132992211285</v>
      </c>
      <c r="AC51" s="1423" t="str">
        <f>IF(OR('Recycling - Case 1'!AC121="No",'Recycling - Case 1'!T161="No"), "No", "Yes")</f>
        <v>Yes</v>
      </c>
      <c r="AD51" s="1101">
        <f t="shared" si="84"/>
        <v>8869.7907849143248</v>
      </c>
      <c r="AE51" s="1102">
        <f t="shared" si="85"/>
        <v>1584.5041661408554</v>
      </c>
      <c r="AF51" s="1102">
        <f t="shared" si="86"/>
        <v>116.8065756190172</v>
      </c>
      <c r="AG51" s="1102">
        <f t="shared" si="87"/>
        <v>5919.0314655370876</v>
      </c>
      <c r="AH51" s="1142">
        <f t="shared" si="60"/>
        <v>16490.132992211285</v>
      </c>
      <c r="AI51" s="1423" t="str">
        <f>IF(OR('Recycling - Case 1'!AI32="No",'Recycling - Case 1'!Z161="No"), "No", "Yes")</f>
        <v>Yes</v>
      </c>
      <c r="AJ51" s="1101">
        <f t="shared" si="88"/>
        <v>7572.1289337936287</v>
      </c>
      <c r="AK51" s="1102">
        <f t="shared" si="89"/>
        <v>1584.5041661408554</v>
      </c>
      <c r="AL51" s="1102">
        <f t="shared" si="90"/>
        <v>94.52572607471231</v>
      </c>
      <c r="AM51" s="1102">
        <f t="shared" si="91"/>
        <v>6301.9277913970745</v>
      </c>
      <c r="AN51" s="1142">
        <f t="shared" si="92"/>
        <v>15553.086617406272</v>
      </c>
      <c r="AO51" s="1416" t="str">
        <f>IF(OR('Recycling - Case 2'!AC121="No",'Recycling - Case 2'!T161="No"), "No", "Yes")</f>
        <v>Yes</v>
      </c>
      <c r="AP51" s="1101">
        <f t="shared" si="93"/>
        <v>7572.1289337936287</v>
      </c>
      <c r="AQ51" s="1102">
        <f t="shared" si="94"/>
        <v>1584.5041661408554</v>
      </c>
      <c r="AR51" s="1102">
        <f t="shared" si="95"/>
        <v>94.52572607471231</v>
      </c>
      <c r="AS51" s="1102">
        <f t="shared" si="96"/>
        <v>6301.9277913970745</v>
      </c>
      <c r="AT51" s="1142">
        <f t="shared" si="37"/>
        <v>15553.086617406272</v>
      </c>
      <c r="AU51" s="1423" t="str">
        <f>IF(OR('Recycling - Case 2'!AC121="No",'Recycling - Case 2'!T201="No"), "No", "Yes")</f>
        <v>Yes</v>
      </c>
      <c r="AV51" s="1101">
        <f t="shared" si="63"/>
        <v>7573.4421542649206</v>
      </c>
      <c r="AW51" s="1102">
        <f t="shared" si="64"/>
        <v>962.30286296408019</v>
      </c>
      <c r="AX51" s="1102">
        <f t="shared" si="65"/>
        <v>94.525726074712296</v>
      </c>
      <c r="AY51" s="1102">
        <f t="shared" si="66"/>
        <v>6301.9277913970745</v>
      </c>
      <c r="AZ51" s="1142">
        <f t="shared" si="67"/>
        <v>14932.198534700789</v>
      </c>
      <c r="BA51" s="1423" t="str">
        <f>IF(OR('Recycling - Case 3'!AC121="No",'Recycling - Case 3'!T161="No"), "No", "Yes")</f>
        <v>Yes</v>
      </c>
      <c r="BB51" s="1101">
        <f t="shared" si="97"/>
        <v>7573.4421542649206</v>
      </c>
      <c r="BC51" s="1102">
        <f t="shared" si="98"/>
        <v>962.30286296408019</v>
      </c>
      <c r="BD51" s="1102">
        <f t="shared" si="99"/>
        <v>94.525726074712296</v>
      </c>
      <c r="BE51" s="1102">
        <f t="shared" si="100"/>
        <v>6301.9277913970745</v>
      </c>
      <c r="BF51" s="1142">
        <f t="shared" si="47"/>
        <v>14932.198534700789</v>
      </c>
      <c r="BG51" s="1423" t="str">
        <f>IF(OR('Recycling - Case 3'!AC121="No",'Recycling - Case 3'!T201="No"), "No", "Yes")</f>
        <v>Yes</v>
      </c>
      <c r="BH51" s="596">
        <f t="shared" si="48"/>
        <v>2041</v>
      </c>
      <c r="BI51" s="1102">
        <f>'Recycling - Case 1'!BV121</f>
        <v>80.227965739143926</v>
      </c>
      <c r="BJ51" s="417">
        <f>'Recycling - Case 1'!BW121</f>
        <v>0.67739444637083923</v>
      </c>
      <c r="BK51" s="1142">
        <f>'Recycling - Case 1'!BX121</f>
        <v>7.2493975356904441</v>
      </c>
      <c r="BL51" s="1101">
        <f>'Recycling - Case 1'!BY121</f>
        <v>80.227965739143926</v>
      </c>
      <c r="BM51" s="417">
        <f>'Recycling - Case 1'!BZ121</f>
        <v>0.67739444637083923</v>
      </c>
      <c r="BN51" s="1142">
        <f>'Recycling - Case 1'!CA121</f>
        <v>7.2493975356904441</v>
      </c>
      <c r="BO51" s="1102">
        <f>'Recycling - Case 2'!BV121</f>
        <v>73.279774001463252</v>
      </c>
      <c r="BP51" s="417">
        <f>'Recycling - Case 2'!BW121</f>
        <v>0.78279480002766633</v>
      </c>
      <c r="BQ51" s="1142">
        <f>'Recycling - Case 2'!BX121</f>
        <v>7.2493975356904441</v>
      </c>
      <c r="BR51" s="1101">
        <f>'Recycling - Case 2'!BY121</f>
        <v>73.279774001463252</v>
      </c>
      <c r="BS51" s="417">
        <f>'Recycling - Case 2'!BZ121</f>
        <v>0.78279480002766633</v>
      </c>
      <c r="BT51" s="1142">
        <f>'Recycling - Case 2'!CA121</f>
        <v>7.2493975356904441</v>
      </c>
      <c r="BU51" s="1102">
        <f>'Recycling - Case 3'!BV121</f>
        <v>73.279774001463252</v>
      </c>
      <c r="BV51" s="417">
        <f>'Recycling - Case 3'!BW121</f>
        <v>0.78279480002766633</v>
      </c>
      <c r="BW51" s="1142">
        <f>'Recycling - Case 3'!BX121</f>
        <v>7.2493975356904441</v>
      </c>
      <c r="BX51" s="1101">
        <f>'Recycling - Case 3'!BY121</f>
        <v>73.279774001463252</v>
      </c>
      <c r="BY51" s="417">
        <f>'Recycling - Case 3'!BZ121</f>
        <v>0.78279480002766633</v>
      </c>
      <c r="BZ51" s="1142">
        <f>'Recycling - Case 3'!CA121</f>
        <v>7.2493975356904441</v>
      </c>
      <c r="CA51" s="596">
        <v>2041</v>
      </c>
      <c r="CB51" s="649">
        <f>'Recycling - Case 1'!CB121</f>
        <v>0.39361142515162528</v>
      </c>
      <c r="CC51" s="417">
        <f>'Recycling - Case 1'!CC121</f>
        <v>0.3352962762563686</v>
      </c>
      <c r="CD51" s="417">
        <f>'Recycling - Case 1'!CD121</f>
        <v>0.39361142515162528</v>
      </c>
      <c r="CE51" s="525">
        <f>'Recycling - Case 1'!CE121</f>
        <v>0.3352962762563686</v>
      </c>
      <c r="CF51" s="649">
        <f>'Recycling - Case 2'!CB121</f>
        <v>0.37613685839795552</v>
      </c>
      <c r="CG51" s="417">
        <f>'Recycling - Case 2'!CC121</f>
        <v>0.41763050235619459</v>
      </c>
      <c r="CH51" s="417">
        <f>'Recycling - Case 2'!CD121</f>
        <v>0.37613685839795552</v>
      </c>
      <c r="CI51" s="525">
        <f>'Recycling - Case 2'!CE121</f>
        <v>0.41763050235619459</v>
      </c>
      <c r="CJ51" s="649">
        <f>'Recycling - Case 3'!CB121</f>
        <v>0.37613685839795552</v>
      </c>
      <c r="CK51" s="417">
        <f>'Recycling - Case 3'!CC121</f>
        <v>0.41763050235619459</v>
      </c>
      <c r="CL51" s="417">
        <f>'Recycling - Case 3'!CD121</f>
        <v>0.37613685839795552</v>
      </c>
      <c r="CM51" s="525">
        <f>'Recycling - Case 3'!CE121</f>
        <v>0.41763050235619459</v>
      </c>
    </row>
    <row r="52" spans="1:91">
      <c r="A52" s="4">
        <f>'Input data'!A141</f>
        <v>2041</v>
      </c>
      <c r="B52" s="4"/>
      <c r="C52" s="769">
        <f>'4A SWD Case 1'!BG111</f>
        <v>422.37098975782499</v>
      </c>
      <c r="D52" s="3">
        <f>'4B Biological treatment '!T105</f>
        <v>0.8788153999671966</v>
      </c>
      <c r="E52" s="1157">
        <f>'4B Biological treatment '!U105</f>
        <v>39.546692998523845</v>
      </c>
      <c r="F52" s="1157">
        <f>'4B Biological treatment '!W105</f>
        <v>2.3728015799114308</v>
      </c>
      <c r="G52" s="952">
        <f>'4C2 Open-burning '!R112</f>
        <v>12.272220546238646</v>
      </c>
      <c r="H52" s="952">
        <f>'4C2 Open-burning '!Z112</f>
        <v>4.1292264952048656</v>
      </c>
      <c r="I52" s="952">
        <f>'4C2 Open-burning '!AH112</f>
        <v>5.7485802172504402E-2</v>
      </c>
      <c r="J52" s="987">
        <f>'4D Wastewater treatment and dis'!AV149</f>
        <v>225.21481445525706</v>
      </c>
      <c r="K52" s="770">
        <f>'4D Wastewater treatment and dis'!AW149</f>
        <v>3.8371624579893204</v>
      </c>
      <c r="L52" s="771">
        <f t="shared" si="69"/>
        <v>8869.7907849143248</v>
      </c>
      <c r="M52" s="772">
        <f t="shared" si="70"/>
        <v>18.455123399311127</v>
      </c>
      <c r="N52" s="771">
        <f t="shared" si="71"/>
        <v>1566.0490427415443</v>
      </c>
      <c r="O52" s="773">
        <f t="shared" si="72"/>
        <v>116.8065756190172</v>
      </c>
      <c r="P52" s="771">
        <f t="shared" si="73"/>
        <v>5919.0314655370876</v>
      </c>
      <c r="Q52" s="519">
        <f t="shared" si="74"/>
        <v>8869.7907849143248</v>
      </c>
      <c r="R52" s="521">
        <f t="shared" si="75"/>
        <v>1584.5041661408554</v>
      </c>
      <c r="S52" s="518">
        <f t="shared" si="76"/>
        <v>116.8065756190172</v>
      </c>
      <c r="T52" s="519">
        <f t="shared" si="77"/>
        <v>5919.0314655370876</v>
      </c>
      <c r="U52" s="519">
        <f t="shared" si="78"/>
        <v>16490.132992211285</v>
      </c>
      <c r="V52" s="3"/>
      <c r="W52" s="596">
        <f t="shared" si="79"/>
        <v>2042</v>
      </c>
      <c r="X52" s="1101">
        <f t="shared" si="80"/>
        <v>8652.1233523400242</v>
      </c>
      <c r="Y52" s="1102">
        <f t="shared" si="81"/>
        <v>1599.9395660826283</v>
      </c>
      <c r="Z52" s="1102">
        <f t="shared" si="82"/>
        <v>110.54312833572095</v>
      </c>
      <c r="AA52" s="1102">
        <f t="shared" si="83"/>
        <v>6009.1406420390049</v>
      </c>
      <c r="AB52" s="1142">
        <f t="shared" si="22"/>
        <v>16371.746688797379</v>
      </c>
      <c r="AC52" s="1423" t="str">
        <f>IF(OR('Recycling - Case 1'!AC122="No",'Recycling - Case 1'!T162="No"), "No", "Yes")</f>
        <v>Yes</v>
      </c>
      <c r="AD52" s="1101">
        <f t="shared" si="84"/>
        <v>8652.1233523400242</v>
      </c>
      <c r="AE52" s="1102">
        <f t="shared" si="85"/>
        <v>1599.9395660826283</v>
      </c>
      <c r="AF52" s="1102">
        <f t="shared" si="86"/>
        <v>110.54312833572095</v>
      </c>
      <c r="AG52" s="1102">
        <f t="shared" si="87"/>
        <v>6009.1406420390049</v>
      </c>
      <c r="AH52" s="1142">
        <f t="shared" si="60"/>
        <v>16371.746688797379</v>
      </c>
      <c r="AI52" s="1423" t="str">
        <f>IF(OR('Recycling - Case 1'!AI33="No",'Recycling - Case 1'!Z162="No"), "No", "Yes")</f>
        <v>Yes</v>
      </c>
      <c r="AJ52" s="1101">
        <f t="shared" si="88"/>
        <v>7352.643067520964</v>
      </c>
      <c r="AK52" s="1102">
        <f t="shared" si="89"/>
        <v>1599.9395660826283</v>
      </c>
      <c r="AL52" s="1102">
        <f t="shared" si="90"/>
        <v>94.30376935976021</v>
      </c>
      <c r="AM52" s="1102">
        <f t="shared" si="91"/>
        <v>6352.2084729787603</v>
      </c>
      <c r="AN52" s="1142">
        <f t="shared" si="92"/>
        <v>15399.094875942112</v>
      </c>
      <c r="AO52" s="1416" t="str">
        <f>IF(OR('Recycling - Case 2'!AC122="No",'Recycling - Case 2'!T162="No"), "No", "Yes")</f>
        <v>Yes</v>
      </c>
      <c r="AP52" s="1101">
        <f t="shared" si="93"/>
        <v>7352.643067520964</v>
      </c>
      <c r="AQ52" s="1102">
        <f t="shared" si="94"/>
        <v>1599.9395660826283</v>
      </c>
      <c r="AR52" s="1102">
        <f t="shared" si="95"/>
        <v>94.30376935976021</v>
      </c>
      <c r="AS52" s="1102">
        <f t="shared" si="96"/>
        <v>6352.2084729787603</v>
      </c>
      <c r="AT52" s="1142">
        <f t="shared" si="37"/>
        <v>15399.094875942112</v>
      </c>
      <c r="AU52" s="1423" t="str">
        <f>IF(OR('Recycling - Case 2'!AC122="No",'Recycling - Case 2'!T202="No"), "No", "Yes")</f>
        <v>Yes</v>
      </c>
      <c r="AV52" s="1101">
        <f t="shared" si="63"/>
        <v>7354.0103706687223</v>
      </c>
      <c r="AW52" s="1102">
        <f t="shared" si="64"/>
        <v>971.67710752106382</v>
      </c>
      <c r="AX52" s="1102">
        <f t="shared" si="65"/>
        <v>94.30376935976021</v>
      </c>
      <c r="AY52" s="1102">
        <f t="shared" si="66"/>
        <v>6352.2084729787603</v>
      </c>
      <c r="AZ52" s="1142">
        <f t="shared" si="67"/>
        <v>14772.199720528306</v>
      </c>
      <c r="BA52" s="1423" t="str">
        <f>IF(OR('Recycling - Case 3'!AC122="No",'Recycling - Case 3'!T162="No"), "No", "Yes")</f>
        <v>Yes</v>
      </c>
      <c r="BB52" s="1101">
        <f t="shared" si="97"/>
        <v>7354.0103706687223</v>
      </c>
      <c r="BC52" s="1102">
        <f t="shared" si="98"/>
        <v>971.67710752106382</v>
      </c>
      <c r="BD52" s="1102">
        <f t="shared" si="99"/>
        <v>94.30376935976021</v>
      </c>
      <c r="BE52" s="1102">
        <f t="shared" si="100"/>
        <v>6352.2084729787603</v>
      </c>
      <c r="BF52" s="1142">
        <f t="shared" si="47"/>
        <v>14772.199720528306</v>
      </c>
      <c r="BG52" s="1423" t="str">
        <f>IF(OR('Recycling - Case 3'!AC122="No",'Recycling - Case 3'!T202="No"), "No", "Yes")</f>
        <v>Yes</v>
      </c>
      <c r="BH52" s="596">
        <f t="shared" si="48"/>
        <v>2042</v>
      </c>
      <c r="BI52" s="1102">
        <f>'Recycling - Case 1'!BV122</f>
        <v>79.548596480905374</v>
      </c>
      <c r="BJ52" s="417">
        <f>'Recycling - Case 1'!BW122</f>
        <v>0.69223719423566277</v>
      </c>
      <c r="BK52" s="1142">
        <f>'Recycling - Case 1'!BX122</f>
        <v>5.7365178340024281</v>
      </c>
      <c r="BL52" s="1101">
        <f>'Recycling - Case 1'!BY122</f>
        <v>79.548596480905374</v>
      </c>
      <c r="BM52" s="417">
        <f>'Recycling - Case 1'!BZ122</f>
        <v>0.69223719423566277</v>
      </c>
      <c r="BN52" s="1142">
        <f>'Recycling - Case 1'!CA122</f>
        <v>5.7365178340024281</v>
      </c>
      <c r="BO52" s="1102">
        <f>'Recycling - Case 2'!BV122</f>
        <v>73.766594272850725</v>
      </c>
      <c r="BP52" s="417">
        <f>'Recycling - Case 2'!BW122</f>
        <v>0.78422823877374948</v>
      </c>
      <c r="BQ52" s="1142">
        <f>'Recycling - Case 2'!BX122</f>
        <v>5.7365178340024281</v>
      </c>
      <c r="BR52" s="1101">
        <f>'Recycling - Case 2'!BY122</f>
        <v>73.766594272850725</v>
      </c>
      <c r="BS52" s="417">
        <f>'Recycling - Case 2'!BZ122</f>
        <v>0.78422823877374948</v>
      </c>
      <c r="BT52" s="1142">
        <f>'Recycling - Case 2'!CA122</f>
        <v>5.7365178340024281</v>
      </c>
      <c r="BU52" s="1102">
        <f>'Recycling - Case 3'!BV122</f>
        <v>73.766594272850725</v>
      </c>
      <c r="BV52" s="417">
        <f>'Recycling - Case 3'!BW122</f>
        <v>0.78422823877374948</v>
      </c>
      <c r="BW52" s="1142">
        <f>'Recycling - Case 3'!BX122</f>
        <v>5.7365178340024281</v>
      </c>
      <c r="BX52" s="1101">
        <f>'Recycling - Case 3'!BY122</f>
        <v>73.766594272850725</v>
      </c>
      <c r="BY52" s="417">
        <f>'Recycling - Case 3'!BZ122</f>
        <v>0.78422823877374948</v>
      </c>
      <c r="BZ52" s="1142">
        <f>'Recycling - Case 3'!CA122</f>
        <v>5.7365178340024281</v>
      </c>
      <c r="CA52" s="596">
        <v>2042</v>
      </c>
      <c r="CB52" s="649">
        <f>'Recycling - Case 1'!CB122</f>
        <v>0.40312233108467022</v>
      </c>
      <c r="CC52" s="417">
        <f>'Recycling - Case 1'!CC122</f>
        <v>0.34718034110662843</v>
      </c>
      <c r="CD52" s="417">
        <f>'Recycling - Case 1'!CD122</f>
        <v>0.40312233108467022</v>
      </c>
      <c r="CE52" s="525">
        <f>'Recycling - Case 1'!CE122</f>
        <v>0.34718034110662843</v>
      </c>
      <c r="CF52" s="649">
        <f>'Recycling - Case 2'!CB122</f>
        <v>0.37853338416272353</v>
      </c>
      <c r="CG52" s="417">
        <f>'Recycling - Case 2'!CC122</f>
        <v>0.41865044062267498</v>
      </c>
      <c r="CH52" s="417">
        <f>'Recycling - Case 2'!CD122</f>
        <v>0.37853338416272353</v>
      </c>
      <c r="CI52" s="525">
        <f>'Recycling - Case 2'!CE122</f>
        <v>0.41865044062267498</v>
      </c>
      <c r="CJ52" s="649">
        <f>'Recycling - Case 3'!CB122</f>
        <v>0.37853338416272353</v>
      </c>
      <c r="CK52" s="417">
        <f>'Recycling - Case 3'!CC122</f>
        <v>0.41865044062267498</v>
      </c>
      <c r="CL52" s="417">
        <f>'Recycling - Case 3'!CD122</f>
        <v>0.37853338416272353</v>
      </c>
      <c r="CM52" s="525">
        <f>'Recycling - Case 3'!CE122</f>
        <v>0.41865044062267498</v>
      </c>
    </row>
    <row r="53" spans="1:91">
      <c r="A53" s="4">
        <f>'Input data'!A142</f>
        <v>2042</v>
      </c>
      <c r="B53" s="4"/>
      <c r="C53" s="769">
        <f>'4A SWD Case 1'!BG112</f>
        <v>412.00587392095355</v>
      </c>
      <c r="D53" s="3">
        <f>'4B Biological treatment '!T106</f>
        <v>0.88737635390051506</v>
      </c>
      <c r="E53" s="1157">
        <f>'4B Biological treatment '!U106</f>
        <v>39.93193592552317</v>
      </c>
      <c r="F53" s="1157">
        <f>'4B Biological treatment '!W106</f>
        <v>2.3959161555313901</v>
      </c>
      <c r="G53" s="952">
        <f>'4C2 Open-burning '!R113</f>
        <v>11.614154799229141</v>
      </c>
      <c r="H53" s="952">
        <f>'4C2 Open-burning '!Z113</f>
        <v>3.907807518264196</v>
      </c>
      <c r="I53" s="952">
        <f>'4C2 Open-burning '!AH113</f>
        <v>5.4403276299818372E-2</v>
      </c>
      <c r="J53" s="987">
        <f>'4D Wastewater treatment and dis'!AV150</f>
        <v>229.05378810268007</v>
      </c>
      <c r="K53" s="770">
        <f>'4D Wastewater treatment and dis'!AW150</f>
        <v>3.8677777157507212</v>
      </c>
      <c r="L53" s="771">
        <f t="shared" si="69"/>
        <v>8652.1233523400242</v>
      </c>
      <c r="M53" s="772">
        <f t="shared" si="70"/>
        <v>18.634903431910818</v>
      </c>
      <c r="N53" s="771">
        <f t="shared" si="71"/>
        <v>1581.3046626507175</v>
      </c>
      <c r="O53" s="773">
        <f t="shared" si="72"/>
        <v>110.54312833572095</v>
      </c>
      <c r="P53" s="771">
        <f t="shared" si="73"/>
        <v>6009.1406420390049</v>
      </c>
      <c r="Q53" s="519">
        <f t="shared" si="74"/>
        <v>8652.1233523400242</v>
      </c>
      <c r="R53" s="521">
        <f t="shared" si="75"/>
        <v>1599.9395660826283</v>
      </c>
      <c r="S53" s="518">
        <f t="shared" si="76"/>
        <v>110.54312833572095</v>
      </c>
      <c r="T53" s="519">
        <f t="shared" si="77"/>
        <v>6009.1406420390049</v>
      </c>
      <c r="U53" s="519">
        <f t="shared" si="78"/>
        <v>16371.746688797379</v>
      </c>
      <c r="V53" s="3"/>
      <c r="W53" s="596">
        <f t="shared" si="79"/>
        <v>2043</v>
      </c>
      <c r="X53" s="1101">
        <f t="shared" si="80"/>
        <v>8441.0425454221895</v>
      </c>
      <c r="Y53" s="1102">
        <f t="shared" si="81"/>
        <v>1615.7733394009406</v>
      </c>
      <c r="Z53" s="1102">
        <f t="shared" si="82"/>
        <v>104.3125949383892</v>
      </c>
      <c r="AA53" s="1102">
        <f t="shared" si="83"/>
        <v>6098.8426583086866</v>
      </c>
      <c r="AB53" s="1142">
        <f t="shared" si="22"/>
        <v>16259.971138070207</v>
      </c>
      <c r="AC53" s="1423" t="str">
        <f>IF(OR('Recycling - Case 1'!AC123="No",'Recycling - Case 1'!T163="No"), "No", "Yes")</f>
        <v>Yes</v>
      </c>
      <c r="AD53" s="1101">
        <f t="shared" si="84"/>
        <v>8441.0425454221895</v>
      </c>
      <c r="AE53" s="1102">
        <f t="shared" si="85"/>
        <v>1615.7733394009406</v>
      </c>
      <c r="AF53" s="1102">
        <f t="shared" si="86"/>
        <v>104.3125949383892</v>
      </c>
      <c r="AG53" s="1102">
        <f t="shared" si="87"/>
        <v>6098.8426583086866</v>
      </c>
      <c r="AH53" s="1142">
        <f t="shared" si="60"/>
        <v>16259.971138070207</v>
      </c>
      <c r="AI53" s="1423" t="str">
        <f>IF(OR('Recycling - Case 1'!AI34="No",'Recycling - Case 1'!Z163="No"), "No", "Yes")</f>
        <v>Yes</v>
      </c>
      <c r="AJ53" s="1101">
        <f t="shared" si="88"/>
        <v>7149.3780788731865</v>
      </c>
      <c r="AK53" s="1102">
        <f t="shared" si="89"/>
        <v>1615.7733394009406</v>
      </c>
      <c r="AL53" s="1102">
        <f t="shared" si="90"/>
        <v>94.091195463659886</v>
      </c>
      <c r="AM53" s="1102">
        <f t="shared" si="91"/>
        <v>6401.3492404372764</v>
      </c>
      <c r="AN53" s="1142">
        <f t="shared" si="92"/>
        <v>15260.591854175062</v>
      </c>
      <c r="AO53" s="1416" t="str">
        <f>IF(OR('Recycling - Case 2'!AC123="No",'Recycling - Case 2'!T163="No"), "No", "Yes")</f>
        <v>Yes</v>
      </c>
      <c r="AP53" s="1101">
        <f t="shared" si="93"/>
        <v>7149.3780788731865</v>
      </c>
      <c r="AQ53" s="1102">
        <f t="shared" si="94"/>
        <v>1615.7733394009406</v>
      </c>
      <c r="AR53" s="1102">
        <f t="shared" si="95"/>
        <v>94.091195463659886</v>
      </c>
      <c r="AS53" s="1102">
        <f t="shared" si="96"/>
        <v>6401.3492404372764</v>
      </c>
      <c r="AT53" s="1142">
        <f t="shared" si="37"/>
        <v>15260.591854175062</v>
      </c>
      <c r="AU53" s="1423" t="str">
        <f>IF(OR('Recycling - Case 2'!AC123="No",'Recycling - Case 2'!T203="No"), "No", "Yes")</f>
        <v>Yes</v>
      </c>
      <c r="AV53" s="1101">
        <f t="shared" si="63"/>
        <v>7150.7973568455272</v>
      </c>
      <c r="AW53" s="1102">
        <f t="shared" si="64"/>
        <v>981.29329264782564</v>
      </c>
      <c r="AX53" s="1102">
        <f t="shared" si="65"/>
        <v>94.091195463659886</v>
      </c>
      <c r="AY53" s="1102">
        <f t="shared" si="66"/>
        <v>6401.3492404372764</v>
      </c>
      <c r="AZ53" s="1142">
        <f t="shared" si="67"/>
        <v>14627.53108539429</v>
      </c>
      <c r="BA53" s="1423" t="str">
        <f>IF(OR('Recycling - Case 3'!AC123="No",'Recycling - Case 3'!T163="No"), "No", "Yes")</f>
        <v>Yes</v>
      </c>
      <c r="BB53" s="1101">
        <f t="shared" si="97"/>
        <v>7150.7973568455272</v>
      </c>
      <c r="BC53" s="1102">
        <f t="shared" si="98"/>
        <v>981.29329264782564</v>
      </c>
      <c r="BD53" s="1102">
        <f t="shared" si="99"/>
        <v>94.091195463659886</v>
      </c>
      <c r="BE53" s="1102">
        <f t="shared" si="100"/>
        <v>6401.3492404372764</v>
      </c>
      <c r="BF53" s="1142">
        <f t="shared" si="47"/>
        <v>14627.53108539429</v>
      </c>
      <c r="BG53" s="1423" t="str">
        <f>IF(OR('Recycling - Case 3'!AC123="No",'Recycling - Case 3'!T203="No"), "No", "Yes")</f>
        <v>Yes</v>
      </c>
      <c r="BH53" s="596">
        <f t="shared" si="48"/>
        <v>2043</v>
      </c>
      <c r="BI53" s="1102">
        <f>'Recycling - Case 1'!BV123</f>
        <v>78.961063234328734</v>
      </c>
      <c r="BJ53" s="417">
        <f>'Recycling - Case 1'!BW123</f>
        <v>0.70682636646166752</v>
      </c>
      <c r="BK53" s="1142">
        <f>'Recycling - Case 1'!BX123</f>
        <v>4.2236381323144112</v>
      </c>
      <c r="BL53" s="1101">
        <f>'Recycling - Case 1'!BY123</f>
        <v>78.961063234328734</v>
      </c>
      <c r="BM53" s="417">
        <f>'Recycling - Case 1'!BZ123</f>
        <v>0.70682636646166752</v>
      </c>
      <c r="BN53" s="1142">
        <f>'Recycling - Case 1'!CA123</f>
        <v>4.2236381323144112</v>
      </c>
      <c r="BO53" s="1102">
        <f>'Recycling - Case 2'!BV123</f>
        <v>74.277626630712035</v>
      </c>
      <c r="BP53" s="417">
        <f>'Recycling - Case 2'!BW123</f>
        <v>0.78571275513353533</v>
      </c>
      <c r="BQ53" s="1142">
        <f>'Recycling - Case 2'!BX123</f>
        <v>4.2236381323144112</v>
      </c>
      <c r="BR53" s="1101">
        <f>'Recycling - Case 2'!BY123</f>
        <v>74.277626630712035</v>
      </c>
      <c r="BS53" s="417">
        <f>'Recycling - Case 2'!BZ123</f>
        <v>0.78571275513353533</v>
      </c>
      <c r="BT53" s="1142">
        <f>'Recycling - Case 2'!CA123</f>
        <v>4.2236381323144112</v>
      </c>
      <c r="BU53" s="1102">
        <f>'Recycling - Case 3'!BV123</f>
        <v>74.277626630712035</v>
      </c>
      <c r="BV53" s="417">
        <f>'Recycling - Case 3'!BW123</f>
        <v>0.78571275513353533</v>
      </c>
      <c r="BW53" s="1142">
        <f>'Recycling - Case 3'!BX123</f>
        <v>4.2236381323144112</v>
      </c>
      <c r="BX53" s="1101">
        <f>'Recycling - Case 3'!BY123</f>
        <v>74.277626630712035</v>
      </c>
      <c r="BY53" s="417">
        <f>'Recycling - Case 3'!BZ123</f>
        <v>0.78571275513353533</v>
      </c>
      <c r="BZ53" s="1142">
        <f>'Recycling - Case 3'!CA123</f>
        <v>4.2236381323144112</v>
      </c>
      <c r="CA53" s="596">
        <v>2043</v>
      </c>
      <c r="CB53" s="649">
        <f>'Recycling - Case 1'!CB123</f>
        <v>0.41241894752737041</v>
      </c>
      <c r="CC53" s="417">
        <f>'Recycling - Case 1'!CC123</f>
        <v>0.35826568561329475</v>
      </c>
      <c r="CD53" s="417">
        <f>'Recycling - Case 1'!CD123</f>
        <v>0.41241894752737041</v>
      </c>
      <c r="CE53" s="525">
        <f>'Recycling - Case 1'!CE123</f>
        <v>0.35826568561329475</v>
      </c>
      <c r="CF53" s="649">
        <f>'Recycling - Case 2'!CB123</f>
        <v>0.38083799838405907</v>
      </c>
      <c r="CG53" s="417">
        <f>'Recycling - Case 2'!CC123</f>
        <v>0.41975290393317</v>
      </c>
      <c r="CH53" s="417">
        <f>'Recycling - Case 2'!CD123</f>
        <v>0.38083799838405907</v>
      </c>
      <c r="CI53" s="525">
        <f>'Recycling - Case 2'!CE123</f>
        <v>0.41975290393317</v>
      </c>
      <c r="CJ53" s="649">
        <f>'Recycling - Case 3'!CB123</f>
        <v>0.38083799838405907</v>
      </c>
      <c r="CK53" s="417">
        <f>'Recycling - Case 3'!CC123</f>
        <v>0.41975290393317</v>
      </c>
      <c r="CL53" s="417">
        <f>'Recycling - Case 3'!CD123</f>
        <v>0.38083799838405907</v>
      </c>
      <c r="CM53" s="525">
        <f>'Recycling - Case 3'!CE123</f>
        <v>0.41975290393317</v>
      </c>
    </row>
    <row r="54" spans="1:91">
      <c r="A54" s="4">
        <f>'Input data'!A143</f>
        <v>2043</v>
      </c>
      <c r="B54" s="4"/>
      <c r="C54" s="769">
        <f>'4A SWD Case 1'!BG113</f>
        <v>401.95440692486619</v>
      </c>
      <c r="D54" s="3">
        <f>'4B Biological treatment '!T107</f>
        <v>0.89615825812586825</v>
      </c>
      <c r="E54" s="1157">
        <f>'4B Biological treatment '!U107</f>
        <v>40.327121615664069</v>
      </c>
      <c r="F54" s="1157">
        <f>'4B Biological treatment '!W107</f>
        <v>2.4196272969398445</v>
      </c>
      <c r="G54" s="952">
        <f>'4C2 Open-burning '!R114</f>
        <v>10.95954713208757</v>
      </c>
      <c r="H54" s="952">
        <f>'4C2 Open-burning '!Z114</f>
        <v>3.6875520793286811</v>
      </c>
      <c r="I54" s="952">
        <f>'4C2 Open-burning '!AH114</f>
        <v>5.1336948839997849E-2</v>
      </c>
      <c r="J54" s="987">
        <f>'4D Wastewater treatment and dis'!AV151</f>
        <v>232.88361909556855</v>
      </c>
      <c r="K54" s="770">
        <f>'4D Wastewater treatment and dis'!AW151</f>
        <v>3.8976988945217657</v>
      </c>
      <c r="L54" s="771">
        <f t="shared" si="69"/>
        <v>8441.0425454221895</v>
      </c>
      <c r="M54" s="772">
        <f t="shared" si="70"/>
        <v>18.819323420643233</v>
      </c>
      <c r="N54" s="771">
        <f t="shared" si="71"/>
        <v>1596.9540159802973</v>
      </c>
      <c r="O54" s="773">
        <f t="shared" si="72"/>
        <v>104.3125949383892</v>
      </c>
      <c r="P54" s="771">
        <f t="shared" si="73"/>
        <v>6098.8426583086866</v>
      </c>
      <c r="Q54" s="519">
        <f t="shared" si="74"/>
        <v>8441.0425454221895</v>
      </c>
      <c r="R54" s="521">
        <f t="shared" si="75"/>
        <v>1615.7733394009406</v>
      </c>
      <c r="S54" s="518">
        <f t="shared" si="76"/>
        <v>104.3125949383892</v>
      </c>
      <c r="T54" s="519">
        <f t="shared" si="77"/>
        <v>6098.8426583086866</v>
      </c>
      <c r="U54" s="519">
        <f t="shared" si="78"/>
        <v>16259.971138070207</v>
      </c>
      <c r="V54" s="3"/>
      <c r="W54" s="596">
        <f t="shared" si="79"/>
        <v>2044</v>
      </c>
      <c r="X54" s="1101">
        <f t="shared" si="80"/>
        <v>8236.469179798778</v>
      </c>
      <c r="Y54" s="1102">
        <f t="shared" si="81"/>
        <v>1632.2219251743841</v>
      </c>
      <c r="Z54" s="1102">
        <f t="shared" si="82"/>
        <v>98.113229315656511</v>
      </c>
      <c r="AA54" s="1102">
        <f t="shared" si="83"/>
        <v>6188.0828233796583</v>
      </c>
      <c r="AB54" s="1142">
        <f t="shared" si="22"/>
        <v>16154.887157668478</v>
      </c>
      <c r="AC54" s="1423" t="str">
        <f>IF(OR('Recycling - Case 1'!AC124="No",'Recycling - Case 1'!T164="No"), "No", "Yes")</f>
        <v>Yes</v>
      </c>
      <c r="AD54" s="1101">
        <f t="shared" si="84"/>
        <v>8236.469179798778</v>
      </c>
      <c r="AE54" s="1102">
        <f t="shared" si="85"/>
        <v>1632.2219251743841</v>
      </c>
      <c r="AF54" s="1102">
        <f t="shared" si="86"/>
        <v>98.113229315656511</v>
      </c>
      <c r="AG54" s="1102">
        <f t="shared" si="87"/>
        <v>6188.0828233796583</v>
      </c>
      <c r="AH54" s="1142">
        <f t="shared" si="60"/>
        <v>16154.887157668478</v>
      </c>
      <c r="AI54" s="1423" t="str">
        <f>IF(OR('Recycling - Case 1'!AI35="No",'Recycling - Case 1'!Z164="No"), "No", "Yes")</f>
        <v>Yes</v>
      </c>
      <c r="AJ54" s="1101">
        <f t="shared" si="88"/>
        <v>6961.5947868003987</v>
      </c>
      <c r="AK54" s="1102">
        <f t="shared" si="89"/>
        <v>1632.2219251743841</v>
      </c>
      <c r="AL54" s="1102">
        <f t="shared" si="90"/>
        <v>93.887721150761223</v>
      </c>
      <c r="AM54" s="1102">
        <f t="shared" si="91"/>
        <v>6449.3171551320138</v>
      </c>
      <c r="AN54" s="1142">
        <f t="shared" si="92"/>
        <v>15137.021588257558</v>
      </c>
      <c r="AO54" s="1416" t="str">
        <f>IF(OR('Recycling - Case 2'!AC124="No",'Recycling - Case 2'!T164="No"), "No", "Yes")</f>
        <v>Yes</v>
      </c>
      <c r="AP54" s="1101">
        <f t="shared" si="93"/>
        <v>6961.5947868003987</v>
      </c>
      <c r="AQ54" s="1102">
        <f t="shared" si="94"/>
        <v>1632.2219251743841</v>
      </c>
      <c r="AR54" s="1102">
        <f t="shared" si="95"/>
        <v>93.887721150761223</v>
      </c>
      <c r="AS54" s="1102">
        <f t="shared" si="96"/>
        <v>6449.3171551320138</v>
      </c>
      <c r="AT54" s="1142">
        <f t="shared" si="37"/>
        <v>15137.021588257558</v>
      </c>
      <c r="AU54" s="1423" t="str">
        <f>IF(OR('Recycling - Case 2'!AC124="No",'Recycling - Case 2'!T204="No"), "No", "Yes")</f>
        <v>Yes</v>
      </c>
      <c r="AV54" s="1101">
        <f t="shared" si="63"/>
        <v>6963.0640308812781</v>
      </c>
      <c r="AW54" s="1102">
        <f t="shared" si="64"/>
        <v>991.28286637046608</v>
      </c>
      <c r="AX54" s="1102">
        <f t="shared" si="65"/>
        <v>93.887721150761223</v>
      </c>
      <c r="AY54" s="1102">
        <f t="shared" si="66"/>
        <v>6449.3171551320138</v>
      </c>
      <c r="AZ54" s="1142">
        <f t="shared" si="67"/>
        <v>14497.55177353452</v>
      </c>
      <c r="BA54" s="1423" t="str">
        <f>IF(OR('Recycling - Case 3'!AC124="No",'Recycling - Case 3'!T164="No"), "No", "Yes")</f>
        <v>Yes</v>
      </c>
      <c r="BB54" s="1101">
        <f t="shared" si="97"/>
        <v>6963.0640308812781</v>
      </c>
      <c r="BC54" s="1102">
        <f t="shared" si="98"/>
        <v>991.28286637046608</v>
      </c>
      <c r="BD54" s="1102">
        <f t="shared" si="99"/>
        <v>93.887721150761223</v>
      </c>
      <c r="BE54" s="1102">
        <f t="shared" si="100"/>
        <v>6449.3171551320138</v>
      </c>
      <c r="BF54" s="1142">
        <f t="shared" si="47"/>
        <v>14497.55177353452</v>
      </c>
      <c r="BG54" s="1423" t="str">
        <f>IF(OR('Recycling - Case 3'!AC124="No",'Recycling - Case 3'!T204="No"), "No", "Yes")</f>
        <v>Yes</v>
      </c>
      <c r="BH54" s="596">
        <f t="shared" si="48"/>
        <v>2044</v>
      </c>
      <c r="BI54" s="1102">
        <f>'Recycling - Case 1'!BV124</f>
        <v>78.475804564044438</v>
      </c>
      <c r="BJ54" s="417">
        <f>'Recycling - Case 1'!BW124</f>
        <v>0.72118866756506383</v>
      </c>
      <c r="BK54" s="1142">
        <f>'Recycling - Case 1'!BX124</f>
        <v>2.7107584306263939</v>
      </c>
      <c r="BL54" s="1101">
        <f>'Recycling - Case 1'!BY124</f>
        <v>78.475804564044438</v>
      </c>
      <c r="BM54" s="417">
        <f>'Recycling - Case 1'!BZ124</f>
        <v>0.72118866756506383</v>
      </c>
      <c r="BN54" s="1142">
        <f>'Recycling - Case 1'!CA124</f>
        <v>2.7107584306263939</v>
      </c>
      <c r="BO54" s="1102">
        <f>'Recycling - Case 2'!BV124</f>
        <v>74.826965028942311</v>
      </c>
      <c r="BP54" s="417">
        <f>'Recycling - Case 2'!BW124</f>
        <v>0.7872859341581101</v>
      </c>
      <c r="BQ54" s="1142">
        <f>'Recycling - Case 2'!BX124</f>
        <v>2.7107584306263939</v>
      </c>
      <c r="BR54" s="1101">
        <f>'Recycling - Case 2'!BY124</f>
        <v>74.826965028942311</v>
      </c>
      <c r="BS54" s="417">
        <f>'Recycling - Case 2'!BZ124</f>
        <v>0.7872859341581101</v>
      </c>
      <c r="BT54" s="1142">
        <f>'Recycling - Case 2'!CA124</f>
        <v>2.7107584306263939</v>
      </c>
      <c r="BU54" s="1102">
        <f>'Recycling - Case 3'!BV124</f>
        <v>74.826965028942311</v>
      </c>
      <c r="BV54" s="417">
        <f>'Recycling - Case 3'!BW124</f>
        <v>0.7872859341581101</v>
      </c>
      <c r="BW54" s="1142">
        <f>'Recycling - Case 3'!BX124</f>
        <v>2.7107584306263939</v>
      </c>
      <c r="BX54" s="1101">
        <f>'Recycling - Case 3'!BY124</f>
        <v>74.826965028942311</v>
      </c>
      <c r="BY54" s="417">
        <f>'Recycling - Case 3'!BZ124</f>
        <v>0.7872859341581101</v>
      </c>
      <c r="BZ54" s="1142">
        <f>'Recycling - Case 3'!CA124</f>
        <v>2.7107584306263939</v>
      </c>
      <c r="CA54" s="596">
        <v>2044</v>
      </c>
      <c r="CB54" s="649">
        <f>'Recycling - Case 1'!CB124</f>
        <v>0.42151002677394489</v>
      </c>
      <c r="CC54" s="417">
        <f>'Recycling - Case 1'!CC124</f>
        <v>0.36866536601167343</v>
      </c>
      <c r="CD54" s="417">
        <f>'Recycling - Case 1'!CD124</f>
        <v>0.42151002677394489</v>
      </c>
      <c r="CE54" s="525">
        <f>'Recycling - Case 1'!CE124</f>
        <v>0.36866536601167343</v>
      </c>
      <c r="CF54" s="649">
        <f>'Recycling - Case 2'!CB124</f>
        <v>0.38305263063283224</v>
      </c>
      <c r="CG54" s="417">
        <f>'Recycling - Case 2'!CC124</f>
        <v>0.42098731680845014</v>
      </c>
      <c r="CH54" s="417">
        <f>'Recycling - Case 2'!CD124</f>
        <v>0.38305263063283224</v>
      </c>
      <c r="CI54" s="525">
        <f>'Recycling - Case 2'!CE124</f>
        <v>0.42098731680845014</v>
      </c>
      <c r="CJ54" s="649">
        <f>'Recycling - Case 3'!CB124</f>
        <v>0.38305263063283224</v>
      </c>
      <c r="CK54" s="417">
        <f>'Recycling - Case 3'!CC124</f>
        <v>0.42098731680845014</v>
      </c>
      <c r="CL54" s="417">
        <f>'Recycling - Case 3'!CD124</f>
        <v>0.38305263063283224</v>
      </c>
      <c r="CM54" s="525">
        <f>'Recycling - Case 3'!CE124</f>
        <v>0.42098731680845014</v>
      </c>
    </row>
    <row r="55" spans="1:91">
      <c r="A55" s="4">
        <f>'Input data'!A144</f>
        <v>2044</v>
      </c>
      <c r="B55" s="4"/>
      <c r="C55" s="769">
        <f>'4A SWD Case 1'!BG114</f>
        <v>392.21281808565607</v>
      </c>
      <c r="D55" s="3">
        <f>'4B Biological treatment '!T108</f>
        <v>0.90528115650270891</v>
      </c>
      <c r="E55" s="1157">
        <f>'4B Biological treatment '!U108</f>
        <v>40.737652042621896</v>
      </c>
      <c r="F55" s="1157">
        <f>'4B Biological treatment '!W108</f>
        <v>2.4442591225573138</v>
      </c>
      <c r="G55" s="952">
        <f>'4C2 Open-burning '!R115</f>
        <v>10.308214090554937</v>
      </c>
      <c r="H55" s="952">
        <f>'4C2 Open-burning '!Z115</f>
        <v>3.4683984516566926</v>
      </c>
      <c r="I55" s="952">
        <f>'4C2 Open-burning '!AH115</f>
        <v>4.8285960452616218E-2</v>
      </c>
      <c r="J55" s="987">
        <f>'4D Wastewater treatment and dis'!AV152</f>
        <v>236.70199916566239</v>
      </c>
      <c r="K55" s="770">
        <f>'4D Wastewater treatment and dis'!AW152</f>
        <v>3.9269059383895084</v>
      </c>
      <c r="L55" s="771">
        <f t="shared" si="69"/>
        <v>8236.469179798778</v>
      </c>
      <c r="M55" s="772">
        <f t="shared" si="70"/>
        <v>19.010904286556887</v>
      </c>
      <c r="N55" s="771">
        <f t="shared" si="71"/>
        <v>1613.2110208878271</v>
      </c>
      <c r="O55" s="773">
        <f t="shared" si="72"/>
        <v>98.113229315656511</v>
      </c>
      <c r="P55" s="771">
        <f t="shared" si="73"/>
        <v>6188.0828233796583</v>
      </c>
      <c r="Q55" s="519">
        <f t="shared" si="74"/>
        <v>8236.469179798778</v>
      </c>
      <c r="R55" s="521">
        <f t="shared" si="75"/>
        <v>1632.2219251743841</v>
      </c>
      <c r="S55" s="518">
        <f t="shared" si="76"/>
        <v>98.113229315656511</v>
      </c>
      <c r="T55" s="519">
        <f t="shared" si="77"/>
        <v>6188.0828233796583</v>
      </c>
      <c r="U55" s="519">
        <f t="shared" si="78"/>
        <v>16154.887157668478</v>
      </c>
      <c r="V55" s="3"/>
      <c r="W55" s="596">
        <f t="shared" si="79"/>
        <v>2045</v>
      </c>
      <c r="X55" s="1101">
        <f t="shared" si="80"/>
        <v>8038.3246768576255</v>
      </c>
      <c r="Y55" s="1102">
        <f t="shared" si="81"/>
        <v>1649.3653117580907</v>
      </c>
      <c r="Z55" s="1102">
        <f t="shared" si="82"/>
        <v>91.943355047684236</v>
      </c>
      <c r="AA55" s="1102">
        <f t="shared" si="83"/>
        <v>6276.8061276920935</v>
      </c>
      <c r="AB55" s="1142">
        <f t="shared" si="22"/>
        <v>16056.439471355494</v>
      </c>
      <c r="AC55" s="1423" t="str">
        <f>IF(OR('Recycling - Case 1'!AC125="No",'Recycling - Case 1'!T165="No"), "No", "Yes")</f>
        <v>Yes</v>
      </c>
      <c r="AD55" s="1101">
        <f t="shared" si="84"/>
        <v>8038.3246768576255</v>
      </c>
      <c r="AE55" s="1102">
        <f t="shared" si="85"/>
        <v>1649.3653117580907</v>
      </c>
      <c r="AF55" s="1102">
        <f t="shared" si="86"/>
        <v>91.943355047684236</v>
      </c>
      <c r="AG55" s="1102">
        <f t="shared" si="87"/>
        <v>6276.8061276920935</v>
      </c>
      <c r="AH55" s="1142">
        <f t="shared" si="60"/>
        <v>16056.439471355494</v>
      </c>
      <c r="AI55" s="1423" t="str">
        <f>IF(OR('Recycling - Case 1'!AI36="No",'Recycling - Case 1'!Z165="No"), "No", "Yes")</f>
        <v>Yes</v>
      </c>
      <c r="AJ55" s="1101">
        <f t="shared" si="88"/>
        <v>6788.5928943995177</v>
      </c>
      <c r="AK55" s="1102">
        <f t="shared" si="89"/>
        <v>1649.3653117580907</v>
      </c>
      <c r="AL55" s="1102">
        <f t="shared" si="90"/>
        <v>93.693078884917554</v>
      </c>
      <c r="AM55" s="1102">
        <f t="shared" si="91"/>
        <v>6496.079869241199</v>
      </c>
      <c r="AN55" s="1142">
        <f t="shared" si="92"/>
        <v>15027.731154283723</v>
      </c>
      <c r="AO55" s="1416" t="str">
        <f>IF(OR('Recycling - Case 2'!AC125="No",'Recycling - Case 2'!T165="No"), "No", "Yes")</f>
        <v>Yes</v>
      </c>
      <c r="AP55" s="1101">
        <f t="shared" si="93"/>
        <v>6788.5928943995177</v>
      </c>
      <c r="AQ55" s="1102">
        <f t="shared" si="94"/>
        <v>1649.3653117580907</v>
      </c>
      <c r="AR55" s="1102">
        <f t="shared" si="95"/>
        <v>93.693078884917554</v>
      </c>
      <c r="AS55" s="1102">
        <f t="shared" si="96"/>
        <v>6496.079869241199</v>
      </c>
      <c r="AT55" s="1142">
        <f t="shared" si="37"/>
        <v>15027.731154283723</v>
      </c>
      <c r="AU55" s="1423" t="str">
        <f>IF(OR('Recycling - Case 2'!AC125="No",'Recycling - Case 2'!T205="No"), "No", "Yes")</f>
        <v>Yes</v>
      </c>
      <c r="AV55" s="1101">
        <f t="shared" si="63"/>
        <v>6790.1101885531098</v>
      </c>
      <c r="AW55" s="1102">
        <f t="shared" si="64"/>
        <v>1001.6944073073263</v>
      </c>
      <c r="AX55" s="1102">
        <f t="shared" si="65"/>
        <v>93.693078884917554</v>
      </c>
      <c r="AY55" s="1102">
        <f t="shared" si="66"/>
        <v>6496.079869241199</v>
      </c>
      <c r="AZ55" s="1142">
        <f t="shared" si="67"/>
        <v>14381.577543986554</v>
      </c>
      <c r="BA55" s="1423" t="str">
        <f>IF(OR('Recycling - Case 3'!AC125="No",'Recycling - Case 3'!T165="No"), "No", "Yes")</f>
        <v>Yes</v>
      </c>
      <c r="BB55" s="1101">
        <f t="shared" si="97"/>
        <v>6790.1101885531098</v>
      </c>
      <c r="BC55" s="1102">
        <f t="shared" si="98"/>
        <v>1001.6944073073263</v>
      </c>
      <c r="BD55" s="1102">
        <f t="shared" si="99"/>
        <v>93.693078884917554</v>
      </c>
      <c r="BE55" s="1102">
        <f t="shared" si="100"/>
        <v>6496.079869241199</v>
      </c>
      <c r="BF55" s="1142">
        <f t="shared" si="47"/>
        <v>14381.577543986554</v>
      </c>
      <c r="BG55" s="1423" t="str">
        <f>IF(OR('Recycling - Case 3'!AC125="No",'Recycling - Case 3'!T205="No"), "No", "Yes")</f>
        <v>Yes</v>
      </c>
      <c r="BH55" s="596">
        <f t="shared" si="48"/>
        <v>2045</v>
      </c>
      <c r="BI55" s="1102">
        <f>'Recycling - Case 1'!BV125</f>
        <v>78.094537290557739</v>
      </c>
      <c r="BJ55" s="417">
        <f>'Recycling - Case 1'!BW125</f>
        <v>0.73531347048126527</v>
      </c>
      <c r="BK55" s="1142">
        <f>'Recycling - Case 1'!BX125</f>
        <v>1.1978787289383768</v>
      </c>
      <c r="BL55" s="1101">
        <f>'Recycling - Case 1'!BY125</f>
        <v>78.094537290557739</v>
      </c>
      <c r="BM55" s="417">
        <f>'Recycling - Case 1'!BZ125</f>
        <v>0.73531347048126527</v>
      </c>
      <c r="BN55" s="1142">
        <f>'Recycling - Case 1'!CA125</f>
        <v>1.1978787289383768</v>
      </c>
      <c r="BO55" s="1102">
        <f>'Recycling - Case 2'!BV125</f>
        <v>75.419782629325709</v>
      </c>
      <c r="BP55" s="417">
        <f>'Recycling - Case 2'!BW125</f>
        <v>0.78895791779004321</v>
      </c>
      <c r="BQ55" s="1142">
        <f>'Recycling - Case 2'!BX125</f>
        <v>1.1978787289383768</v>
      </c>
      <c r="BR55" s="1101">
        <f>'Recycling - Case 2'!BY125</f>
        <v>75.419782629325709</v>
      </c>
      <c r="BS55" s="417">
        <f>'Recycling - Case 2'!BZ125</f>
        <v>0.78895791779004321</v>
      </c>
      <c r="BT55" s="1142">
        <f>'Recycling - Case 2'!CA125</f>
        <v>1.1978787289383768</v>
      </c>
      <c r="BU55" s="1102">
        <f>'Recycling - Case 3'!BV125</f>
        <v>75.419782629325709</v>
      </c>
      <c r="BV55" s="417">
        <f>'Recycling - Case 3'!BW125</f>
        <v>0.78895791779004321</v>
      </c>
      <c r="BW55" s="1142">
        <f>'Recycling - Case 3'!BX125</f>
        <v>1.1978787289383768</v>
      </c>
      <c r="BX55" s="1101">
        <f>'Recycling - Case 3'!BY125</f>
        <v>75.419782629325709</v>
      </c>
      <c r="BY55" s="417">
        <f>'Recycling - Case 3'!BZ125</f>
        <v>0.78895791779004321</v>
      </c>
      <c r="BZ55" s="1142">
        <f>'Recycling - Case 3'!CA125</f>
        <v>1.1978787289383768</v>
      </c>
      <c r="CA55" s="596">
        <v>2045</v>
      </c>
      <c r="CB55" s="649">
        <f>'Recycling - Case 1'!CB125</f>
        <v>0.43040403124349413</v>
      </c>
      <c r="CC55" s="417">
        <f>'Recycling - Case 1'!CC125</f>
        <v>0.37843179801240712</v>
      </c>
      <c r="CD55" s="417">
        <f>'Recycling - Case 1'!CD125</f>
        <v>0.43040403124349413</v>
      </c>
      <c r="CE55" s="525">
        <f>'Recycling - Case 1'!CE125</f>
        <v>0.37843179801240712</v>
      </c>
      <c r="CF55" s="649">
        <f>'Recycling - Case 2'!CB125</f>
        <v>0.38517912289168765</v>
      </c>
      <c r="CG55" s="417">
        <f>'Recycling - Case 2'!CC125</f>
        <v>0.42236533788496167</v>
      </c>
      <c r="CH55" s="417">
        <f>'Recycling - Case 2'!CD125</f>
        <v>0.38517912289168765</v>
      </c>
      <c r="CI55" s="525">
        <f>'Recycling - Case 2'!CE125</f>
        <v>0.42236533788496167</v>
      </c>
      <c r="CJ55" s="649">
        <f>'Recycling - Case 3'!CB125</f>
        <v>0.38517912289168765</v>
      </c>
      <c r="CK55" s="417">
        <f>'Recycling - Case 3'!CC125</f>
        <v>0.42236533788496167</v>
      </c>
      <c r="CL55" s="417">
        <f>'Recycling - Case 3'!CD125</f>
        <v>0.38517912289168765</v>
      </c>
      <c r="CM55" s="525">
        <f>'Recycling - Case 3'!CE125</f>
        <v>0.42236533788496167</v>
      </c>
    </row>
    <row r="56" spans="1:91">
      <c r="A56" s="4">
        <f>'Input data'!A145</f>
        <v>2045</v>
      </c>
      <c r="B56" s="4"/>
      <c r="C56" s="769">
        <f>'4A SWD Case 1'!BG115</f>
        <v>382.77736556464885</v>
      </c>
      <c r="D56" s="3">
        <f>'4B Biological treatment '!T109</f>
        <v>0.91478941306605144</v>
      </c>
      <c r="E56" s="1157">
        <f>'4B Biological treatment '!U109</f>
        <v>41.165523587972309</v>
      </c>
      <c r="F56" s="1157">
        <f>'4B Biological treatment '!W109</f>
        <v>2.4699314152783387</v>
      </c>
      <c r="G56" s="952">
        <f>'4C2 Open-burning '!R116</f>
        <v>9.6599795424753427</v>
      </c>
      <c r="H56" s="952">
        <f>'4C2 Open-burning '!Z116</f>
        <v>3.2502873721701198</v>
      </c>
      <c r="I56" s="952">
        <f>'4C2 Open-burning '!AH116</f>
        <v>4.5249486095601206E-2</v>
      </c>
      <c r="J56" s="987">
        <f>'4D Wastewater treatment and dis'!AV153</f>
        <v>240.50659956311304</v>
      </c>
      <c r="K56" s="770">
        <f>'4D Wastewater treatment and dis'!AW153</f>
        <v>3.9553791511829659</v>
      </c>
      <c r="L56" s="771">
        <f t="shared" si="69"/>
        <v>8038.3246768576255</v>
      </c>
      <c r="M56" s="772">
        <f t="shared" si="70"/>
        <v>19.210577674387082</v>
      </c>
      <c r="N56" s="771">
        <f t="shared" si="71"/>
        <v>1630.1547340837035</v>
      </c>
      <c r="O56" s="773">
        <f t="shared" si="72"/>
        <v>91.943355047684236</v>
      </c>
      <c r="P56" s="771">
        <f t="shared" si="73"/>
        <v>6276.8061276920935</v>
      </c>
      <c r="Q56" s="519">
        <f t="shared" si="74"/>
        <v>8038.3246768576255</v>
      </c>
      <c r="R56" s="521">
        <f t="shared" si="75"/>
        <v>1649.3653117580907</v>
      </c>
      <c r="S56" s="518">
        <f t="shared" si="76"/>
        <v>91.943355047684236</v>
      </c>
      <c r="T56" s="519">
        <f t="shared" si="77"/>
        <v>6276.8061276920935</v>
      </c>
      <c r="U56" s="519">
        <f t="shared" si="78"/>
        <v>16056.439471355494</v>
      </c>
      <c r="V56" s="3"/>
      <c r="W56" s="596">
        <f t="shared" si="79"/>
        <v>2046</v>
      </c>
      <c r="X56" s="1101">
        <f t="shared" si="80"/>
        <v>7846.5246526400097</v>
      </c>
      <c r="Y56" s="1102">
        <f t="shared" si="81"/>
        <v>1667.697544874934</v>
      </c>
      <c r="Z56" s="1102">
        <f t="shared" si="82"/>
        <v>85.800936936653983</v>
      </c>
      <c r="AA56" s="1102">
        <f t="shared" si="83"/>
        <v>6365.0873535078899</v>
      </c>
      <c r="AB56" s="1142">
        <f t="shared" si="22"/>
        <v>15965.110487959488</v>
      </c>
      <c r="AC56" s="1423" t="str">
        <f>IF(OR('Recycling - Case 1'!AC126="No",'Recycling - Case 1'!T166="No"), "No", "Yes")</f>
        <v>Yes</v>
      </c>
      <c r="AD56" s="1101">
        <f t="shared" si="84"/>
        <v>7846.5246526400097</v>
      </c>
      <c r="AE56" s="1102">
        <f t="shared" si="85"/>
        <v>1667.697544874934</v>
      </c>
      <c r="AF56" s="1102">
        <f t="shared" si="86"/>
        <v>85.800936936653983</v>
      </c>
      <c r="AG56" s="1102">
        <f t="shared" si="87"/>
        <v>6365.0873535078899</v>
      </c>
      <c r="AH56" s="1142">
        <f t="shared" si="60"/>
        <v>15965.110487959488</v>
      </c>
      <c r="AI56" s="1423" t="str">
        <f>IF(OR('Recycling - Case 1'!AI37="No",'Recycling - Case 1'!Z166="No"), "No", "Yes")</f>
        <v>Yes</v>
      </c>
      <c r="AJ56" s="1101">
        <f t="shared" si="88"/>
        <v>6629.7057991087067</v>
      </c>
      <c r="AK56" s="1102">
        <f t="shared" si="89"/>
        <v>1667.697544874934</v>
      </c>
      <c r="AL56" s="1102">
        <f t="shared" si="90"/>
        <v>93.50647461634388</v>
      </c>
      <c r="AM56" s="1102">
        <f t="shared" si="91"/>
        <v>6541.7393266697118</v>
      </c>
      <c r="AN56" s="1142">
        <f t="shared" si="92"/>
        <v>14932.649145269697</v>
      </c>
      <c r="AO56" s="1416" t="str">
        <f>IF(OR('Recycling - Case 2'!AC126="No",'Recycling - Case 2'!T166="No"), "No", "Yes")</f>
        <v>Yes</v>
      </c>
      <c r="AP56" s="1101">
        <f t="shared" si="93"/>
        <v>6629.7057991087067</v>
      </c>
      <c r="AQ56" s="1102">
        <f t="shared" si="94"/>
        <v>1667.697544874934</v>
      </c>
      <c r="AR56" s="1102">
        <f t="shared" si="95"/>
        <v>93.50647461634388</v>
      </c>
      <c r="AS56" s="1102">
        <f t="shared" si="96"/>
        <v>6541.7393266697118</v>
      </c>
      <c r="AT56" s="1142">
        <f t="shared" si="37"/>
        <v>14932.649145269697</v>
      </c>
      <c r="AU56" s="1423" t="str">
        <f>IF(OR('Recycling - Case 2'!AC126="No",'Recycling - Case 2'!T206="No"), "No", "Yes")</f>
        <v>Yes</v>
      </c>
      <c r="AV56" s="1101">
        <f t="shared" si="63"/>
        <v>6631.269313911971</v>
      </c>
      <c r="AW56" s="1102">
        <f t="shared" si="64"/>
        <v>1012.8279598658085</v>
      </c>
      <c r="AX56" s="1102">
        <f t="shared" si="65"/>
        <v>93.50647461634388</v>
      </c>
      <c r="AY56" s="1102">
        <f t="shared" si="66"/>
        <v>6541.7393266697118</v>
      </c>
      <c r="AZ56" s="1142">
        <f t="shared" si="67"/>
        <v>14279.343075063834</v>
      </c>
      <c r="BA56" s="1423" t="str">
        <f>IF(OR('Recycling - Case 3'!AC126="No",'Recycling - Case 3'!T166="No"), "No", "Yes")</f>
        <v>Yes</v>
      </c>
      <c r="BB56" s="1101">
        <f t="shared" si="97"/>
        <v>6631.269313911971</v>
      </c>
      <c r="BC56" s="1102">
        <f t="shared" si="98"/>
        <v>1012.8279598658085</v>
      </c>
      <c r="BD56" s="1102">
        <f t="shared" si="99"/>
        <v>93.50647461634388</v>
      </c>
      <c r="BE56" s="1102">
        <f t="shared" si="100"/>
        <v>6541.7393266697118</v>
      </c>
      <c r="BF56" s="1142">
        <f t="shared" si="47"/>
        <v>14279.343075063834</v>
      </c>
      <c r="BG56" s="1423" t="str">
        <f>IF(OR('Recycling - Case 3'!AC126="No",'Recycling - Case 3'!T206="No"), "No", "Yes")</f>
        <v>Yes</v>
      </c>
      <c r="BH56" s="596">
        <f t="shared" si="48"/>
        <v>2046</v>
      </c>
      <c r="BI56" s="1102">
        <f>'Recycling - Case 1'!BV126</f>
        <v>78.109578625626838</v>
      </c>
      <c r="BJ56" s="417">
        <f>'Recycling - Case 1'!BW126</f>
        <v>0.75012126984365712</v>
      </c>
      <c r="BK56" s="1142">
        <f>'Recycling - Case 1'!BX126</f>
        <v>1.0007674916723419</v>
      </c>
      <c r="BL56" s="1101">
        <f>'Recycling - Case 1'!BY126</f>
        <v>78.109578625626838</v>
      </c>
      <c r="BM56" s="417">
        <f>'Recycling - Case 1'!BZ126</f>
        <v>0.75012126984365712</v>
      </c>
      <c r="BN56" s="1142">
        <f>'Recycling - Case 1'!CA126</f>
        <v>1.0007674916723419</v>
      </c>
      <c r="BO56" s="1102">
        <f>'Recycling - Case 2'!BV126</f>
        <v>76.614854947901634</v>
      </c>
      <c r="BP56" s="417">
        <f>'Recycling - Case 2'!BW126</f>
        <v>0.79224984532387766</v>
      </c>
      <c r="BQ56" s="1142">
        <f>'Recycling - Case 2'!BX126</f>
        <v>1.0007674916723419</v>
      </c>
      <c r="BR56" s="1101">
        <f>'Recycling - Case 2'!BY126</f>
        <v>76.614854947901634</v>
      </c>
      <c r="BS56" s="417">
        <f>'Recycling - Case 2'!BZ126</f>
        <v>0.79224984532387766</v>
      </c>
      <c r="BT56" s="1142">
        <f>'Recycling - Case 2'!CA126</f>
        <v>1.0007674916723419</v>
      </c>
      <c r="BU56" s="1102">
        <f>'Recycling - Case 3'!BV126</f>
        <v>76.614854947901634</v>
      </c>
      <c r="BV56" s="417">
        <f>'Recycling - Case 3'!BW126</f>
        <v>0.79224984532387766</v>
      </c>
      <c r="BW56" s="1142">
        <f>'Recycling - Case 3'!BX126</f>
        <v>1.0007674916723419</v>
      </c>
      <c r="BX56" s="1101">
        <f>'Recycling - Case 3'!BY126</f>
        <v>76.614854947901634</v>
      </c>
      <c r="BY56" s="417">
        <f>'Recycling - Case 3'!BZ126</f>
        <v>0.79224984532387766</v>
      </c>
      <c r="BZ56" s="1142">
        <f>'Recycling - Case 3'!CA126</f>
        <v>1.0007674916723419</v>
      </c>
      <c r="CA56" s="596">
        <v>2046</v>
      </c>
      <c r="CB56" s="649">
        <f>'Recycling - Case 1'!CB126</f>
        <v>0.43911512246870943</v>
      </c>
      <c r="CC56" s="417">
        <f>'Recycling - Case 1'!CC126</f>
        <v>0.39328372106321474</v>
      </c>
      <c r="CD56" s="417">
        <f>'Recycling - Case 1'!CD126</f>
        <v>0.43911512246870943</v>
      </c>
      <c r="CE56" s="525">
        <f>'Recycling - Case 1'!CE126</f>
        <v>0.39328372106321474</v>
      </c>
      <c r="CF56" s="649">
        <f>'Recycling - Case 2'!CB126</f>
        <v>0.3872251791757082</v>
      </c>
      <c r="CG56" s="417">
        <f>'Recycling - Case 2'!CC126</f>
        <v>0.4263641724859798</v>
      </c>
      <c r="CH56" s="417">
        <f>'Recycling - Case 2'!CD126</f>
        <v>0.3872251791757082</v>
      </c>
      <c r="CI56" s="525">
        <f>'Recycling - Case 2'!CE126</f>
        <v>0.4263641724859798</v>
      </c>
      <c r="CJ56" s="649">
        <f>'Recycling - Case 3'!CB126</f>
        <v>0.3872251791757082</v>
      </c>
      <c r="CK56" s="417">
        <f>'Recycling - Case 3'!CC126</f>
        <v>0.4263641724859798</v>
      </c>
      <c r="CL56" s="417">
        <f>'Recycling - Case 3'!CD126</f>
        <v>0.3872251791757082</v>
      </c>
      <c r="CM56" s="525">
        <f>'Recycling - Case 3'!CE126</f>
        <v>0.4263641724859798</v>
      </c>
    </row>
    <row r="57" spans="1:91">
      <c r="A57" s="4">
        <f>'Input data'!A146</f>
        <v>2046</v>
      </c>
      <c r="B57" s="4"/>
      <c r="C57" s="769">
        <f>'4A SWD Case 1'!BG116</f>
        <v>373.64403107809568</v>
      </c>
      <c r="D57" s="3">
        <f>'4B Biological treatment '!T110</f>
        <v>0.92495704097334119</v>
      </c>
      <c r="E57" s="1157">
        <f>'4B Biological treatment '!U110</f>
        <v>41.623066843800345</v>
      </c>
      <c r="F57" s="1157">
        <f>'4B Biological treatment '!W110</f>
        <v>2.497384010628021</v>
      </c>
      <c r="G57" s="952">
        <f>'4C2 Open-burning '!R117</f>
        <v>9.01462966087586</v>
      </c>
      <c r="H57" s="952">
        <f>'4C2 Open-burning '!Z117</f>
        <v>3.033146894638965</v>
      </c>
      <c r="I57" s="952">
        <f>'4C2 Open-burning '!AH117</f>
        <v>4.2226524155999548E-2</v>
      </c>
      <c r="J57" s="987">
        <f>'4D Wastewater treatment and dis'!AV154</f>
        <v>244.30006504222655</v>
      </c>
      <c r="K57" s="770">
        <f>'4D Wastewater treatment and dis'!AW154</f>
        <v>3.9831806052294589</v>
      </c>
      <c r="L57" s="771">
        <f t="shared" si="69"/>
        <v>7846.5246526400097</v>
      </c>
      <c r="M57" s="772">
        <f t="shared" si="70"/>
        <v>19.424097860440163</v>
      </c>
      <c r="N57" s="771">
        <f t="shared" si="71"/>
        <v>1648.2734470144937</v>
      </c>
      <c r="O57" s="773">
        <f t="shared" si="72"/>
        <v>85.800936936653983</v>
      </c>
      <c r="P57" s="771">
        <f t="shared" si="73"/>
        <v>6365.0873535078899</v>
      </c>
      <c r="Q57" s="519">
        <f t="shared" si="74"/>
        <v>7846.5246526400097</v>
      </c>
      <c r="R57" s="521">
        <f t="shared" si="75"/>
        <v>1667.697544874934</v>
      </c>
      <c r="S57" s="518">
        <f t="shared" si="76"/>
        <v>85.800936936653983</v>
      </c>
      <c r="T57" s="519">
        <f t="shared" si="77"/>
        <v>6365.0873535078899</v>
      </c>
      <c r="U57" s="519">
        <f t="shared" si="78"/>
        <v>15965.110487959488</v>
      </c>
      <c r="V57" s="3"/>
      <c r="W57" s="596">
        <f t="shared" si="79"/>
        <v>2047</v>
      </c>
      <c r="X57" s="1101">
        <f t="shared" si="80"/>
        <v>7655.1251024448038</v>
      </c>
      <c r="Y57" s="1102">
        <f t="shared" si="81"/>
        <v>1679.0809856895848</v>
      </c>
      <c r="Z57" s="1102">
        <f t="shared" si="82"/>
        <v>79.684525283971482</v>
      </c>
      <c r="AA57" s="1102">
        <f t="shared" si="83"/>
        <v>6452.8764543441694</v>
      </c>
      <c r="AB57" s="1142">
        <f t="shared" si="22"/>
        <v>15866.767067762532</v>
      </c>
      <c r="AC57" s="1423" t="str">
        <f>IF(OR('Recycling - Case 1'!AC127="No",'Recycling - Case 1'!T167="No"), "No", "Yes")</f>
        <v>Yes</v>
      </c>
      <c r="AD57" s="1101">
        <f t="shared" si="84"/>
        <v>7655.1251024448038</v>
      </c>
      <c r="AE57" s="1102">
        <f t="shared" si="85"/>
        <v>1679.0809856895848</v>
      </c>
      <c r="AF57" s="1102">
        <f t="shared" si="86"/>
        <v>79.684525283971482</v>
      </c>
      <c r="AG57" s="1102">
        <f t="shared" si="87"/>
        <v>6452.8764543441694</v>
      </c>
      <c r="AH57" s="1142">
        <f t="shared" si="60"/>
        <v>15866.767067762532</v>
      </c>
      <c r="AI57" s="1423" t="str">
        <f>IF(OR('Recycling - Case 1'!AI38="No",'Recycling - Case 1'!Z167="No"), "No", "Yes")</f>
        <v>Yes</v>
      </c>
      <c r="AJ57" s="1101">
        <f t="shared" si="88"/>
        <v>6479.9093712393687</v>
      </c>
      <c r="AK57" s="1102">
        <f t="shared" si="89"/>
        <v>1679.0809856895848</v>
      </c>
      <c r="AL57" s="1102">
        <f t="shared" si="90"/>
        <v>93.327686648099942</v>
      </c>
      <c r="AM57" s="1102">
        <f t="shared" si="91"/>
        <v>6586.2672523957835</v>
      </c>
      <c r="AN57" s="1142">
        <f t="shared" si="92"/>
        <v>14838.585295972836</v>
      </c>
      <c r="AO57" s="1416" t="str">
        <f>IF(OR('Recycling - Case 2'!AC127="No",'Recycling - Case 2'!T167="No"), "No", "Yes")</f>
        <v>Yes</v>
      </c>
      <c r="AP57" s="1101">
        <f t="shared" si="93"/>
        <v>6479.9093712393687</v>
      </c>
      <c r="AQ57" s="1102">
        <f t="shared" si="94"/>
        <v>1679.0809856895848</v>
      </c>
      <c r="AR57" s="1102">
        <f t="shared" si="95"/>
        <v>93.327686648099942</v>
      </c>
      <c r="AS57" s="1102">
        <f t="shared" si="96"/>
        <v>6586.2672523957835</v>
      </c>
      <c r="AT57" s="1142">
        <f t="shared" si="37"/>
        <v>14838.585295972836</v>
      </c>
      <c r="AU57" s="1423" t="str">
        <f>IF(OR('Recycling - Case 2'!AC127="No",'Recycling - Case 2'!T207="No"), "No", "Yes")</f>
        <v>Yes</v>
      </c>
      <c r="AV57" s="1101">
        <f t="shared" si="63"/>
        <v>6481.5173609501117</v>
      </c>
      <c r="AW57" s="1102">
        <f t="shared" si="64"/>
        <v>1019.7413640211289</v>
      </c>
      <c r="AX57" s="1102">
        <f t="shared" si="65"/>
        <v>93.327686648099942</v>
      </c>
      <c r="AY57" s="1102">
        <f t="shared" si="66"/>
        <v>6586.2672523957835</v>
      </c>
      <c r="AZ57" s="1142">
        <f t="shared" si="67"/>
        <v>14180.853664015125</v>
      </c>
      <c r="BA57" s="1423" t="str">
        <f>IF(OR('Recycling - Case 3'!AC127="No",'Recycling - Case 3'!T167="No"), "No", "Yes")</f>
        <v>Yes</v>
      </c>
      <c r="BB57" s="1101">
        <f t="shared" si="97"/>
        <v>6481.5173609501117</v>
      </c>
      <c r="BC57" s="1102">
        <f t="shared" si="98"/>
        <v>1019.7413640211289</v>
      </c>
      <c r="BD57" s="1102">
        <f t="shared" si="99"/>
        <v>93.327686648099942</v>
      </c>
      <c r="BE57" s="1102">
        <f t="shared" si="100"/>
        <v>6586.2672523957835</v>
      </c>
      <c r="BF57" s="1142">
        <f t="shared" si="47"/>
        <v>14180.853664015125</v>
      </c>
      <c r="BG57" s="1423" t="str">
        <f>IF(OR('Recycling - Case 3'!AC127="No",'Recycling - Case 3'!T207="No"), "No", "Yes")</f>
        <v>Yes</v>
      </c>
      <c r="BH57" s="596">
        <f t="shared" si="48"/>
        <v>2047</v>
      </c>
      <c r="BI57" s="1102">
        <f>'Recycling - Case 1'!BV127</f>
        <v>77.722549518724932</v>
      </c>
      <c r="BJ57" s="417">
        <f>'Recycling - Case 1'!BW127</f>
        <v>0.76301720030371301</v>
      </c>
      <c r="BK57" s="1142">
        <f>'Recycling - Case 1'!BX127</f>
        <v>0.80365625440630728</v>
      </c>
      <c r="BL57" s="1101">
        <f>'Recycling - Case 1'!BY127</f>
        <v>77.722549518724932</v>
      </c>
      <c r="BM57" s="417">
        <f>'Recycling - Case 1'!BZ127</f>
        <v>0.76301720030371301</v>
      </c>
      <c r="BN57" s="1142">
        <f>'Recycling - Case 1'!CA127</f>
        <v>0.80365625440630728</v>
      </c>
      <c r="BO57" s="1102">
        <f>'Recycling - Case 2'!BV127</f>
        <v>77.353739495252753</v>
      </c>
      <c r="BP57" s="417">
        <f>'Recycling - Case 2'!BW127</f>
        <v>0.79423427917286327</v>
      </c>
      <c r="BQ57" s="1142">
        <f>'Recycling - Case 2'!BX127</f>
        <v>0.80365625440630728</v>
      </c>
      <c r="BR57" s="1101">
        <f>'Recycling - Case 2'!BY127</f>
        <v>77.353739495252753</v>
      </c>
      <c r="BS57" s="417">
        <f>'Recycling - Case 2'!BZ127</f>
        <v>0.79423427917286327</v>
      </c>
      <c r="BT57" s="1142">
        <f>'Recycling - Case 2'!CA127</f>
        <v>0.80365625440630728</v>
      </c>
      <c r="BU57" s="1102">
        <f>'Recycling - Case 3'!BV127</f>
        <v>77.353739495252753</v>
      </c>
      <c r="BV57" s="417">
        <f>'Recycling - Case 3'!BW127</f>
        <v>0.79423427917286327</v>
      </c>
      <c r="BW57" s="1142">
        <f>'Recycling - Case 3'!BX127</f>
        <v>0.80365625440630728</v>
      </c>
      <c r="BX57" s="1101">
        <f>'Recycling - Case 3'!BY127</f>
        <v>77.353739495252753</v>
      </c>
      <c r="BY57" s="417">
        <f>'Recycling - Case 3'!BZ127</f>
        <v>0.79423427917286327</v>
      </c>
      <c r="BZ57" s="1142">
        <f>'Recycling - Case 3'!CA127</f>
        <v>0.80365625440630728</v>
      </c>
      <c r="CA57" s="596">
        <v>2047</v>
      </c>
      <c r="CB57" s="649">
        <f>'Recycling - Case 1'!CB127</f>
        <v>0.44765067706899153</v>
      </c>
      <c r="CC57" s="417">
        <f>'Recycling - Case 1'!CC127</f>
        <v>0.40503475374428999</v>
      </c>
      <c r="CD57" s="417">
        <f>'Recycling - Case 1'!CD127</f>
        <v>0.44765067706899153</v>
      </c>
      <c r="CE57" s="525">
        <f>'Recycling - Case 1'!CE127</f>
        <v>0.40503475374428999</v>
      </c>
      <c r="CF57" s="649">
        <f>'Recycling - Case 2'!CB127</f>
        <v>0.38919234989754214</v>
      </c>
      <c r="CG57" s="417">
        <f>'Recycling - Case 2'!CC127</f>
        <v>0.42861248580170164</v>
      </c>
      <c r="CH57" s="417">
        <f>'Recycling - Case 2'!CD127</f>
        <v>0.38919234989754214</v>
      </c>
      <c r="CI57" s="525">
        <f>'Recycling - Case 2'!CE127</f>
        <v>0.42861248580170164</v>
      </c>
      <c r="CJ57" s="649">
        <f>'Recycling - Case 3'!CB127</f>
        <v>0.38919234989754214</v>
      </c>
      <c r="CK57" s="417">
        <f>'Recycling - Case 3'!CC127</f>
        <v>0.42861248580170164</v>
      </c>
      <c r="CL57" s="417">
        <f>'Recycling - Case 3'!CD127</f>
        <v>0.38919234989754214</v>
      </c>
      <c r="CM57" s="525">
        <f>'Recycling - Case 3'!CE127</f>
        <v>0.42861248580170164</v>
      </c>
    </row>
    <row r="58" spans="1:91">
      <c r="A58" s="4">
        <f>'Input data'!A147</f>
        <v>2047</v>
      </c>
      <c r="B58" s="4"/>
      <c r="C58" s="769">
        <f>'4A SWD Case 1'!BG117</f>
        <v>364.5297667830859</v>
      </c>
      <c r="D58" s="3">
        <f>'4B Biological treatment '!T111</f>
        <v>0.93127065207409054</v>
      </c>
      <c r="E58" s="1157">
        <f>'4B Biological treatment '!U111</f>
        <v>41.907179343334064</v>
      </c>
      <c r="F58" s="1157">
        <f>'4B Biological treatment '!W111</f>
        <v>2.5144307606000442</v>
      </c>
      <c r="G58" s="952">
        <f>'4C2 Open-burning '!R118</f>
        <v>8.3720121339471554</v>
      </c>
      <c r="H58" s="952">
        <f>'4C2 Open-burning '!Z118</f>
        <v>2.8169257708024706</v>
      </c>
      <c r="I58" s="952">
        <f>'4C2 Open-burning '!AH118</f>
        <v>3.9216361171524022E-2</v>
      </c>
      <c r="J58" s="987">
        <f>'4D Wastewater treatment and dis'!AV155</f>
        <v>248.08026658246831</v>
      </c>
      <c r="K58" s="770">
        <f>'4D Wastewater treatment and dis'!AW155</f>
        <v>4.0102930842333384</v>
      </c>
      <c r="L58" s="771">
        <f t="shared" si="69"/>
        <v>7655.1251024448038</v>
      </c>
      <c r="M58" s="772">
        <f t="shared" si="70"/>
        <v>19.5566836935559</v>
      </c>
      <c r="N58" s="771">
        <f t="shared" si="71"/>
        <v>1659.524301996029</v>
      </c>
      <c r="O58" s="773">
        <f t="shared" si="72"/>
        <v>79.684525283971482</v>
      </c>
      <c r="P58" s="771">
        <f t="shared" si="73"/>
        <v>6452.8764543441694</v>
      </c>
      <c r="Q58" s="519">
        <f t="shared" si="74"/>
        <v>7655.1251024448038</v>
      </c>
      <c r="R58" s="521">
        <f t="shared" si="75"/>
        <v>1679.0809856895848</v>
      </c>
      <c r="S58" s="518">
        <f t="shared" si="76"/>
        <v>79.684525283971482</v>
      </c>
      <c r="T58" s="519">
        <f t="shared" si="77"/>
        <v>6452.8764543441694</v>
      </c>
      <c r="U58" s="519">
        <f t="shared" si="78"/>
        <v>15866.767067762532</v>
      </c>
      <c r="V58" s="3"/>
      <c r="W58" s="596">
        <f t="shared" si="79"/>
        <v>2048</v>
      </c>
      <c r="X58" s="1101">
        <f t="shared" si="80"/>
        <v>7464.0052723889276</v>
      </c>
      <c r="Y58" s="1102">
        <f t="shared" si="81"/>
        <v>1689.6857163410402</v>
      </c>
      <c r="Z58" s="1102">
        <f t="shared" si="82"/>
        <v>79.559700619855903</v>
      </c>
      <c r="AA58" s="1102">
        <f t="shared" si="83"/>
        <v>6540.1231614610388</v>
      </c>
      <c r="AB58" s="1142">
        <f t="shared" si="22"/>
        <v>15773.373850810864</v>
      </c>
      <c r="AC58" s="1423" t="str">
        <f>IF(OR('Recycling - Case 1'!AC128="No",'Recycling - Case 1'!T168="No"), "No", "Yes")</f>
        <v>Yes</v>
      </c>
      <c r="AD58" s="1101">
        <f t="shared" si="84"/>
        <v>7464.0052723889276</v>
      </c>
      <c r="AE58" s="1102">
        <f t="shared" si="85"/>
        <v>1689.6857163410402</v>
      </c>
      <c r="AF58" s="1102">
        <f t="shared" si="86"/>
        <v>79.559700619855903</v>
      </c>
      <c r="AG58" s="1102">
        <f t="shared" si="87"/>
        <v>6540.1231614610388</v>
      </c>
      <c r="AH58" s="1142">
        <f t="shared" si="60"/>
        <v>15773.373850810864</v>
      </c>
      <c r="AI58" s="1423" t="str">
        <f>IF(OR('Recycling - Case 1'!AI39="No",'Recycling - Case 1'!Z168="No"), "No", "Yes")</f>
        <v>Yes</v>
      </c>
      <c r="AJ58" s="1101">
        <f t="shared" si="88"/>
        <v>6338.5586986930202</v>
      </c>
      <c r="AK58" s="1102">
        <f t="shared" si="89"/>
        <v>1689.6857163410402</v>
      </c>
      <c r="AL58" s="1102">
        <f t="shared" si="90"/>
        <v>93.156505094315065</v>
      </c>
      <c r="AM58" s="1102">
        <f t="shared" si="91"/>
        <v>6629.6359200826273</v>
      </c>
      <c r="AN58" s="1142">
        <f t="shared" si="92"/>
        <v>14751.036840211003</v>
      </c>
      <c r="AO58" s="1416" t="str">
        <f>IF(OR('Recycling - Case 2'!AC128="No",'Recycling - Case 2'!T168="No"), "No", "Yes")</f>
        <v>Yes</v>
      </c>
      <c r="AP58" s="1101">
        <f t="shared" si="93"/>
        <v>6338.5586986930202</v>
      </c>
      <c r="AQ58" s="1102">
        <f t="shared" si="94"/>
        <v>1689.6857163410402</v>
      </c>
      <c r="AR58" s="1102">
        <f t="shared" si="95"/>
        <v>93.156505094315065</v>
      </c>
      <c r="AS58" s="1102">
        <f t="shared" si="96"/>
        <v>6629.6359200826273</v>
      </c>
      <c r="AT58" s="1142">
        <f t="shared" si="37"/>
        <v>14751.036840211003</v>
      </c>
      <c r="AU58" s="1423" t="str">
        <f>IF(OR('Recycling - Case 2'!AC128="No",'Recycling - Case 2'!T208="No"), "No", "Yes")</f>
        <v>Yes</v>
      </c>
      <c r="AV58" s="1101">
        <f t="shared" si="63"/>
        <v>6340.209495790923</v>
      </c>
      <c r="AW58" s="1102">
        <f t="shared" si="64"/>
        <v>1026.1818410390676</v>
      </c>
      <c r="AX58" s="1102">
        <f t="shared" si="65"/>
        <v>93.156505094315065</v>
      </c>
      <c r="AY58" s="1102">
        <f t="shared" si="66"/>
        <v>6629.6359200826273</v>
      </c>
      <c r="AZ58" s="1142">
        <f t="shared" si="67"/>
        <v>14089.183762006935</v>
      </c>
      <c r="BA58" s="1423" t="str">
        <f>IF(OR('Recycling - Case 3'!AC128="No",'Recycling - Case 3'!T168="No"), "No", "Yes")</f>
        <v>Yes</v>
      </c>
      <c r="BB58" s="1101">
        <f t="shared" si="97"/>
        <v>6340.209495790923</v>
      </c>
      <c r="BC58" s="1102">
        <f t="shared" si="98"/>
        <v>1026.1818410390676</v>
      </c>
      <c r="BD58" s="1102">
        <f t="shared" si="99"/>
        <v>93.156505094315065</v>
      </c>
      <c r="BE58" s="1102">
        <f t="shared" si="100"/>
        <v>6629.6359200826273</v>
      </c>
      <c r="BF58" s="1142">
        <f t="shared" si="47"/>
        <v>14089.183762006935</v>
      </c>
      <c r="BG58" s="1423" t="str">
        <f>IF(OR('Recycling - Case 3'!AC128="No",'Recycling - Case 3'!T208="No"), "No", "Yes")</f>
        <v>Yes</v>
      </c>
      <c r="BH58" s="596">
        <f t="shared" si="48"/>
        <v>2048</v>
      </c>
      <c r="BI58" s="1102">
        <f>'Recycling - Case 1'!BV128</f>
        <v>77.555161900256749</v>
      </c>
      <c r="BJ58" s="417">
        <f>'Recycling - Case 1'!BW128</f>
        <v>0.77386716451883131</v>
      </c>
      <c r="BK58" s="1142">
        <f>'Recycling - Case 1'!BX128</f>
        <v>0.60654501714027242</v>
      </c>
      <c r="BL58" s="1101">
        <f>'Recycling - Case 1'!BY128</f>
        <v>77.555161900256749</v>
      </c>
      <c r="BM58" s="417">
        <f>'Recycling - Case 1'!BZ128</f>
        <v>0.77386716451883131</v>
      </c>
      <c r="BN58" s="1142">
        <f>'Recycling - Case 1'!CA128</f>
        <v>0.60654501714027242</v>
      </c>
      <c r="BO58" s="1102">
        <f>'Recycling - Case 2'!BV128</f>
        <v>78.039822964946168</v>
      </c>
      <c r="BP58" s="417">
        <f>'Recycling - Case 2'!BW128</f>
        <v>0.79604325892609074</v>
      </c>
      <c r="BQ58" s="1142">
        <f>'Recycling - Case 2'!BX128</f>
        <v>0.60654501714027242</v>
      </c>
      <c r="BR58" s="1101">
        <f>'Recycling - Case 2'!BY128</f>
        <v>78.039822964946168</v>
      </c>
      <c r="BS58" s="417">
        <f>'Recycling - Case 2'!BZ128</f>
        <v>0.79604325892609074</v>
      </c>
      <c r="BT58" s="1142">
        <f>'Recycling - Case 2'!CA128</f>
        <v>0.60654501714027242</v>
      </c>
      <c r="BU58" s="1102">
        <f>'Recycling - Case 3'!BV128</f>
        <v>78.039822964946168</v>
      </c>
      <c r="BV58" s="417">
        <f>'Recycling - Case 3'!BW128</f>
        <v>0.79604325892609074</v>
      </c>
      <c r="BW58" s="1142">
        <f>'Recycling - Case 3'!BX128</f>
        <v>0.60654501714027242</v>
      </c>
      <c r="BX58" s="1101">
        <f>'Recycling - Case 3'!BY128</f>
        <v>78.039822964946168</v>
      </c>
      <c r="BY58" s="417">
        <f>'Recycling - Case 3'!BZ128</f>
        <v>0.79604325892609074</v>
      </c>
      <c r="BZ58" s="1142">
        <f>'Recycling - Case 3'!CA128</f>
        <v>0.60654501714027242</v>
      </c>
      <c r="CA58" s="596">
        <v>2048</v>
      </c>
      <c r="CB58" s="649">
        <f>'Recycling - Case 1'!CB128</f>
        <v>0.44950409890217113</v>
      </c>
      <c r="CC58" s="417">
        <f>'Recycling - Case 1'!CC128</f>
        <v>0.41573465984150493</v>
      </c>
      <c r="CD58" s="417">
        <f>'Recycling - Case 1'!CD128</f>
        <v>0.44950409890217113</v>
      </c>
      <c r="CE58" s="525">
        <f>'Recycling - Case 1'!CE128</f>
        <v>0.41573465984150493</v>
      </c>
      <c r="CF58" s="649">
        <f>'Recycling - Case 2'!CB128</f>
        <v>0.39108211677109073</v>
      </c>
      <c r="CG58" s="417">
        <f>'Recycling - Case 2'!CC128</f>
        <v>0.43062211484013102</v>
      </c>
      <c r="CH58" s="417">
        <f>'Recycling - Case 2'!CD128</f>
        <v>0.39108211677109073</v>
      </c>
      <c r="CI58" s="525">
        <f>'Recycling - Case 2'!CE128</f>
        <v>0.43062211484013102</v>
      </c>
      <c r="CJ58" s="649">
        <f>'Recycling - Case 3'!CB128</f>
        <v>0.39108211677109073</v>
      </c>
      <c r="CK58" s="417">
        <f>'Recycling - Case 3'!CC128</f>
        <v>0.43062211484013102</v>
      </c>
      <c r="CL58" s="417">
        <f>'Recycling - Case 3'!CD128</f>
        <v>0.39108211677109073</v>
      </c>
      <c r="CM58" s="525">
        <f>'Recycling - Case 3'!CE128</f>
        <v>0.43062211484013102</v>
      </c>
    </row>
    <row r="59" spans="1:91">
      <c r="A59" s="4">
        <f>'Input data'!A148</f>
        <v>2048</v>
      </c>
      <c r="B59" s="4"/>
      <c r="C59" s="769">
        <f>'4A SWD Case 1'!BG118</f>
        <v>355.42882249471086</v>
      </c>
      <c r="D59" s="3">
        <f>'4B Biological treatment '!T112</f>
        <v>0.93715236624572396</v>
      </c>
      <c r="E59" s="1157">
        <f>'4B Biological treatment '!U112</f>
        <v>42.171856481057574</v>
      </c>
      <c r="F59" s="1157">
        <f>'4B Biological treatment '!W112</f>
        <v>2.5303113888634545</v>
      </c>
      <c r="G59" s="952">
        <f>'4C2 Open-burning '!R119</f>
        <v>8.3588974972110091</v>
      </c>
      <c r="H59" s="952">
        <f>'4C2 Open-burning '!Z119</f>
        <v>2.8125130970502479</v>
      </c>
      <c r="I59" s="952">
        <f>'4C2 Open-burning '!AH119</f>
        <v>3.9154929305128053E-2</v>
      </c>
      <c r="J59" s="987">
        <f>'4D Wastewater treatment and dis'!AV156</f>
        <v>251.84505964787294</v>
      </c>
      <c r="K59" s="770">
        <f>'4D Wastewater treatment and dis'!AW156</f>
        <v>4.0366997059861536</v>
      </c>
      <c r="L59" s="771">
        <f t="shared" si="69"/>
        <v>7464.0052723889276</v>
      </c>
      <c r="M59" s="772">
        <f t="shared" si="70"/>
        <v>19.680199691160205</v>
      </c>
      <c r="N59" s="771">
        <f t="shared" si="71"/>
        <v>1670.0055166498801</v>
      </c>
      <c r="O59" s="773">
        <f t="shared" si="72"/>
        <v>79.559700619855903</v>
      </c>
      <c r="P59" s="771">
        <f t="shared" si="73"/>
        <v>6540.1231614610388</v>
      </c>
      <c r="Q59" s="519">
        <f t="shared" si="74"/>
        <v>7464.0052723889276</v>
      </c>
      <c r="R59" s="521">
        <f t="shared" si="75"/>
        <v>1689.6857163410402</v>
      </c>
      <c r="S59" s="518">
        <f t="shared" si="76"/>
        <v>79.559700619855903</v>
      </c>
      <c r="T59" s="519">
        <f t="shared" si="77"/>
        <v>6540.1231614610388</v>
      </c>
      <c r="U59" s="519">
        <f t="shared" si="78"/>
        <v>15773.373850810864</v>
      </c>
      <c r="V59" s="3"/>
      <c r="W59" s="596">
        <f t="shared" si="79"/>
        <v>2049</v>
      </c>
      <c r="X59" s="1101">
        <f t="shared" si="80"/>
        <v>7279.2826589138649</v>
      </c>
      <c r="Y59" s="1102">
        <f t="shared" si="81"/>
        <v>1700.2520212140498</v>
      </c>
      <c r="Z59" s="1102">
        <f t="shared" si="82"/>
        <v>79.440214971717197</v>
      </c>
      <c r="AA59" s="1102">
        <f t="shared" si="83"/>
        <v>6626.7770307919509</v>
      </c>
      <c r="AB59" s="1142">
        <f t="shared" si="22"/>
        <v>15685.751925891584</v>
      </c>
      <c r="AC59" s="1423" t="str">
        <f>IF(OR('Recycling - Case 1'!AC129="No",'Recycling - Case 1'!T169="No"), "No", "Yes")</f>
        <v>Yes</v>
      </c>
      <c r="AD59" s="1101">
        <f t="shared" si="84"/>
        <v>7279.2826589138649</v>
      </c>
      <c r="AE59" s="1102">
        <f t="shared" si="85"/>
        <v>1700.2520212140498</v>
      </c>
      <c r="AF59" s="1102">
        <f t="shared" si="86"/>
        <v>79.440214971717197</v>
      </c>
      <c r="AG59" s="1102">
        <f t="shared" si="87"/>
        <v>6626.7770307919509</v>
      </c>
      <c r="AH59" s="1142">
        <f t="shared" si="60"/>
        <v>15685.751925891584</v>
      </c>
      <c r="AI59" s="1423" t="str">
        <f>IF(OR('Recycling - Case 1'!AI40="No",'Recycling - Case 1'!Z169="No"), "No", "Yes")</f>
        <v>Yes</v>
      </c>
      <c r="AJ59" s="1101">
        <f t="shared" si="88"/>
        <v>6205.2108191417083</v>
      </c>
      <c r="AK59" s="1102">
        <f t="shared" si="89"/>
        <v>1700.2520212140498</v>
      </c>
      <c r="AL59" s="1102">
        <f t="shared" si="90"/>
        <v>92.992731310372719</v>
      </c>
      <c r="AM59" s="1102">
        <f t="shared" si="91"/>
        <v>6671.8181806811444</v>
      </c>
      <c r="AN59" s="1142">
        <f t="shared" si="92"/>
        <v>14670.273752347275</v>
      </c>
      <c r="AO59" s="1416" t="str">
        <f>IF(OR('Recycling - Case 2'!AC129="No",'Recycling - Case 2'!T169="No"), "No", "Yes")</f>
        <v>Yes</v>
      </c>
      <c r="AP59" s="1101">
        <f t="shared" si="93"/>
        <v>6205.2108191417083</v>
      </c>
      <c r="AQ59" s="1102">
        <f t="shared" si="94"/>
        <v>1700.2520212140498</v>
      </c>
      <c r="AR59" s="1102">
        <f t="shared" si="95"/>
        <v>92.992731310372719</v>
      </c>
      <c r="AS59" s="1102">
        <f t="shared" si="96"/>
        <v>6671.8181806811444</v>
      </c>
      <c r="AT59" s="1142">
        <f t="shared" si="37"/>
        <v>14670.273752347275</v>
      </c>
      <c r="AU59" s="1423" t="str">
        <f>IF(OR('Recycling - Case 2'!AC129="No",'Recycling - Case 2'!T209="No"), "No", "Yes")</f>
        <v>Yes</v>
      </c>
      <c r="AV59" s="1101">
        <f t="shared" si="63"/>
        <v>6206.9028291986224</v>
      </c>
      <c r="AW59" s="1102">
        <f t="shared" si="64"/>
        <v>1032.598981269764</v>
      </c>
      <c r="AX59" s="1102">
        <f t="shared" si="65"/>
        <v>92.992731310372719</v>
      </c>
      <c r="AY59" s="1102">
        <f t="shared" si="66"/>
        <v>6671.8181806811444</v>
      </c>
      <c r="AZ59" s="1142">
        <f t="shared" si="67"/>
        <v>14004.312722459903</v>
      </c>
      <c r="BA59" s="1423" t="str">
        <f>IF(OR('Recycling - Case 3'!AC129="No",'Recycling - Case 3'!T169="No"), "No", "Yes")</f>
        <v>Yes</v>
      </c>
      <c r="BB59" s="1101">
        <f t="shared" si="97"/>
        <v>6206.9028291986224</v>
      </c>
      <c r="BC59" s="1102">
        <f t="shared" si="98"/>
        <v>1032.598981269764</v>
      </c>
      <c r="BD59" s="1102">
        <f t="shared" si="99"/>
        <v>92.992731310372719</v>
      </c>
      <c r="BE59" s="1102">
        <f t="shared" si="100"/>
        <v>6671.8181806811444</v>
      </c>
      <c r="BF59" s="1142">
        <f t="shared" si="47"/>
        <v>14004.312722459903</v>
      </c>
      <c r="BG59" s="1423" t="str">
        <f>IF(OR('Recycling - Case 3'!AC129="No",'Recycling - Case 3'!T209="No"), "No", "Yes")</f>
        <v>Yes</v>
      </c>
      <c r="BH59" s="596">
        <f t="shared" si="48"/>
        <v>2049</v>
      </c>
      <c r="BI59" s="1102">
        <f>'Recycling - Case 1'!BV129</f>
        <v>77.431599559000702</v>
      </c>
      <c r="BJ59" s="417">
        <f>'Recycling - Case 1'!BW129</f>
        <v>0.78426655772638909</v>
      </c>
      <c r="BK59" s="1142">
        <f>'Recycling - Case 1'!BX129</f>
        <v>0.40943377987423757</v>
      </c>
      <c r="BL59" s="1101">
        <f>'Recycling - Case 1'!BY129</f>
        <v>77.431599559000702</v>
      </c>
      <c r="BM59" s="417">
        <f>'Recycling - Case 1'!BZ129</f>
        <v>0.78426655772638909</v>
      </c>
      <c r="BN59" s="1142">
        <f>'Recycling - Case 1'!CA129</f>
        <v>0.40943377987423757</v>
      </c>
      <c r="BO59" s="1102">
        <f>'Recycling - Case 2'!BV129</f>
        <v>78.721461841019334</v>
      </c>
      <c r="BP59" s="417">
        <f>'Recycling - Case 2'!BW129</f>
        <v>0.797809293759564</v>
      </c>
      <c r="BQ59" s="1142">
        <f>'Recycling - Case 2'!BX129</f>
        <v>0.40943377987423757</v>
      </c>
      <c r="BR59" s="1101">
        <f>'Recycling - Case 2'!BY129</f>
        <v>78.721461841019334</v>
      </c>
      <c r="BS59" s="417">
        <f>'Recycling - Case 2'!BZ129</f>
        <v>0.797809293759564</v>
      </c>
      <c r="BT59" s="1142">
        <f>'Recycling - Case 2'!CA129</f>
        <v>0.40943377987423757</v>
      </c>
      <c r="BU59" s="1102">
        <f>'Recycling - Case 3'!BV129</f>
        <v>78.721461841019334</v>
      </c>
      <c r="BV59" s="417">
        <f>'Recycling - Case 3'!BW129</f>
        <v>0.797809293759564</v>
      </c>
      <c r="BW59" s="1142">
        <f>'Recycling - Case 3'!BX129</f>
        <v>0.40943377987423757</v>
      </c>
      <c r="BX59" s="1101">
        <f>'Recycling - Case 3'!BY129</f>
        <v>78.721461841019334</v>
      </c>
      <c r="BY59" s="417">
        <f>'Recycling - Case 3'!BZ129</f>
        <v>0.797809293759564</v>
      </c>
      <c r="BZ59" s="1142">
        <f>'Recycling - Case 3'!CA129</f>
        <v>0.40943377987423757</v>
      </c>
      <c r="CA59" s="596">
        <v>2049</v>
      </c>
      <c r="CB59" s="649">
        <f>'Recycling - Case 1'!CB129</f>
        <v>0.45128319188420341</v>
      </c>
      <c r="CC59" s="417">
        <f>'Recycling - Case 1'!CC129</f>
        <v>0.42565713463836508</v>
      </c>
      <c r="CD59" s="417">
        <f>'Recycling - Case 1'!CD129</f>
        <v>0.45128319188420341</v>
      </c>
      <c r="CE59" s="525">
        <f>'Recycling - Case 1'!CE129</f>
        <v>0.42565713463836508</v>
      </c>
      <c r="CF59" s="649">
        <f>'Recycling - Case 2'!CB129</f>
        <v>0.39289589493308541</v>
      </c>
      <c r="CG59" s="417">
        <f>'Recycling - Case 2'!CC129</f>
        <v>0.43256734345557357</v>
      </c>
      <c r="CH59" s="417">
        <f>'Recycling - Case 2'!CD129</f>
        <v>0.39289589493308541</v>
      </c>
      <c r="CI59" s="525">
        <f>'Recycling - Case 2'!CE129</f>
        <v>0.43256734345557357</v>
      </c>
      <c r="CJ59" s="649">
        <f>'Recycling - Case 3'!CB129</f>
        <v>0.39289589493308541</v>
      </c>
      <c r="CK59" s="417">
        <f>'Recycling - Case 3'!CC129</f>
        <v>0.43256734345557357</v>
      </c>
      <c r="CL59" s="417">
        <f>'Recycling - Case 3'!CD129</f>
        <v>0.39289589493308541</v>
      </c>
      <c r="CM59" s="525">
        <f>'Recycling - Case 3'!CE129</f>
        <v>0.43256734345557357</v>
      </c>
    </row>
    <row r="60" spans="1:91" ht="15.75" thickBot="1">
      <c r="A60" s="4">
        <f>'Input data'!A149</f>
        <v>2049</v>
      </c>
      <c r="B60" s="4"/>
      <c r="C60" s="769">
        <f>'4A SWD Case 1'!BG119</f>
        <v>346.63250756732691</v>
      </c>
      <c r="D60" s="3">
        <f>'4B Biological treatment '!T113</f>
        <v>0.9430127682828896</v>
      </c>
      <c r="E60" s="1157">
        <f>'4B Biological treatment '!U113</f>
        <v>42.435574572730026</v>
      </c>
      <c r="F60" s="1157">
        <f>'4B Biological treatment '!W113</f>
        <v>2.5461344743638019</v>
      </c>
      <c r="G60" s="952">
        <f>'4C2 Open-burning '!R120</f>
        <v>8.3463438013398843</v>
      </c>
      <c r="H60" s="952">
        <f>'4C2 Open-burning '!Z120</f>
        <v>2.808289162725691</v>
      </c>
      <c r="I60" s="952">
        <f>'4C2 Open-burning '!AH120</f>
        <v>3.9096125010121927E-2</v>
      </c>
      <c r="J60" s="987">
        <f>'4D Wastewater treatment and dis'!AV157</f>
        <v>255.59228616473263</v>
      </c>
      <c r="K60" s="770">
        <f>'4D Wastewater treatment and dis'!AW157</f>
        <v>4.0623839397824701</v>
      </c>
      <c r="L60" s="771">
        <f t="shared" si="69"/>
        <v>7279.2826589138649</v>
      </c>
      <c r="M60" s="772">
        <f t="shared" si="70"/>
        <v>19.80326813394068</v>
      </c>
      <c r="N60" s="771">
        <f t="shared" si="71"/>
        <v>1680.4487530801091</v>
      </c>
      <c r="O60" s="773">
        <f t="shared" si="72"/>
        <v>79.440214971717197</v>
      </c>
      <c r="P60" s="771">
        <f t="shared" si="73"/>
        <v>6626.7770307919509</v>
      </c>
      <c r="Q60" s="519">
        <f t="shared" si="74"/>
        <v>7279.2826589138649</v>
      </c>
      <c r="R60" s="521">
        <f t="shared" si="75"/>
        <v>1700.2520212140498</v>
      </c>
      <c r="S60" s="518">
        <f t="shared" si="76"/>
        <v>79.440214971717197</v>
      </c>
      <c r="T60" s="519">
        <f t="shared" si="77"/>
        <v>6626.7770307919509</v>
      </c>
      <c r="U60" s="519">
        <f t="shared" si="78"/>
        <v>15685.751925891584</v>
      </c>
      <c r="V60" s="3"/>
      <c r="W60" s="1143">
        <f t="shared" si="79"/>
        <v>2050</v>
      </c>
      <c r="X60" s="1147">
        <f t="shared" si="80"/>
        <v>7100.8721680780745</v>
      </c>
      <c r="Y60" s="1144">
        <f t="shared" si="81"/>
        <v>1710.5830662190247</v>
      </c>
      <c r="Z60" s="1144">
        <f t="shared" si="82"/>
        <v>79.325939399174644</v>
      </c>
      <c r="AA60" s="1144">
        <f t="shared" si="83"/>
        <v>6712.7874905991393</v>
      </c>
      <c r="AB60" s="1145">
        <f t="shared" si="22"/>
        <v>15603.568664295413</v>
      </c>
      <c r="AC60" s="1423" t="str">
        <f>IF(OR('Recycling - Case 1'!AC130="No",'Recycling - Case 1'!T170="No"), "No", "Yes")</f>
        <v>Yes</v>
      </c>
      <c r="AD60" s="1147">
        <f t="shared" si="84"/>
        <v>7100.8721680780745</v>
      </c>
      <c r="AE60" s="1144">
        <f t="shared" si="85"/>
        <v>1710.5830662190247</v>
      </c>
      <c r="AF60" s="1144">
        <f t="shared" si="86"/>
        <v>79.325939399174644</v>
      </c>
      <c r="AG60" s="1144">
        <f t="shared" si="87"/>
        <v>6712.7874905991393</v>
      </c>
      <c r="AH60" s="1145">
        <f t="shared" si="60"/>
        <v>15603.568664295413</v>
      </c>
      <c r="AI60" s="1423" t="str">
        <f>IF(OR('Recycling - Case 1'!AI41="No",'Recycling - Case 1'!Z170="No"), "No", "Yes")</f>
        <v>Yes</v>
      </c>
      <c r="AJ60" s="1147">
        <f t="shared" si="88"/>
        <v>6079.4640546257178</v>
      </c>
      <c r="AK60" s="1144">
        <f t="shared" si="89"/>
        <v>1710.5830662190247</v>
      </c>
      <c r="AL60" s="1144">
        <f t="shared" si="90"/>
        <v>92.836177362248876</v>
      </c>
      <c r="AM60" s="1144">
        <f t="shared" si="91"/>
        <v>6712.7874905991393</v>
      </c>
      <c r="AN60" s="1145">
        <f t="shared" si="92"/>
        <v>14595.670788806132</v>
      </c>
      <c r="AO60" s="1416" t="str">
        <f>IF(OR('Recycling - Case 2'!AC130="No",'Recycling - Case 2'!T170="No"), "No", "Yes")</f>
        <v>Yes</v>
      </c>
      <c r="AP60" s="1147">
        <f t="shared" si="93"/>
        <v>6079.4640546257178</v>
      </c>
      <c r="AQ60" s="1144">
        <f t="shared" si="94"/>
        <v>1710.5830662190247</v>
      </c>
      <c r="AR60" s="1144">
        <f t="shared" si="95"/>
        <v>92.836177362248876</v>
      </c>
      <c r="AS60" s="1144">
        <f t="shared" si="96"/>
        <v>6712.7874905991393</v>
      </c>
      <c r="AT60" s="1145">
        <f t="shared" si="37"/>
        <v>14595.670788806132</v>
      </c>
      <c r="AU60" s="1423" t="str">
        <f>IF(OR('Recycling - Case 2'!AC130="No",'Recycling - Case 2'!T210="No"), "No", "Yes")</f>
        <v>Yes</v>
      </c>
      <c r="AV60" s="1147">
        <f t="shared" si="63"/>
        <v>6081.1957514866572</v>
      </c>
      <c r="AW60" s="1144">
        <f t="shared" si="64"/>
        <v>1038.8732432112213</v>
      </c>
      <c r="AX60" s="1144">
        <f t="shared" si="65"/>
        <v>92.836177362248833</v>
      </c>
      <c r="AY60" s="1144">
        <f t="shared" si="66"/>
        <v>6712.7874905991393</v>
      </c>
      <c r="AZ60" s="1145">
        <f t="shared" si="67"/>
        <v>13925.692662659267</v>
      </c>
      <c r="BA60" s="1423" t="str">
        <f>IF(OR('Recycling - Case 3'!AC130="No",'Recycling - Case 3'!T170="No"), "No", "Yes")</f>
        <v>Yes</v>
      </c>
      <c r="BB60" s="1147">
        <f t="shared" si="97"/>
        <v>6081.1957514866572</v>
      </c>
      <c r="BC60" s="1144">
        <f t="shared" si="98"/>
        <v>1038.8732432112213</v>
      </c>
      <c r="BD60" s="1144">
        <f t="shared" si="99"/>
        <v>92.836177362248833</v>
      </c>
      <c r="BE60" s="1144">
        <f t="shared" si="100"/>
        <v>6712.7874905991393</v>
      </c>
      <c r="BF60" s="1145">
        <f t="shared" si="47"/>
        <v>13925.692662659267</v>
      </c>
      <c r="BG60" s="1423" t="str">
        <f>IF(OR('Recycling - Case 3'!AC130="No",'Recycling - Case 3'!T210="No"), "No", "Yes")</f>
        <v>Yes</v>
      </c>
      <c r="BH60" s="1143">
        <f t="shared" si="48"/>
        <v>2050</v>
      </c>
      <c r="BI60" s="1144">
        <f>'Recycling - Case 1'!BV130</f>
        <v>77.336343948774115</v>
      </c>
      <c r="BJ60" s="651">
        <f>'Recycling - Case 1'!BW130</f>
        <v>0.79418799553728392</v>
      </c>
      <c r="BK60" s="1145">
        <f>'Recycling - Case 1'!BX130</f>
        <v>0.2123225426082028</v>
      </c>
      <c r="BL60" s="1147">
        <f>'Recycling - Case 1'!BY130</f>
        <v>77.336343948774115</v>
      </c>
      <c r="BM60" s="651">
        <f>'Recycling - Case 1'!BZ130</f>
        <v>0.79418799553728392</v>
      </c>
      <c r="BN60" s="1145">
        <f>'Recycling - Case 1'!CA130</f>
        <v>0.2123225426082028</v>
      </c>
      <c r="BO60" s="1144">
        <f>'Recycling - Case 2'!BV130</f>
        <v>79.385739550304635</v>
      </c>
      <c r="BP60" s="651">
        <f>'Recycling - Case 2'!BW130</f>
        <v>0.79950116915105129</v>
      </c>
      <c r="BQ60" s="1145">
        <f>'Recycling - Case 2'!BX130</f>
        <v>0.2123225426082028</v>
      </c>
      <c r="BR60" s="1147">
        <f>'Recycling - Case 2'!BY130</f>
        <v>79.385739550304635</v>
      </c>
      <c r="BS60" s="651">
        <f>'Recycling - Case 2'!BZ130</f>
        <v>0.79950116915105129</v>
      </c>
      <c r="BT60" s="1145">
        <f>'Recycling - Case 2'!CA130</f>
        <v>0.2123225426082028</v>
      </c>
      <c r="BU60" s="1144">
        <f>'Recycling - Case 3'!BV130</f>
        <v>79.385739550304635</v>
      </c>
      <c r="BV60" s="651">
        <f>'Recycling - Case 3'!BW130</f>
        <v>0.79950116915105118</v>
      </c>
      <c r="BW60" s="1145">
        <f>'Recycling - Case 3'!BX130</f>
        <v>0.2123225426082028</v>
      </c>
      <c r="BX60" s="1147">
        <f>'Recycling - Case 3'!BY130</f>
        <v>79.385739550304635</v>
      </c>
      <c r="BY60" s="651">
        <f>'Recycling - Case 3'!BZ130</f>
        <v>0.79950116915105118</v>
      </c>
      <c r="BZ60" s="1145">
        <f>'Recycling - Case 3'!CA130</f>
        <v>0.2123225426082028</v>
      </c>
      <c r="CA60" s="1143">
        <v>2050</v>
      </c>
      <c r="CB60" s="650">
        <f>'Recycling - Case 1'!CB130</f>
        <v>0.45298925543142243</v>
      </c>
      <c r="CC60" s="651">
        <f>'Recycling - Case 1'!CC130</f>
        <v>0.43482061258431981</v>
      </c>
      <c r="CD60" s="651">
        <f>'Recycling - Case 1'!CD130</f>
        <v>0.45298925543142243</v>
      </c>
      <c r="CE60" s="652">
        <f>'Recycling - Case 1'!CE130</f>
        <v>0.43482061258431981</v>
      </c>
      <c r="CF60" s="650">
        <f>'Recycling - Case 2'!CB130</f>
        <v>0.39463503494975127</v>
      </c>
      <c r="CG60" s="651">
        <f>'Recycling - Case 2'!CC130</f>
        <v>0.43441051931889274</v>
      </c>
      <c r="CH60" s="651">
        <f>'Recycling - Case 2'!CD130</f>
        <v>0.39463503494975127</v>
      </c>
      <c r="CI60" s="652">
        <f>'Recycling - Case 2'!CE130</f>
        <v>0.43441051931889274</v>
      </c>
      <c r="CJ60" s="650">
        <f>'Recycling - Case 3'!CB130</f>
        <v>0.39463503494975138</v>
      </c>
      <c r="CK60" s="651">
        <f>'Recycling - Case 3'!CC130</f>
        <v>0.43441051931889274</v>
      </c>
      <c r="CL60" s="651">
        <f>'Recycling - Case 3'!CD130</f>
        <v>0.39463503494975138</v>
      </c>
      <c r="CM60" s="652">
        <f>'Recycling - Case 3'!CE130</f>
        <v>0.43441051931889274</v>
      </c>
    </row>
    <row r="61" spans="1:91">
      <c r="A61" s="4">
        <f>'Input data'!A150</f>
        <v>2050</v>
      </c>
      <c r="B61" s="4"/>
      <c r="C61" s="769">
        <f>'4A SWD Case 1'!BG120</f>
        <v>338.13676990847972</v>
      </c>
      <c r="D61" s="3">
        <f>'4B Biological treatment '!T114</f>
        <v>0.94874268786412896</v>
      </c>
      <c r="E61" s="1157">
        <f>'4B Biological treatment '!U114</f>
        <v>42.693420953885806</v>
      </c>
      <c r="F61" s="1157">
        <f>'4B Biological treatment '!W114</f>
        <v>2.5616052572331478</v>
      </c>
      <c r="G61" s="952">
        <f>'4C2 Open-burning '!R121</f>
        <v>8.3343374992814816</v>
      </c>
      <c r="H61" s="952">
        <f>'4C2 Open-burning '!Z121</f>
        <v>2.8042494096604482</v>
      </c>
      <c r="I61" s="952">
        <f>'4C2 Open-burning '!AH121</f>
        <v>3.9039884829108862E-2</v>
      </c>
      <c r="J61" s="987">
        <f>'4D Wastewater treatment and dis'!AV158</f>
        <v>259.3197765377094</v>
      </c>
      <c r="K61" s="770">
        <f>'4D Wastewater treatment and dis'!AW158</f>
        <v>4.0873296235717493</v>
      </c>
      <c r="L61" s="771">
        <f t="shared" si="69"/>
        <v>7100.8721680780745</v>
      </c>
      <c r="M61" s="772">
        <f t="shared" si="70"/>
        <v>19.923596445146707</v>
      </c>
      <c r="N61" s="771">
        <f t="shared" si="71"/>
        <v>1690.6594697738778</v>
      </c>
      <c r="O61" s="773">
        <f t="shared" si="72"/>
        <v>79.325939399174644</v>
      </c>
      <c r="P61" s="771">
        <f t="shared" si="73"/>
        <v>6712.7874905991393</v>
      </c>
      <c r="Q61" s="471">
        <f t="shared" si="74"/>
        <v>7100.8721680780745</v>
      </c>
      <c r="R61" s="517">
        <f t="shared" si="75"/>
        <v>1710.5830662190247</v>
      </c>
      <c r="S61" s="514">
        <f t="shared" si="76"/>
        <v>79.325939399174644</v>
      </c>
      <c r="T61" s="471">
        <f t="shared" si="77"/>
        <v>6712.7874905991393</v>
      </c>
      <c r="U61" s="471">
        <f t="shared" si="78"/>
        <v>15603.568664295413</v>
      </c>
      <c r="AJ61" s="53"/>
      <c r="AK61" s="53"/>
      <c r="AL61" s="53"/>
      <c r="AM61" s="53"/>
      <c r="AN61" s="53"/>
      <c r="AP61" s="519"/>
      <c r="AQ61" s="519"/>
      <c r="AR61" s="519"/>
      <c r="AS61" s="519"/>
      <c r="AT61" s="519"/>
      <c r="AU61" s="1417"/>
      <c r="AV61" s="519"/>
      <c r="AW61" s="519"/>
      <c r="AX61" s="519"/>
      <c r="AY61" s="519"/>
      <c r="AZ61" s="519"/>
      <c r="BA61" s="1425"/>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7"/>
      <c r="AV62" s="519"/>
      <c r="AW62" s="519"/>
      <c r="AX62" s="519"/>
      <c r="AY62" s="519"/>
      <c r="AZ62" s="519"/>
      <c r="BB62" s="519"/>
      <c r="BC62" s="519"/>
      <c r="BD62" s="519"/>
      <c r="BE62" s="519"/>
      <c r="BF62" s="519"/>
    </row>
    <row r="63" spans="1:91">
      <c r="A63" s="4">
        <f>'Input data'!A118</f>
        <v>2018</v>
      </c>
      <c r="B63" s="4"/>
      <c r="C63" s="769">
        <f>'4A SWD Case 1'!BN88</f>
        <v>820.5169947820342</v>
      </c>
      <c r="D63" s="3">
        <f>'4B Biological treatment '!T116</f>
        <v>0.32115863087580998</v>
      </c>
      <c r="E63" s="1157">
        <f>'4B Biological treatment '!U116</f>
        <v>20.384176057159792</v>
      </c>
      <c r="F63" s="1157">
        <f>'4B Biological treatment '!W116</f>
        <v>1.2230505634295874</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17230.856890422718</v>
      </c>
      <c r="M63" s="772">
        <f t="shared" ref="M63:M95" si="102">D63*$B$3</f>
        <v>6.7443312483920099</v>
      </c>
      <c r="N63" s="771">
        <f t="shared" ref="N63:N95" si="103">E63*$B$3+F63*$C$3</f>
        <v>807.21337186352775</v>
      </c>
      <c r="O63" s="773">
        <f t="shared" ref="O63:O95" si="104">G63+H63*$B$3+I63*$C$3</f>
        <v>313.05069559326625</v>
      </c>
      <c r="P63" s="771">
        <f t="shared" ref="P63:P95" si="105">J63*$B$3+K63*$C$3</f>
        <v>3728.7332486308678</v>
      </c>
      <c r="Q63" s="471">
        <f t="shared" ref="Q63:Q95" si="106">L63</f>
        <v>17230.856890422718</v>
      </c>
      <c r="R63" s="517">
        <f t="shared" ref="R63:R95" si="107">M63+N63</f>
        <v>813.95770311191973</v>
      </c>
      <c r="S63" s="514">
        <f t="shared" ref="S63:S95" si="108">O63</f>
        <v>313.05069559326625</v>
      </c>
      <c r="T63" s="471">
        <f t="shared" ref="T63:T95" si="109">P63</f>
        <v>3728.7332486308678</v>
      </c>
      <c r="U63" s="471">
        <f t="shared" ref="U63:U95" si="110">SUM(Q63:T63)</f>
        <v>22086.598537758771</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801.61949135232783</v>
      </c>
      <c r="D64" s="3">
        <f>'4B Biological treatment '!T117</f>
        <v>0.42961305766478691</v>
      </c>
      <c r="E64" s="1157">
        <f>'4B Biological treatment '!U117</f>
        <v>24.145634102162916</v>
      </c>
      <c r="F64" s="1157">
        <f>'4B Biological treatment '!W117</f>
        <v>1.448738046129775</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16834.009318398883</v>
      </c>
      <c r="M64" s="772">
        <f t="shared" si="102"/>
        <v>9.0218742109605259</v>
      </c>
      <c r="N64" s="771">
        <f t="shared" si="103"/>
        <v>956.16711044565147</v>
      </c>
      <c r="O64" s="773">
        <f t="shared" si="104"/>
        <v>304.9221239283998</v>
      </c>
      <c r="P64" s="771">
        <f t="shared" si="105"/>
        <v>3821.6612855587077</v>
      </c>
      <c r="Q64" s="519">
        <f t="shared" si="106"/>
        <v>16834.009318398883</v>
      </c>
      <c r="R64" s="521">
        <f t="shared" si="107"/>
        <v>965.18898465661198</v>
      </c>
      <c r="S64" s="518">
        <f t="shared" si="108"/>
        <v>304.9221239283998</v>
      </c>
      <c r="T64" s="519">
        <f t="shared" si="109"/>
        <v>3821.6612855587077</v>
      </c>
      <c r="U64" s="519">
        <f t="shared" si="110"/>
        <v>21925.781712542605</v>
      </c>
      <c r="X64" s="104"/>
      <c r="Y64" s="1400"/>
      <c r="Z64" s="1400"/>
      <c r="AA64" s="1398"/>
      <c r="AB64" s="1141"/>
      <c r="AC64" s="1401"/>
      <c r="AD64" s="1401"/>
      <c r="AE64" s="1141"/>
      <c r="AF64" s="1141"/>
      <c r="AG64" s="1141"/>
      <c r="AH64" s="1402"/>
      <c r="AI64" s="1421"/>
      <c r="AJ64" s="529"/>
      <c r="AK64" s="529"/>
      <c r="AL64" s="529"/>
      <c r="AM64" s="529"/>
      <c r="AN64" s="529"/>
      <c r="AO64" s="1420"/>
      <c r="AP64" s="529"/>
      <c r="AQ64" s="104"/>
    </row>
    <row r="65" spans="1:43">
      <c r="A65" s="4">
        <f>'Input data'!A120</f>
        <v>2020</v>
      </c>
      <c r="B65" s="4"/>
      <c r="C65" s="769">
        <f>'4A SWD Case 1'!BN90</f>
        <v>780.96087601033639</v>
      </c>
      <c r="D65" s="3">
        <f>'4B Biological treatment '!T118</f>
        <v>0.47497175708801948</v>
      </c>
      <c r="E65" s="1157">
        <f>'4B Biological treatment '!U118</f>
        <v>24.825105578083381</v>
      </c>
      <c r="F65" s="1157">
        <f>'4B Biological treatment '!W118</f>
        <v>1.4895063346850028</v>
      </c>
      <c r="G65" s="952">
        <f>'4C2 Open-burning '!R91</f>
        <v>31.203190244355365</v>
      </c>
      <c r="H65" s="952">
        <f>'4C2 Open-burning '!Z91</f>
        <v>10.498918219930484</v>
      </c>
      <c r="I65" s="952">
        <f>'4C2 Open-burning '!AH91</f>
        <v>0.14616266182470142</v>
      </c>
      <c r="J65" s="987">
        <f>'4D Wastewater treatment and dis'!AV128</f>
        <v>142.18130252934324</v>
      </c>
      <c r="K65" s="770">
        <f>'4D Wastewater treatment and dis'!AW128</f>
        <v>2.9866449441145018</v>
      </c>
      <c r="L65" s="771">
        <f t="shared" si="101"/>
        <v>16400.178396217063</v>
      </c>
      <c r="M65" s="772">
        <f t="shared" si="102"/>
        <v>9.9744068988484091</v>
      </c>
      <c r="N65" s="771">
        <f t="shared" si="103"/>
        <v>983.07418089210194</v>
      </c>
      <c r="O65" s="773">
        <f t="shared" si="104"/>
        <v>296.99089802855298</v>
      </c>
      <c r="P65" s="771">
        <f t="shared" si="105"/>
        <v>3911.6672857917038</v>
      </c>
      <c r="Q65" s="519">
        <f t="shared" si="106"/>
        <v>16400.178396217063</v>
      </c>
      <c r="R65" s="521">
        <f t="shared" si="107"/>
        <v>993.04858779095036</v>
      </c>
      <c r="S65" s="518">
        <f t="shared" si="108"/>
        <v>296.99089802855298</v>
      </c>
      <c r="T65" s="519">
        <f t="shared" si="109"/>
        <v>3911.6672857917038</v>
      </c>
      <c r="U65" s="519">
        <f t="shared" si="110"/>
        <v>21601.88516782827</v>
      </c>
      <c r="X65" s="104"/>
      <c r="Y65" s="104"/>
      <c r="Z65" s="104"/>
      <c r="AA65" s="236"/>
      <c r="AB65" s="118"/>
      <c r="AC65" s="662"/>
      <c r="AD65" s="662"/>
      <c r="AE65" s="118"/>
      <c r="AF65" s="118"/>
      <c r="AG65" s="118"/>
      <c r="AH65" s="105"/>
      <c r="AI65" s="1422"/>
      <c r="AJ65" s="529"/>
      <c r="AK65" s="529"/>
      <c r="AL65" s="529"/>
      <c r="AM65" s="529"/>
      <c r="AN65" s="529"/>
      <c r="AO65" s="1420"/>
      <c r="AP65" s="529"/>
      <c r="AQ65" s="104"/>
    </row>
    <row r="66" spans="1:43">
      <c r="A66" s="4">
        <f>'Input data'!A121</f>
        <v>2021</v>
      </c>
      <c r="B66" s="4"/>
      <c r="C66" s="769">
        <f>'4A SWD Case 1'!BN91</f>
        <v>760.18620080693688</v>
      </c>
      <c r="D66" s="3">
        <f>'4B Biological treatment '!T119</f>
        <v>0.54340373352623117</v>
      </c>
      <c r="E66" s="1157">
        <f>'4B Biological treatment '!U119</f>
        <v>26.300195682053744</v>
      </c>
      <c r="F66" s="1157">
        <f>'4B Biological treatment '!W119</f>
        <v>1.5780117409232244</v>
      </c>
      <c r="G66" s="952">
        <f>'4C2 Open-burning '!R92</f>
        <v>30.385711429426816</v>
      </c>
      <c r="H66" s="952">
        <f>'4C2 Open-burning '!Z92</f>
        <v>10.223861626125526</v>
      </c>
      <c r="I66" s="952">
        <f>'4C2 Open-burning '!AH92</f>
        <v>0.14233340979503517</v>
      </c>
      <c r="J66" s="987">
        <f>'4D Wastewater treatment and dis'!AV129</f>
        <v>146.03087022027088</v>
      </c>
      <c r="K66" s="770">
        <f>'4D Wastewater treatment and dis'!AW129</f>
        <v>3.0338615645529843</v>
      </c>
      <c r="L66" s="771">
        <f t="shared" si="101"/>
        <v>15963.910216945675</v>
      </c>
      <c r="M66" s="772">
        <f t="shared" si="102"/>
        <v>11.411478404050854</v>
      </c>
      <c r="N66" s="771">
        <f t="shared" si="103"/>
        <v>1041.4877490093281</v>
      </c>
      <c r="O66" s="773">
        <f t="shared" si="104"/>
        <v>289.21016261452377</v>
      </c>
      <c r="P66" s="771">
        <f t="shared" si="105"/>
        <v>4007.1453596371134</v>
      </c>
      <c r="Q66" s="519">
        <f t="shared" si="106"/>
        <v>15963.910216945675</v>
      </c>
      <c r="R66" s="521">
        <f t="shared" si="107"/>
        <v>1052.8992274133789</v>
      </c>
      <c r="S66" s="518">
        <f t="shared" si="108"/>
        <v>289.21016261452377</v>
      </c>
      <c r="T66" s="519">
        <f t="shared" si="109"/>
        <v>4007.1453596371134</v>
      </c>
      <c r="U66" s="519">
        <f t="shared" si="110"/>
        <v>21313.16496661069</v>
      </c>
      <c r="X66" s="104"/>
      <c r="Y66" s="104"/>
      <c r="Z66" s="104"/>
      <c r="AA66" s="236"/>
      <c r="AB66" s="118"/>
      <c r="AC66" s="662"/>
      <c r="AD66" s="662"/>
      <c r="AE66" s="118"/>
      <c r="AF66" s="118"/>
      <c r="AG66" s="118"/>
      <c r="AH66" s="105"/>
      <c r="AI66" s="1422"/>
      <c r="AJ66" s="529"/>
      <c r="AK66" s="529"/>
      <c r="AL66" s="529"/>
      <c r="AM66" s="529"/>
      <c r="AN66" s="529"/>
      <c r="AO66" s="1420"/>
      <c r="AP66" s="529"/>
      <c r="AQ66" s="104"/>
    </row>
    <row r="67" spans="1:43">
      <c r="A67" s="4">
        <f>'Input data'!A122</f>
        <v>2022</v>
      </c>
      <c r="B67" s="4"/>
      <c r="C67" s="769">
        <f>'4A SWD Case 1'!BN92</f>
        <v>738.99756115214404</v>
      </c>
      <c r="D67" s="3">
        <f>'4B Biological treatment '!T120</f>
        <v>0.61549450236216208</v>
      </c>
      <c r="E67" s="1157">
        <f>'4B Biological treatment '!U120</f>
        <v>27.697252606297287</v>
      </c>
      <c r="F67" s="1157">
        <f>'4B Biological treatment '!W120</f>
        <v>1.6618351563778373</v>
      </c>
      <c r="G67" s="952">
        <f>'4C2 Open-burning '!R93</f>
        <v>29.583713575257967</v>
      </c>
      <c r="H67" s="952">
        <f>'4C2 Open-burning '!Z93</f>
        <v>9.9540139016608222</v>
      </c>
      <c r="I67" s="952">
        <f>'4C2 Open-burning '!AH93</f>
        <v>0.13857667401817902</v>
      </c>
      <c r="J67" s="987">
        <f>'4D Wastewater treatment and dis'!AV130</f>
        <v>150.01638869082916</v>
      </c>
      <c r="K67" s="770">
        <f>'4D Wastewater treatment and dis'!AW130</f>
        <v>3.0828473994736778</v>
      </c>
      <c r="L67" s="771">
        <f t="shared" si="101"/>
        <v>15518.948784195025</v>
      </c>
      <c r="M67" s="772">
        <f t="shared" si="102"/>
        <v>12.925384549605404</v>
      </c>
      <c r="N67" s="771">
        <f t="shared" si="103"/>
        <v>1096.8112032093727</v>
      </c>
      <c r="O67" s="773">
        <f t="shared" si="104"/>
        <v>281.57677445577076</v>
      </c>
      <c r="P67" s="771">
        <f t="shared" si="105"/>
        <v>4106.0268563442523</v>
      </c>
      <c r="Q67" s="519">
        <f t="shared" si="106"/>
        <v>15518.948784195025</v>
      </c>
      <c r="R67" s="521">
        <f t="shared" si="107"/>
        <v>1109.7365877589782</v>
      </c>
      <c r="S67" s="518">
        <f t="shared" si="108"/>
        <v>281.57677445577076</v>
      </c>
      <c r="T67" s="519">
        <f t="shared" si="109"/>
        <v>4106.0268563442523</v>
      </c>
      <c r="U67" s="519">
        <f t="shared" si="110"/>
        <v>21016.289002754023</v>
      </c>
      <c r="X67" s="104"/>
      <c r="Y67" s="104"/>
      <c r="Z67" s="104"/>
      <c r="AA67" s="236"/>
      <c r="AB67" s="118"/>
      <c r="AC67" s="662"/>
      <c r="AD67" s="662"/>
      <c r="AE67" s="118"/>
      <c r="AF67" s="118"/>
      <c r="AG67" s="118"/>
      <c r="AH67" s="105"/>
      <c r="AI67" s="1422"/>
      <c r="AJ67" s="529"/>
      <c r="AK67" s="529"/>
      <c r="AL67" s="529"/>
      <c r="AM67" s="529"/>
      <c r="AN67" s="529"/>
      <c r="AO67" s="1420"/>
      <c r="AP67" s="529"/>
      <c r="AQ67" s="104"/>
    </row>
    <row r="68" spans="1:43">
      <c r="A68" s="4">
        <f>'Input data'!A123</f>
        <v>2023</v>
      </c>
      <c r="B68" s="4"/>
      <c r="C68" s="769">
        <f>'4A SWD Case 1'!BN93</f>
        <v>717.49973461652189</v>
      </c>
      <c r="D68" s="3">
        <f>'4B Biological treatment '!T121</f>
        <v>0.65026675354995978</v>
      </c>
      <c r="E68" s="1157">
        <f>'4B Biological treatment '!U121</f>
        <v>29.262003909748181</v>
      </c>
      <c r="F68" s="1157">
        <f>'4B Biological treatment '!W121</f>
        <v>1.7557202345848908</v>
      </c>
      <c r="G68" s="952">
        <f>'4C2 Open-burning '!R94</f>
        <v>28.797809360586477</v>
      </c>
      <c r="H68" s="952">
        <f>'4C2 Open-burning '!Z94</f>
        <v>9.6895811941742114</v>
      </c>
      <c r="I68" s="952">
        <f>'4C2 Open-burning '!AH94</f>
        <v>0.13489532441719021</v>
      </c>
      <c r="J68" s="987">
        <f>'4D Wastewater treatment and dis'!AV131</f>
        <v>154.08560950052347</v>
      </c>
      <c r="K68" s="770">
        <f>'4D Wastewater treatment and dis'!AW131</f>
        <v>3.132483295366991</v>
      </c>
      <c r="L68" s="771">
        <f t="shared" si="101"/>
        <v>15067.49442694696</v>
      </c>
      <c r="M68" s="772">
        <f t="shared" si="102"/>
        <v>13.655601824549155</v>
      </c>
      <c r="N68" s="771">
        <f t="shared" si="103"/>
        <v>1158.775354826028</v>
      </c>
      <c r="O68" s="773">
        <f t="shared" si="104"/>
        <v>274.09656500757387</v>
      </c>
      <c r="P68" s="771">
        <f t="shared" si="105"/>
        <v>4206.8676210747599</v>
      </c>
      <c r="Q68" s="519">
        <f t="shared" si="106"/>
        <v>15067.49442694696</v>
      </c>
      <c r="R68" s="521">
        <f t="shared" si="107"/>
        <v>1172.4309566505772</v>
      </c>
      <c r="S68" s="518">
        <f t="shared" si="108"/>
        <v>274.09656500757387</v>
      </c>
      <c r="T68" s="519">
        <f t="shared" si="109"/>
        <v>4206.8676210747599</v>
      </c>
      <c r="U68" s="519">
        <f t="shared" si="110"/>
        <v>20720.889569679872</v>
      </c>
      <c r="X68" s="104"/>
      <c r="Y68" s="104"/>
      <c r="Z68" s="104"/>
      <c r="AA68" s="236"/>
      <c r="AB68" s="118"/>
      <c r="AC68" s="662"/>
      <c r="AD68" s="662"/>
      <c r="AE68" s="118"/>
      <c r="AF68" s="118"/>
      <c r="AG68" s="118"/>
      <c r="AH68" s="105"/>
      <c r="AI68" s="1422"/>
      <c r="AJ68" s="529"/>
      <c r="AK68" s="529"/>
      <c r="AL68" s="529"/>
      <c r="AM68" s="529"/>
      <c r="AN68" s="529"/>
      <c r="AO68" s="1420"/>
      <c r="AP68" s="529"/>
      <c r="AQ68" s="104"/>
    </row>
    <row r="69" spans="1:43">
      <c r="A69" s="4">
        <f>'Input data'!A124</f>
        <v>2024</v>
      </c>
      <c r="B69" s="4"/>
      <c r="C69" s="769">
        <f>'4A SWD Case 1'!BN94</f>
        <v>696.11997417521229</v>
      </c>
      <c r="D69" s="3">
        <f>'4B Biological treatment '!T122</f>
        <v>0.68536738558517185</v>
      </c>
      <c r="E69" s="1157">
        <f>'4B Biological treatment '!U122</f>
        <v>30.841532351332727</v>
      </c>
      <c r="F69" s="1157">
        <f>'4B Biological treatment '!W122</f>
        <v>1.8504919410799636</v>
      </c>
      <c r="G69" s="952">
        <f>'4C2 Open-burning '!R95</f>
        <v>28.027372822868667</v>
      </c>
      <c r="H69" s="952">
        <f>'4C2 Open-burning '!Z95</f>
        <v>9.4303528864338215</v>
      </c>
      <c r="I69" s="952">
        <f>'4C2 Open-burning '!AH95</f>
        <v>0.13128642884471864</v>
      </c>
      <c r="J69" s="987">
        <f>'4D Wastewater treatment and dis'!AV132</f>
        <v>158.24697567473672</v>
      </c>
      <c r="K69" s="770">
        <f>'4D Wastewater treatment and dis'!AW132</f>
        <v>3.1829183622350183</v>
      </c>
      <c r="L69" s="771">
        <f t="shared" si="101"/>
        <v>14618.519457679458</v>
      </c>
      <c r="M69" s="772">
        <f t="shared" si="102"/>
        <v>14.392715097288608</v>
      </c>
      <c r="N69" s="771">
        <f t="shared" si="103"/>
        <v>1221.324681112776</v>
      </c>
      <c r="O69" s="773">
        <f t="shared" si="104"/>
        <v>266.76357637984171</v>
      </c>
      <c r="P69" s="771">
        <f t="shared" si="105"/>
        <v>4309.8911814623261</v>
      </c>
      <c r="Q69" s="519">
        <f t="shared" si="106"/>
        <v>14618.519457679458</v>
      </c>
      <c r="R69" s="521">
        <f t="shared" si="107"/>
        <v>1235.7173962100646</v>
      </c>
      <c r="S69" s="518">
        <f t="shared" si="108"/>
        <v>266.76357637984171</v>
      </c>
      <c r="T69" s="519">
        <f t="shared" si="109"/>
        <v>4309.8911814623261</v>
      </c>
      <c r="U69" s="519">
        <f t="shared" si="110"/>
        <v>20430.891611731691</v>
      </c>
      <c r="X69" s="104"/>
      <c r="Y69" s="104"/>
      <c r="Z69" s="104"/>
      <c r="AA69" s="236"/>
      <c r="AB69" s="118"/>
      <c r="AC69" s="662"/>
      <c r="AD69" s="662"/>
      <c r="AE69" s="118"/>
      <c r="AF69" s="118"/>
      <c r="AG69" s="118"/>
      <c r="AH69" s="105"/>
      <c r="AI69" s="1422"/>
      <c r="AJ69" s="529"/>
      <c r="AK69" s="529"/>
      <c r="AL69" s="529"/>
      <c r="AM69" s="529"/>
      <c r="AN69" s="529"/>
      <c r="AO69" s="1420"/>
      <c r="AP69" s="529"/>
      <c r="AQ69" s="104"/>
    </row>
    <row r="70" spans="1:43">
      <c r="A70" s="4">
        <f>'Input data'!A125</f>
        <v>2025</v>
      </c>
      <c r="B70" s="4"/>
      <c r="C70" s="769">
        <f>'4A SWD Case 1'!BN95</f>
        <v>674.99028301524129</v>
      </c>
      <c r="D70" s="3">
        <f>'4B Biological treatment '!T123</f>
        <v>0.72021009729916985</v>
      </c>
      <c r="E70" s="1157">
        <f>'4B Biological treatment '!U123</f>
        <v>32.409454378462641</v>
      </c>
      <c r="F70" s="1157">
        <f>'4B Biological treatment '!W123</f>
        <v>1.9445672627077581</v>
      </c>
      <c r="G70" s="952">
        <f>'4C2 Open-burning '!R96</f>
        <v>27.271955633067535</v>
      </c>
      <c r="H70" s="952">
        <f>'4C2 Open-burning '!Z96</f>
        <v>9.1761781294444624</v>
      </c>
      <c r="I70" s="952">
        <f>'4C2 Open-burning '!AH96</f>
        <v>0.12774788722814651</v>
      </c>
      <c r="J70" s="987">
        <f>'4D Wastewater treatment and dis'!AV133</f>
        <v>162.50239954694376</v>
      </c>
      <c r="K70" s="770">
        <f>'4D Wastewater treatment and dis'!AW133</f>
        <v>3.2341654672625948</v>
      </c>
      <c r="L70" s="771">
        <f t="shared" si="101"/>
        <v>14174.795943320067</v>
      </c>
      <c r="M70" s="772">
        <f t="shared" si="102"/>
        <v>15.124412043282566</v>
      </c>
      <c r="N70" s="771">
        <f t="shared" si="103"/>
        <v>1283.4143933871205</v>
      </c>
      <c r="O70" s="773">
        <f t="shared" si="104"/>
        <v>259.57354139212669</v>
      </c>
      <c r="P70" s="771">
        <f t="shared" si="105"/>
        <v>4415.1416853372239</v>
      </c>
      <c r="Q70" s="519">
        <f t="shared" si="106"/>
        <v>14174.795943320067</v>
      </c>
      <c r="R70" s="521">
        <f t="shared" si="107"/>
        <v>1298.538805430403</v>
      </c>
      <c r="S70" s="518">
        <f t="shared" si="108"/>
        <v>259.57354139212669</v>
      </c>
      <c r="T70" s="519">
        <f t="shared" si="109"/>
        <v>4415.1416853372239</v>
      </c>
      <c r="U70" s="519">
        <f t="shared" si="110"/>
        <v>20148.049975479818</v>
      </c>
      <c r="X70" s="104"/>
      <c r="Y70" s="104"/>
      <c r="Z70" s="104"/>
      <c r="AA70" s="236"/>
      <c r="AB70" s="118"/>
      <c r="AC70" s="662"/>
      <c r="AD70" s="662"/>
      <c r="AE70" s="118"/>
      <c r="AF70" s="118"/>
      <c r="AG70" s="118"/>
      <c r="AH70" s="105"/>
      <c r="AI70" s="1422"/>
      <c r="AJ70" s="529"/>
      <c r="AK70" s="529"/>
      <c r="AL70" s="529"/>
      <c r="AM70" s="529"/>
      <c r="AN70" s="529"/>
      <c r="AO70" s="1420"/>
      <c r="AP70" s="529"/>
      <c r="AQ70" s="104"/>
    </row>
    <row r="71" spans="1:43">
      <c r="A71" s="4">
        <f>'Input data'!A126</f>
        <v>2026</v>
      </c>
      <c r="B71" s="4"/>
      <c r="C71" s="769">
        <f>'4A SWD Case 1'!BN96</f>
        <v>654.84883776069364</v>
      </c>
      <c r="D71" s="3">
        <f>'4B Biological treatment '!T124</f>
        <v>0.7544560692480653</v>
      </c>
      <c r="E71" s="1157">
        <f>'4B Biological treatment '!U124</f>
        <v>33.950523116162927</v>
      </c>
      <c r="F71" s="1157">
        <f>'4B Biological treatment '!W124</f>
        <v>2.0370313869697756</v>
      </c>
      <c r="G71" s="952">
        <f>'4C2 Open-burning '!R97</f>
        <v>26.537699993648094</v>
      </c>
      <c r="H71" s="952">
        <f>'4C2 Open-burning '!Z97</f>
        <v>8.9291235862897924</v>
      </c>
      <c r="I71" s="952">
        <f>'4C2 Open-burning '!AH97</f>
        <v>0.12430847100573772</v>
      </c>
      <c r="J71" s="987">
        <f>'4D Wastewater treatment and dis'!AV134</f>
        <v>166.70088132394665</v>
      </c>
      <c r="K71" s="770">
        <f>'4D Wastewater treatment and dis'!AW134</f>
        <v>3.2832252909215254</v>
      </c>
      <c r="L71" s="771">
        <f t="shared" si="101"/>
        <v>13751.825592974566</v>
      </c>
      <c r="M71" s="772">
        <f t="shared" si="102"/>
        <v>15.84357745420937</v>
      </c>
      <c r="N71" s="771">
        <f t="shared" si="103"/>
        <v>1344.4407154000519</v>
      </c>
      <c r="O71" s="773">
        <f t="shared" si="104"/>
        <v>252.58492131751242</v>
      </c>
      <c r="P71" s="771">
        <f t="shared" si="105"/>
        <v>4518.5183479885527</v>
      </c>
      <c r="Q71" s="519">
        <f t="shared" si="106"/>
        <v>13751.825592974566</v>
      </c>
      <c r="R71" s="521">
        <f t="shared" si="107"/>
        <v>1360.2842928542614</v>
      </c>
      <c r="S71" s="518">
        <f t="shared" si="108"/>
        <v>252.58492131751242</v>
      </c>
      <c r="T71" s="519">
        <f t="shared" si="109"/>
        <v>4518.5183479885527</v>
      </c>
      <c r="U71" s="519">
        <f t="shared" si="110"/>
        <v>19883.213155134894</v>
      </c>
      <c r="X71" s="104"/>
      <c r="Y71" s="104"/>
      <c r="Z71" s="104"/>
      <c r="AA71" s="236"/>
      <c r="AB71" s="118"/>
      <c r="AC71" s="662"/>
      <c r="AD71" s="662"/>
      <c r="AE71" s="118"/>
      <c r="AF71" s="118"/>
      <c r="AG71" s="118"/>
      <c r="AH71" s="105"/>
      <c r="AI71" s="1422"/>
      <c r="AJ71" s="529"/>
      <c r="AK71" s="529"/>
      <c r="AL71" s="529"/>
      <c r="AM71" s="529"/>
      <c r="AN71" s="529"/>
      <c r="AO71" s="1420"/>
      <c r="AP71" s="529"/>
      <c r="AQ71" s="104"/>
    </row>
    <row r="72" spans="1:43">
      <c r="A72" s="4">
        <f>'Input data'!A127</f>
        <v>2027</v>
      </c>
      <c r="B72" s="4"/>
      <c r="C72" s="769">
        <f>'4A SWD Case 1'!BN97</f>
        <v>635.45269869627418</v>
      </c>
      <c r="D72" s="3">
        <f>'4B Biological treatment '!T125</f>
        <v>0.78867376999817651</v>
      </c>
      <c r="E72" s="1157">
        <f>'4B Biological treatment '!U125</f>
        <v>35.490319649917943</v>
      </c>
      <c r="F72" s="1157">
        <f>'4B Biological treatment '!W125</f>
        <v>2.1294191789950765</v>
      </c>
      <c r="G72" s="952">
        <f>'4C2 Open-burning '!R98</f>
        <v>25.826035037473154</v>
      </c>
      <c r="H72" s="952">
        <f>'4C2 Open-burning '!Z98</f>
        <v>8.6896701164247112</v>
      </c>
      <c r="I72" s="952">
        <f>'4C2 Open-burning '!AH98</f>
        <v>0.12097487455270498</v>
      </c>
      <c r="J72" s="987">
        <f>'4D Wastewater treatment and dis'!AV135</f>
        <v>170.83246136481878</v>
      </c>
      <c r="K72" s="770">
        <f>'4D Wastewater treatment and dis'!AW135</f>
        <v>3.3299712250896238</v>
      </c>
      <c r="L72" s="771">
        <f t="shared" si="101"/>
        <v>13344.506672621757</v>
      </c>
      <c r="M72" s="772">
        <f t="shared" si="102"/>
        <v>16.562149169961707</v>
      </c>
      <c r="N72" s="771">
        <f t="shared" si="103"/>
        <v>1405.4166581367504</v>
      </c>
      <c r="O72" s="773">
        <f t="shared" si="104"/>
        <v>245.81131859373065</v>
      </c>
      <c r="P72" s="771">
        <f t="shared" si="105"/>
        <v>4619.7727684389774</v>
      </c>
      <c r="Q72" s="519">
        <f t="shared" si="106"/>
        <v>13344.506672621757</v>
      </c>
      <c r="R72" s="521">
        <f t="shared" si="107"/>
        <v>1421.978807306712</v>
      </c>
      <c r="S72" s="518">
        <f t="shared" si="108"/>
        <v>245.81131859373065</v>
      </c>
      <c r="T72" s="519">
        <f t="shared" si="109"/>
        <v>4619.7727684389774</v>
      </c>
      <c r="U72" s="519">
        <f t="shared" si="110"/>
        <v>19632.069566961178</v>
      </c>
      <c r="X72" s="104"/>
      <c r="Y72" s="104"/>
      <c r="Z72" s="104"/>
      <c r="AA72" s="236"/>
      <c r="AB72" s="118"/>
      <c r="AC72" s="662"/>
      <c r="AD72" s="662"/>
      <c r="AE72" s="118"/>
      <c r="AF72" s="118"/>
      <c r="AG72" s="118"/>
      <c r="AH72" s="105"/>
      <c r="AI72" s="1422"/>
      <c r="AJ72" s="529"/>
      <c r="AK72" s="529"/>
      <c r="AL72" s="529"/>
      <c r="AM72" s="529"/>
      <c r="AN72" s="529"/>
      <c r="AO72" s="1420"/>
      <c r="AP72" s="529"/>
      <c r="AQ72" s="104"/>
    </row>
    <row r="73" spans="1:43">
      <c r="A73" s="4">
        <f>'Input data'!A128</f>
        <v>2028</v>
      </c>
      <c r="B73" s="4"/>
      <c r="C73" s="769">
        <f>'4A SWD Case 1'!BN98</f>
        <v>616.51385187297433</v>
      </c>
      <c r="D73" s="3">
        <f>'4B Biological treatment '!T126</f>
        <v>0.79269523928982233</v>
      </c>
      <c r="E73" s="1157">
        <f>'4B Biological treatment '!U126</f>
        <v>35.671285768041997</v>
      </c>
      <c r="F73" s="1157">
        <f>'4B Biological treatment '!W126</f>
        <v>2.1402771460825196</v>
      </c>
      <c r="G73" s="952">
        <f>'4C2 Open-burning '!R99</f>
        <v>24.38781555446878</v>
      </c>
      <c r="H73" s="952">
        <f>'4C2 Open-burning '!Z99</f>
        <v>8.2057532920190681</v>
      </c>
      <c r="I73" s="952">
        <f>'4C2 Open-burning '!AH99</f>
        <v>0.11423793559621181</v>
      </c>
      <c r="J73" s="987">
        <f>'4D Wastewater treatment and dis'!AV136</f>
        <v>174.88714210647373</v>
      </c>
      <c r="K73" s="770">
        <f>'4D Wastewater treatment and dis'!AW136</f>
        <v>3.3742810888374657</v>
      </c>
      <c r="L73" s="771">
        <f t="shared" si="101"/>
        <v>12946.79088933246</v>
      </c>
      <c r="M73" s="772">
        <f t="shared" si="102"/>
        <v>16.646600025086268</v>
      </c>
      <c r="N73" s="771">
        <f t="shared" si="103"/>
        <v>1412.5829164144629</v>
      </c>
      <c r="O73" s="773">
        <f t="shared" si="104"/>
        <v>232.12239472169486</v>
      </c>
      <c r="P73" s="771">
        <f t="shared" si="105"/>
        <v>4718.6571217755627</v>
      </c>
      <c r="Q73" s="519">
        <f t="shared" si="106"/>
        <v>12946.79088933246</v>
      </c>
      <c r="R73" s="521">
        <f t="shared" si="107"/>
        <v>1429.2295164395491</v>
      </c>
      <c r="S73" s="518">
        <f t="shared" si="108"/>
        <v>232.12239472169486</v>
      </c>
      <c r="T73" s="519">
        <f t="shared" si="109"/>
        <v>4718.6571217755627</v>
      </c>
      <c r="U73" s="519">
        <f t="shared" si="110"/>
        <v>19326.799922269267</v>
      </c>
      <c r="X73" s="104"/>
      <c r="Y73" s="104"/>
      <c r="Z73" s="104"/>
      <c r="AA73" s="236"/>
      <c r="AB73" s="118"/>
      <c r="AC73" s="662"/>
      <c r="AD73" s="662"/>
      <c r="AE73" s="118"/>
      <c r="AF73" s="118"/>
      <c r="AG73" s="118"/>
      <c r="AH73" s="105"/>
      <c r="AI73" s="1422"/>
      <c r="AJ73" s="529"/>
      <c r="AK73" s="529"/>
      <c r="AL73" s="529"/>
      <c r="AM73" s="529"/>
      <c r="AN73" s="529"/>
      <c r="AO73" s="1420"/>
      <c r="AP73" s="529"/>
      <c r="AQ73" s="104"/>
    </row>
    <row r="74" spans="1:43">
      <c r="A74" s="4">
        <f>'Input data'!A129</f>
        <v>2029</v>
      </c>
      <c r="B74" s="4"/>
      <c r="C74" s="769">
        <f>'4A SWD Case 1'!BN99</f>
        <v>598.2314867795194</v>
      </c>
      <c r="D74" s="3">
        <f>'4B Biological treatment '!T127</f>
        <v>0.79803719103544102</v>
      </c>
      <c r="E74" s="1157">
        <f>'4B Biological treatment '!U127</f>
        <v>35.911673596594845</v>
      </c>
      <c r="F74" s="1157">
        <f>'4B Biological treatment '!W127</f>
        <v>2.1547004157956904</v>
      </c>
      <c r="G74" s="952">
        <f>'4C2 Open-burning '!R100</f>
        <v>23.037469105366707</v>
      </c>
      <c r="H74" s="952">
        <f>'4C2 Open-burning '!Z100</f>
        <v>7.751403053255876</v>
      </c>
      <c r="I74" s="952">
        <f>'4C2 Open-burning '!AH100</f>
        <v>0.1079126134147084</v>
      </c>
      <c r="J74" s="987">
        <f>'4D Wastewater treatment and dis'!AV137</f>
        <v>178.85492731655097</v>
      </c>
      <c r="K74" s="770">
        <f>'4D Wastewater treatment and dis'!AW137</f>
        <v>3.4160376549203448</v>
      </c>
      <c r="L74" s="771">
        <f t="shared" si="101"/>
        <v>12562.861222369907</v>
      </c>
      <c r="M74" s="772">
        <f t="shared" si="102"/>
        <v>16.758781011744261</v>
      </c>
      <c r="N74" s="771">
        <f t="shared" si="103"/>
        <v>1422.1022744251559</v>
      </c>
      <c r="O74" s="773">
        <f t="shared" si="104"/>
        <v>219.26984338229971</v>
      </c>
      <c r="P74" s="771">
        <f t="shared" si="105"/>
        <v>4814.9251466728774</v>
      </c>
      <c r="Q74" s="519">
        <f t="shared" si="106"/>
        <v>12562.861222369907</v>
      </c>
      <c r="R74" s="521">
        <f t="shared" si="107"/>
        <v>1438.8610554369002</v>
      </c>
      <c r="S74" s="518">
        <f t="shared" si="108"/>
        <v>219.26984338229971</v>
      </c>
      <c r="T74" s="519">
        <f t="shared" si="109"/>
        <v>4814.9251466728774</v>
      </c>
      <c r="U74" s="519">
        <f t="shared" si="110"/>
        <v>19035.917267861983</v>
      </c>
      <c r="X74" s="104"/>
      <c r="Y74" s="104"/>
      <c r="Z74" s="104"/>
      <c r="AA74" s="236"/>
      <c r="AB74" s="118"/>
      <c r="AC74" s="662"/>
      <c r="AD74" s="662"/>
      <c r="AE74" s="118"/>
      <c r="AF74" s="118"/>
      <c r="AG74" s="118"/>
      <c r="AH74" s="105"/>
      <c r="AI74" s="1422"/>
      <c r="AJ74" s="529"/>
      <c r="AK74" s="529"/>
      <c r="AL74" s="529"/>
      <c r="AM74" s="529"/>
      <c r="AN74" s="529"/>
      <c r="AO74" s="1420"/>
      <c r="AP74" s="529"/>
      <c r="AQ74" s="104"/>
    </row>
    <row r="75" spans="1:43">
      <c r="A75" s="4">
        <f>'Input data'!A130</f>
        <v>2030</v>
      </c>
      <c r="B75" s="4"/>
      <c r="C75" s="769">
        <f>'4A SWD Case 1'!BN100</f>
        <v>580.38040011268686</v>
      </c>
      <c r="D75" s="3">
        <f>'4B Biological treatment '!T128</f>
        <v>0.80284285988720328</v>
      </c>
      <c r="E75" s="1157">
        <f>'4B Biological treatment '!U128</f>
        <v>36.127928694924137</v>
      </c>
      <c r="F75" s="1157">
        <f>'4B Biological treatment '!W128</f>
        <v>2.1676757216954483</v>
      </c>
      <c r="G75" s="952">
        <f>'4C2 Open-burning '!R101</f>
        <v>21.768939793479273</v>
      </c>
      <c r="H75" s="952">
        <f>'4C2 Open-burning '!Z101</f>
        <v>7.324581776303269</v>
      </c>
      <c r="I75" s="952">
        <f>'4C2 Open-burning '!AH101</f>
        <v>0.10197054084532856</v>
      </c>
      <c r="J75" s="987">
        <f>'4D Wastewater treatment and dis'!AV138</f>
        <v>182.72586224236846</v>
      </c>
      <c r="K75" s="770">
        <f>'4D Wastewater treatment and dis'!AW138</f>
        <v>3.4551291616770792</v>
      </c>
      <c r="L75" s="771">
        <f t="shared" si="101"/>
        <v>12187.988402366424</v>
      </c>
      <c r="M75" s="772">
        <f t="shared" si="102"/>
        <v>16.859700057631269</v>
      </c>
      <c r="N75" s="771">
        <f t="shared" si="103"/>
        <v>1430.6659763189959</v>
      </c>
      <c r="O75" s="773">
        <f t="shared" si="104"/>
        <v>207.19602475789975</v>
      </c>
      <c r="P75" s="771">
        <f t="shared" si="105"/>
        <v>4908.3331472096324</v>
      </c>
      <c r="Q75" s="519">
        <f t="shared" si="106"/>
        <v>12187.988402366424</v>
      </c>
      <c r="R75" s="521">
        <f t="shared" si="107"/>
        <v>1447.5256763766272</v>
      </c>
      <c r="S75" s="518">
        <f t="shared" si="108"/>
        <v>207.19602475789975</v>
      </c>
      <c r="T75" s="519">
        <f t="shared" si="109"/>
        <v>4908.3331472096324</v>
      </c>
      <c r="U75" s="519">
        <f t="shared" si="110"/>
        <v>18751.04325071058</v>
      </c>
      <c r="X75" s="104"/>
      <c r="Y75" s="104"/>
      <c r="Z75" s="104"/>
      <c r="AA75" s="236"/>
      <c r="AB75" s="118"/>
      <c r="AC75" s="662"/>
      <c r="AD75" s="662"/>
      <c r="AE75" s="118"/>
      <c r="AF75" s="118"/>
      <c r="AG75" s="118"/>
      <c r="AH75" s="105"/>
      <c r="AI75" s="1422"/>
      <c r="AJ75" s="529"/>
      <c r="AK75" s="529"/>
      <c r="AL75" s="529"/>
      <c r="AM75" s="529"/>
      <c r="AN75" s="529"/>
      <c r="AO75" s="1420"/>
      <c r="AP75" s="529"/>
      <c r="AQ75" s="104"/>
    </row>
    <row r="76" spans="1:43">
      <c r="A76" s="4">
        <f>'Input data'!A131</f>
        <v>2031</v>
      </c>
      <c r="B76" s="4"/>
      <c r="C76" s="769">
        <f>'4A SWD Case 1'!BN101</f>
        <v>563.21094499552055</v>
      </c>
      <c r="D76" s="3">
        <f>'4B Biological treatment '!T129</f>
        <v>0.80853146002406595</v>
      </c>
      <c r="E76" s="1157">
        <f>'4B Biological treatment '!U129</f>
        <v>36.383915701082962</v>
      </c>
      <c r="F76" s="1157">
        <f>'4B Biological treatment '!W129</f>
        <v>2.1830349420649782</v>
      </c>
      <c r="G76" s="952">
        <f>'4C2 Open-burning '!R102</f>
        <v>20.672499448251845</v>
      </c>
      <c r="H76" s="952">
        <f>'4C2 Open-burning '!Z102</f>
        <v>6.9556631680639249</v>
      </c>
      <c r="I76" s="952">
        <f>'4C2 Open-burning '!AH102</f>
        <v>9.6834571153273555E-2</v>
      </c>
      <c r="J76" s="987">
        <f>'4D Wastewater treatment and dis'!AV139</f>
        <v>186.60041821724701</v>
      </c>
      <c r="K76" s="770">
        <f>'4D Wastewater treatment and dis'!AW139</f>
        <v>3.493515653224704</v>
      </c>
      <c r="L76" s="771">
        <f t="shared" si="101"/>
        <v>11827.429844905932</v>
      </c>
      <c r="M76" s="772">
        <f t="shared" si="102"/>
        <v>16.979160660505386</v>
      </c>
      <c r="N76" s="771">
        <f t="shared" si="103"/>
        <v>1440.8030617628856</v>
      </c>
      <c r="O76" s="773">
        <f t="shared" si="104"/>
        <v>196.76014303510908</v>
      </c>
      <c r="P76" s="771">
        <f t="shared" si="105"/>
        <v>5001.5986350618459</v>
      </c>
      <c r="Q76" s="519">
        <f t="shared" si="106"/>
        <v>11827.429844905932</v>
      </c>
      <c r="R76" s="521">
        <f t="shared" si="107"/>
        <v>1457.782222423391</v>
      </c>
      <c r="S76" s="518">
        <f t="shared" si="108"/>
        <v>196.76014303510908</v>
      </c>
      <c r="T76" s="519">
        <f t="shared" si="109"/>
        <v>5001.5986350618459</v>
      </c>
      <c r="U76" s="519">
        <f t="shared" si="110"/>
        <v>18483.570845426279</v>
      </c>
      <c r="X76" s="104"/>
      <c r="Y76" s="104"/>
      <c r="Z76" s="104"/>
      <c r="AA76" s="236"/>
      <c r="AB76" s="118"/>
      <c r="AC76" s="662"/>
      <c r="AD76" s="662"/>
      <c r="AE76" s="118"/>
      <c r="AF76" s="118"/>
      <c r="AG76" s="118"/>
      <c r="AH76" s="105"/>
      <c r="AI76" s="1422"/>
      <c r="AJ76" s="1403"/>
      <c r="AK76" s="529"/>
      <c r="AL76" s="529"/>
      <c r="AM76" s="529"/>
      <c r="AN76" s="529"/>
      <c r="AO76" s="1420"/>
      <c r="AP76" s="529"/>
      <c r="AQ76" s="104"/>
    </row>
    <row r="77" spans="1:43">
      <c r="A77" s="4">
        <f>'Input data'!A132</f>
        <v>2032</v>
      </c>
      <c r="B77" s="4"/>
      <c r="C77" s="769">
        <f>'4A SWD Case 1'!BN102</f>
        <v>546.51210093871998</v>
      </c>
      <c r="D77" s="3">
        <f>'4B Biological treatment '!T130</f>
        <v>0.81448406966341946</v>
      </c>
      <c r="E77" s="1157">
        <f>'4B Biological treatment '!U130</f>
        <v>36.651783134853872</v>
      </c>
      <c r="F77" s="1157">
        <f>'4B Biological treatment '!W130</f>
        <v>2.1991069880912324</v>
      </c>
      <c r="G77" s="952">
        <f>'4C2 Open-burning '!R103</f>
        <v>19.585490364663187</v>
      </c>
      <c r="H77" s="952">
        <f>'4C2 Open-burning '!Z103</f>
        <v>6.5899178906244362</v>
      </c>
      <c r="I77" s="952">
        <f>'4C2 Open-burning '!AH103</f>
        <v>9.1742779581939313E-2</v>
      </c>
      <c r="J77" s="987">
        <f>'4D Wastewater treatment and dis'!AV140</f>
        <v>190.4756621781487</v>
      </c>
      <c r="K77" s="770">
        <f>'4D Wastewater treatment and dis'!AW140</f>
        <v>3.5311634562664973</v>
      </c>
      <c r="L77" s="771">
        <f t="shared" si="101"/>
        <v>11476.75411971312</v>
      </c>
      <c r="M77" s="772">
        <f t="shared" si="102"/>
        <v>17.10416546293181</v>
      </c>
      <c r="N77" s="771">
        <f t="shared" si="103"/>
        <v>1451.4106121402133</v>
      </c>
      <c r="O77" s="773">
        <f t="shared" si="104"/>
        <v>186.41402773817754</v>
      </c>
      <c r="P77" s="771">
        <f t="shared" si="105"/>
        <v>5094.6495771837372</v>
      </c>
      <c r="Q77" s="519">
        <f t="shared" si="106"/>
        <v>11476.75411971312</v>
      </c>
      <c r="R77" s="521">
        <f t="shared" si="107"/>
        <v>1468.5147776031451</v>
      </c>
      <c r="S77" s="518">
        <f t="shared" si="108"/>
        <v>186.41402773817754</v>
      </c>
      <c r="T77" s="519">
        <f t="shared" si="109"/>
        <v>5094.6495771837372</v>
      </c>
      <c r="U77" s="519">
        <f t="shared" si="110"/>
        <v>18226.33250223818</v>
      </c>
      <c r="X77" s="104"/>
      <c r="Y77" s="104"/>
      <c r="Z77" s="104"/>
      <c r="AA77" s="236"/>
      <c r="AB77" s="118"/>
      <c r="AC77" s="662"/>
      <c r="AD77" s="662"/>
      <c r="AE77" s="118"/>
      <c r="AF77" s="118"/>
      <c r="AG77" s="118"/>
      <c r="AH77" s="105"/>
      <c r="AI77" s="1422"/>
      <c r="AJ77" s="1403"/>
      <c r="AK77" s="529"/>
      <c r="AL77" s="529"/>
      <c r="AM77" s="529"/>
      <c r="AN77" s="529"/>
      <c r="AO77" s="1420"/>
      <c r="AP77" s="529"/>
      <c r="AQ77" s="104"/>
    </row>
    <row r="78" spans="1:43">
      <c r="A78" s="4">
        <f>'Input data'!A133</f>
        <v>2033</v>
      </c>
      <c r="B78" s="4"/>
      <c r="C78" s="769">
        <f>'4A SWD Case 1'!BN103</f>
        <v>530.22147143071822</v>
      </c>
      <c r="D78" s="3">
        <f>'4B Biological treatment '!T131</f>
        <v>0.82148488836538025</v>
      </c>
      <c r="E78" s="1157">
        <f>'4B Biological treatment '!U131</f>
        <v>36.966819976442103</v>
      </c>
      <c r="F78" s="1157">
        <f>'4B Biological treatment '!W131</f>
        <v>2.2180091985865262</v>
      </c>
      <c r="G78" s="952">
        <f>'4C2 Open-burning '!R104</f>
        <v>18.507350714618365</v>
      </c>
      <c r="H78" s="952">
        <f>'4C2 Open-burning '!Z104</f>
        <v>6.2271569060314338</v>
      </c>
      <c r="I78" s="952">
        <f>'4C2 Open-burning '!AH104</f>
        <v>8.6692534403954344E-2</v>
      </c>
      <c r="J78" s="987">
        <f>'4D Wastewater treatment and dis'!AV141</f>
        <v>194.34860921737365</v>
      </c>
      <c r="K78" s="770">
        <f>'4D Wastewater treatment and dis'!AW141</f>
        <v>3.5680392512700192</v>
      </c>
      <c r="L78" s="771">
        <f t="shared" si="101"/>
        <v>11134.650900045082</v>
      </c>
      <c r="M78" s="772">
        <f t="shared" si="102"/>
        <v>17.251182655672984</v>
      </c>
      <c r="N78" s="771">
        <f t="shared" si="103"/>
        <v>1463.8860710671072</v>
      </c>
      <c r="O78" s="773">
        <f t="shared" si="104"/>
        <v>176.15233140650432</v>
      </c>
      <c r="P78" s="771">
        <f t="shared" si="105"/>
        <v>5187.4129614585527</v>
      </c>
      <c r="Q78" s="519">
        <f t="shared" si="106"/>
        <v>11134.650900045082</v>
      </c>
      <c r="R78" s="521">
        <f t="shared" si="107"/>
        <v>1481.1372537227801</v>
      </c>
      <c r="S78" s="518">
        <f t="shared" si="108"/>
        <v>176.15233140650432</v>
      </c>
      <c r="T78" s="519">
        <f t="shared" si="109"/>
        <v>5187.4129614585527</v>
      </c>
      <c r="U78" s="519">
        <f t="shared" si="110"/>
        <v>17979.353446632918</v>
      </c>
      <c r="X78" s="104"/>
      <c r="Y78" s="104"/>
      <c r="Z78" s="104"/>
      <c r="AA78" s="236"/>
      <c r="AB78" s="118"/>
      <c r="AC78" s="662"/>
      <c r="AD78" s="662"/>
      <c r="AE78" s="118"/>
      <c r="AF78" s="118"/>
      <c r="AG78" s="118"/>
      <c r="AH78" s="105"/>
      <c r="AI78" s="1422"/>
      <c r="AJ78" s="1403"/>
      <c r="AK78" s="529"/>
      <c r="AL78" s="529"/>
      <c r="AM78" s="529"/>
      <c r="AN78" s="529"/>
      <c r="AO78" s="1420"/>
      <c r="AP78" s="529"/>
      <c r="AQ78" s="104"/>
    </row>
    <row r="79" spans="1:43">
      <c r="A79" s="4">
        <f>'Input data'!A134</f>
        <v>2034</v>
      </c>
      <c r="B79" s="4"/>
      <c r="C79" s="769">
        <f>'4A SWD Case 1'!BN104</f>
        <v>513.97543572346467</v>
      </c>
      <c r="D79" s="3">
        <f>'4B Biological treatment '!T132</f>
        <v>0.82911941686162249</v>
      </c>
      <c r="E79" s="1157">
        <f>'4B Biological treatment '!U132</f>
        <v>37.310373758773004</v>
      </c>
      <c r="F79" s="1157">
        <f>'4B Biological treatment '!W132</f>
        <v>2.2386224255263802</v>
      </c>
      <c r="G79" s="952">
        <f>'4C2 Open-burning '!R105</f>
        <v>17.437548905279943</v>
      </c>
      <c r="H79" s="952">
        <f>'4C2 Open-burning '!Z105</f>
        <v>5.8672013495700392</v>
      </c>
      <c r="I79" s="952">
        <f>'4C2 Open-burning '!AH105</f>
        <v>8.1681345520597415E-2</v>
      </c>
      <c r="J79" s="987">
        <f>'4D Wastewater treatment and dis'!AV142</f>
        <v>198.21622618378117</v>
      </c>
      <c r="K79" s="770">
        <f>'4D Wastewater treatment and dis'!AW142</f>
        <v>3.604110120966546</v>
      </c>
      <c r="L79" s="771">
        <f t="shared" si="101"/>
        <v>10793.484150192759</v>
      </c>
      <c r="M79" s="772">
        <f t="shared" si="102"/>
        <v>17.411507754094071</v>
      </c>
      <c r="N79" s="771">
        <f t="shared" si="103"/>
        <v>1477.4908008474108</v>
      </c>
      <c r="O79" s="773">
        <f t="shared" si="104"/>
        <v>165.96999435763598</v>
      </c>
      <c r="P79" s="771">
        <f t="shared" si="105"/>
        <v>5279.8148873590344</v>
      </c>
      <c r="Q79" s="519">
        <f t="shared" si="106"/>
        <v>10793.484150192759</v>
      </c>
      <c r="R79" s="521">
        <f t="shared" si="107"/>
        <v>1494.902308601505</v>
      </c>
      <c r="S79" s="518">
        <f t="shared" si="108"/>
        <v>165.96999435763598</v>
      </c>
      <c r="T79" s="519">
        <f t="shared" si="109"/>
        <v>5279.8148873590344</v>
      </c>
      <c r="U79" s="519">
        <f t="shared" si="110"/>
        <v>17734.171340510933</v>
      </c>
      <c r="X79" s="104"/>
      <c r="Y79" s="104"/>
      <c r="Z79" s="104"/>
      <c r="AA79" s="236"/>
      <c r="AB79" s="118"/>
      <c r="AC79" s="662"/>
      <c r="AD79" s="662"/>
      <c r="AE79" s="118"/>
      <c r="AF79" s="118"/>
      <c r="AG79" s="118"/>
      <c r="AH79" s="105"/>
      <c r="AI79" s="1422"/>
      <c r="AJ79" s="1403"/>
      <c r="AK79" s="529"/>
      <c r="AL79" s="529"/>
      <c r="AM79" s="529"/>
      <c r="AN79" s="529"/>
      <c r="AO79" s="1420"/>
      <c r="AP79" s="529"/>
      <c r="AQ79" s="104"/>
    </row>
    <row r="80" spans="1:43">
      <c r="A80" s="4">
        <f>'Input data'!A135</f>
        <v>2035</v>
      </c>
      <c r="B80" s="4"/>
      <c r="C80" s="769">
        <f>'4A SWD Case 1'!BN105</f>
        <v>497.66921196535048</v>
      </c>
      <c r="D80" s="3">
        <f>'4B Biological treatment '!T133</f>
        <v>0.83521207767033656</v>
      </c>
      <c r="E80" s="1157">
        <f>'4B Biological treatment '!U133</f>
        <v>37.584543495165143</v>
      </c>
      <c r="F80" s="1157">
        <f>'4B Biological treatment '!W133</f>
        <v>2.2550726097099085</v>
      </c>
      <c r="G80" s="952">
        <f>'4C2 Open-burning '!R106</f>
        <v>16.375581296598956</v>
      </c>
      <c r="H80" s="952">
        <f>'4C2 Open-burning '!Z106</f>
        <v>5.5098817617828963</v>
      </c>
      <c r="I80" s="952">
        <f>'4C2 Open-burning '!AH106</f>
        <v>7.6706853770206432E-2</v>
      </c>
      <c r="J80" s="987">
        <f>'4D Wastewater treatment and dis'!AV143</f>
        <v>202.07543543121741</v>
      </c>
      <c r="K80" s="770">
        <f>'4D Wastewater treatment and dis'!AW143</f>
        <v>3.6393435987346821</v>
      </c>
      <c r="L80" s="771">
        <f t="shared" si="101"/>
        <v>10451.053451272361</v>
      </c>
      <c r="M80" s="772">
        <f t="shared" si="102"/>
        <v>17.539453631077066</v>
      </c>
      <c r="N80" s="771">
        <f t="shared" si="103"/>
        <v>1488.3479224085395</v>
      </c>
      <c r="O80" s="773">
        <f t="shared" si="104"/>
        <v>155.86222296280377</v>
      </c>
      <c r="P80" s="771">
        <f t="shared" si="105"/>
        <v>5371.7806596633172</v>
      </c>
      <c r="Q80" s="519">
        <f t="shared" si="106"/>
        <v>10451.053451272361</v>
      </c>
      <c r="R80" s="521">
        <f t="shared" si="107"/>
        <v>1505.8873760396166</v>
      </c>
      <c r="S80" s="518">
        <f t="shared" si="108"/>
        <v>155.86222296280377</v>
      </c>
      <c r="T80" s="519">
        <f t="shared" si="109"/>
        <v>5371.7806596633172</v>
      </c>
      <c r="U80" s="519">
        <f t="shared" si="110"/>
        <v>17484.583709938099</v>
      </c>
      <c r="X80" s="104"/>
      <c r="Y80" s="104"/>
      <c r="Z80" s="104"/>
      <c r="AA80" s="236"/>
      <c r="AB80" s="118"/>
      <c r="AC80" s="662"/>
      <c r="AD80" s="662"/>
      <c r="AE80" s="118"/>
      <c r="AF80" s="118"/>
      <c r="AG80" s="118"/>
      <c r="AH80" s="105"/>
      <c r="AI80" s="1422"/>
      <c r="AJ80" s="1403"/>
      <c r="AK80" s="529"/>
      <c r="AL80" s="529"/>
      <c r="AM80" s="529"/>
      <c r="AN80" s="529"/>
      <c r="AO80" s="1420"/>
      <c r="AP80" s="529"/>
      <c r="AQ80" s="104"/>
    </row>
    <row r="81" spans="1:43">
      <c r="A81" s="4">
        <f>'Input data'!A136</f>
        <v>2036</v>
      </c>
      <c r="B81" s="4"/>
      <c r="C81" s="769">
        <f>'4A SWD Case 1'!BN106</f>
        <v>482.99073285710563</v>
      </c>
      <c r="D81" s="3">
        <f>'4B Biological treatment '!T134</f>
        <v>0.84131256742640637</v>
      </c>
      <c r="E81" s="1157">
        <f>'4B Biological treatment '!U134</f>
        <v>37.859065534188282</v>
      </c>
      <c r="F81" s="1157">
        <f>'4B Biological treatment '!W134</f>
        <v>2.2715439320512969</v>
      </c>
      <c r="G81" s="952">
        <f>'4C2 Open-burning '!R107</f>
        <v>15.320681227072075</v>
      </c>
      <c r="H81" s="952">
        <f>'4C2 Open-burning '!Z107</f>
        <v>5.1549401845457679</v>
      </c>
      <c r="I81" s="952">
        <f>'4C2 Open-burning '!AH107</f>
        <v>7.1765467940307068E-2</v>
      </c>
      <c r="J81" s="987">
        <f>'4D Wastewater treatment and dis'!AV144</f>
        <v>205.93762381457663</v>
      </c>
      <c r="K81" s="770">
        <f>'4D Wastewater treatment and dis'!AW144</f>
        <v>3.6739664906342075</v>
      </c>
      <c r="L81" s="771">
        <f t="shared" si="101"/>
        <v>10142.805389999217</v>
      </c>
      <c r="M81" s="772">
        <f t="shared" si="102"/>
        <v>17.667563915954535</v>
      </c>
      <c r="N81" s="771">
        <f t="shared" si="103"/>
        <v>1499.218995153856</v>
      </c>
      <c r="O81" s="773">
        <f t="shared" si="104"/>
        <v>145.82172016402839</v>
      </c>
      <c r="P81" s="771">
        <f t="shared" si="105"/>
        <v>5463.6197122027133</v>
      </c>
      <c r="Q81" s="519">
        <f t="shared" si="106"/>
        <v>10142.805389999217</v>
      </c>
      <c r="R81" s="521">
        <f t="shared" si="107"/>
        <v>1516.8865590698106</v>
      </c>
      <c r="S81" s="518">
        <f t="shared" si="108"/>
        <v>145.82172016402839</v>
      </c>
      <c r="T81" s="519">
        <f t="shared" si="109"/>
        <v>5463.6197122027133</v>
      </c>
      <c r="U81" s="519">
        <f t="shared" si="110"/>
        <v>17269.133381435771</v>
      </c>
      <c r="X81" s="104"/>
      <c r="Y81" s="1400"/>
      <c r="Z81" s="1400"/>
      <c r="AA81" s="1398"/>
      <c r="AB81" s="1404"/>
      <c r="AC81" s="1401"/>
      <c r="AD81" s="1401"/>
      <c r="AE81" s="1141"/>
      <c r="AF81" s="1141"/>
      <c r="AG81" s="1141"/>
      <c r="AH81" s="1402"/>
      <c r="AI81" s="1421"/>
      <c r="AJ81" s="529"/>
      <c r="AK81" s="529"/>
      <c r="AL81" s="529"/>
      <c r="AM81" s="529"/>
      <c r="AN81" s="529"/>
      <c r="AO81" s="1420"/>
      <c r="AP81" s="529"/>
      <c r="AQ81" s="104"/>
    </row>
    <row r="82" spans="1:43">
      <c r="A82" s="4">
        <f>'Input data'!A137</f>
        <v>2037</v>
      </c>
      <c r="B82" s="4"/>
      <c r="C82" s="769">
        <f>'4A SWD Case 1'!BN107</f>
        <v>469.73976842819309</v>
      </c>
      <c r="D82" s="3">
        <f>'4B Biological treatment '!T135</f>
        <v>0.84845039270708966</v>
      </c>
      <c r="E82" s="1157">
        <f>'4B Biological treatment '!U135</f>
        <v>38.180267671819031</v>
      </c>
      <c r="F82" s="1157">
        <f>'4B Biological treatment '!W135</f>
        <v>2.2908160603091421</v>
      </c>
      <c r="G82" s="952">
        <f>'4C2 Open-burning '!R108</f>
        <v>14.943251303116956</v>
      </c>
      <c r="H82" s="952">
        <f>'4C2 Open-burning '!Z108</f>
        <v>5.0279465702926149</v>
      </c>
      <c r="I82" s="952">
        <f>'4C2 Open-burning '!AH108</f>
        <v>6.9997502488519492E-2</v>
      </c>
      <c r="J82" s="987">
        <f>'4D Wastewater treatment and dis'!AV145</f>
        <v>209.8004583340292</v>
      </c>
      <c r="K82" s="770">
        <f>'4D Wastewater treatment and dis'!AW145</f>
        <v>3.7079546563627162</v>
      </c>
      <c r="L82" s="771">
        <f t="shared" si="101"/>
        <v>9864.5351369920554</v>
      </c>
      <c r="M82" s="772">
        <f t="shared" si="102"/>
        <v>17.817458246848883</v>
      </c>
      <c r="N82" s="771">
        <f t="shared" si="103"/>
        <v>1511.9385998040336</v>
      </c>
      <c r="O82" s="773">
        <f t="shared" si="104"/>
        <v>142.22935505070291</v>
      </c>
      <c r="P82" s="771">
        <f t="shared" si="105"/>
        <v>5555.2755684870554</v>
      </c>
      <c r="Q82" s="519">
        <f t="shared" si="106"/>
        <v>9864.5351369920554</v>
      </c>
      <c r="R82" s="521">
        <f t="shared" si="107"/>
        <v>1529.7560580508825</v>
      </c>
      <c r="S82" s="518">
        <f t="shared" si="108"/>
        <v>142.22935505070291</v>
      </c>
      <c r="T82" s="519">
        <f t="shared" si="109"/>
        <v>5555.2755684870554</v>
      </c>
      <c r="U82" s="519">
        <f t="shared" si="110"/>
        <v>17091.796118580693</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456.70709355180628</v>
      </c>
      <c r="D83" s="3">
        <f>'4B Biological treatment '!T136</f>
        <v>0.85542076550266744</v>
      </c>
      <c r="E83" s="1157">
        <f>'4B Biological treatment '!U136</f>
        <v>38.493934447620028</v>
      </c>
      <c r="F83" s="1157">
        <f>'4B Biological treatment '!W136</f>
        <v>2.3096360668572018</v>
      </c>
      <c r="G83" s="952">
        <f>'4C2 Open-burning '!R109</f>
        <v>14.269194599745768</v>
      </c>
      <c r="H83" s="952">
        <f>'4C2 Open-burning '!Z109</f>
        <v>4.8011471261053265</v>
      </c>
      <c r="I83" s="952">
        <f>'4C2 Open-burning '!AH109</f>
        <v>6.6840071430541742E-2</v>
      </c>
      <c r="J83" s="987">
        <f>'4D Wastewater treatment and dis'!AV146</f>
        <v>213.66157006773292</v>
      </c>
      <c r="K83" s="770">
        <f>'4D Wastewater treatment and dis'!AW146</f>
        <v>3.7412842193129237</v>
      </c>
      <c r="L83" s="771">
        <f t="shared" si="101"/>
        <v>9590.8489645879326</v>
      </c>
      <c r="M83" s="772">
        <f t="shared" si="102"/>
        <v>17.963836075556017</v>
      </c>
      <c r="N83" s="771">
        <f t="shared" si="103"/>
        <v>1524.359804125753</v>
      </c>
      <c r="O83" s="773">
        <f t="shared" si="104"/>
        <v>135.81370639142557</v>
      </c>
      <c r="P83" s="771">
        <f t="shared" si="105"/>
        <v>5646.6910794093974</v>
      </c>
      <c r="Q83" s="519">
        <f t="shared" si="106"/>
        <v>9590.8489645879326</v>
      </c>
      <c r="R83" s="521">
        <f t="shared" si="107"/>
        <v>1542.323640201309</v>
      </c>
      <c r="S83" s="518">
        <f t="shared" si="108"/>
        <v>135.81370639142557</v>
      </c>
      <c r="T83" s="519">
        <f t="shared" si="109"/>
        <v>5646.6910794093974</v>
      </c>
      <c r="U83" s="519">
        <f t="shared" si="110"/>
        <v>16915.677390590063</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444.48851407752181</v>
      </c>
      <c r="D84" s="3">
        <f>'4B Biological treatment '!T137</f>
        <v>0.86289132104596267</v>
      </c>
      <c r="E84" s="1157">
        <f>'4B Biological treatment '!U137</f>
        <v>38.830109447068317</v>
      </c>
      <c r="F84" s="1157">
        <f>'4B Biological treatment '!W137</f>
        <v>2.3298065668240993</v>
      </c>
      <c r="G84" s="952">
        <f>'4C2 Open-burning '!R110</f>
        <v>13.599499716545076</v>
      </c>
      <c r="H84" s="952">
        <f>'4C2 Open-burning '!Z110</f>
        <v>4.5758153008666591</v>
      </c>
      <c r="I84" s="952">
        <f>'4C2 Open-burning '!AH110</f>
        <v>6.3703072105394123E-2</v>
      </c>
      <c r="J84" s="987">
        <f>'4D Wastewater treatment and dis'!AV147</f>
        <v>217.51855646105938</v>
      </c>
      <c r="K84" s="770">
        <f>'4D Wastewater treatment and dis'!AW147</f>
        <v>3.7739315942130265</v>
      </c>
      <c r="L84" s="771">
        <f t="shared" si="101"/>
        <v>9334.2587956279585</v>
      </c>
      <c r="M84" s="772">
        <f t="shared" si="102"/>
        <v>18.120717741965215</v>
      </c>
      <c r="N84" s="771">
        <f t="shared" si="103"/>
        <v>1537.6723341039055</v>
      </c>
      <c r="O84" s="773">
        <f t="shared" si="104"/>
        <v>129.43957338741708</v>
      </c>
      <c r="P84" s="771">
        <f t="shared" si="105"/>
        <v>5737.8084798882846</v>
      </c>
      <c r="Q84" s="519">
        <f t="shared" si="106"/>
        <v>9334.2587956279585</v>
      </c>
      <c r="R84" s="521">
        <f t="shared" si="107"/>
        <v>1555.7930518458707</v>
      </c>
      <c r="S84" s="518">
        <f t="shared" si="108"/>
        <v>129.43957338741708</v>
      </c>
      <c r="T84" s="519">
        <f t="shared" si="109"/>
        <v>5737.8084798882846</v>
      </c>
      <c r="U84" s="519">
        <f t="shared" si="110"/>
        <v>16757.299900749531</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433.05351756819698</v>
      </c>
      <c r="D85" s="3">
        <f>'4B Biological treatment '!T138</f>
        <v>0.87038710319740331</v>
      </c>
      <c r="E85" s="1157">
        <f>'4B Biological treatment '!U138</f>
        <v>39.167419643883143</v>
      </c>
      <c r="F85" s="1157">
        <f>'4B Biological treatment '!W138</f>
        <v>2.350045178632989</v>
      </c>
      <c r="G85" s="952">
        <f>'4C2 Open-burning '!R111</f>
        <v>12.933935645512737</v>
      </c>
      <c r="H85" s="952">
        <f>'4C2 Open-burning '!Z111</f>
        <v>4.3518733674562897</v>
      </c>
      <c r="I85" s="952">
        <f>'4C2 Open-burning '!AH111</f>
        <v>6.0585422420372931E-2</v>
      </c>
      <c r="J85" s="987">
        <f>'4D Wastewater treatment and dis'!AV148</f>
        <v>221.36898369686295</v>
      </c>
      <c r="K85" s="770">
        <f>'4D Wastewater treatment and dis'!AW148</f>
        <v>3.8058735146550235</v>
      </c>
      <c r="L85" s="771">
        <f t="shared" si="101"/>
        <v>9094.1238689321362</v>
      </c>
      <c r="M85" s="772">
        <f t="shared" si="102"/>
        <v>18.278129167145469</v>
      </c>
      <c r="N85" s="771">
        <f t="shared" si="103"/>
        <v>1551.0298178977725</v>
      </c>
      <c r="O85" s="773">
        <f t="shared" si="104"/>
        <v>123.10475731241043</v>
      </c>
      <c r="P85" s="771">
        <f t="shared" si="105"/>
        <v>5828.5694471771785</v>
      </c>
      <c r="Q85" s="519">
        <f t="shared" si="106"/>
        <v>9094.1238689321362</v>
      </c>
      <c r="R85" s="521">
        <f t="shared" si="107"/>
        <v>1569.3079470649179</v>
      </c>
      <c r="S85" s="518">
        <f t="shared" si="108"/>
        <v>123.10475731241043</v>
      </c>
      <c r="T85" s="519">
        <f t="shared" si="109"/>
        <v>5828.5694471771785</v>
      </c>
      <c r="U85" s="519">
        <f t="shared" si="110"/>
        <v>16615.106020486644</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422.37098975782499</v>
      </c>
      <c r="D86" s="3">
        <f>'4B Biological treatment '!T139</f>
        <v>0.8788153999671966</v>
      </c>
      <c r="E86" s="1157">
        <f>'4B Biological treatment '!U139</f>
        <v>39.546692998523845</v>
      </c>
      <c r="F86" s="1157">
        <f>'4B Biological treatment '!W139</f>
        <v>2.3728015799114308</v>
      </c>
      <c r="G86" s="952">
        <f>'4C2 Open-burning '!R112</f>
        <v>12.272220546238646</v>
      </c>
      <c r="H86" s="952">
        <f>'4C2 Open-burning '!Z112</f>
        <v>4.1292264952048656</v>
      </c>
      <c r="I86" s="952">
        <f>'4C2 Open-burning '!AH112</f>
        <v>5.7485802172504402E-2</v>
      </c>
      <c r="J86" s="987">
        <f>'4D Wastewater treatment and dis'!AV149</f>
        <v>225.21481445525706</v>
      </c>
      <c r="K86" s="770">
        <f>'4D Wastewater treatment and dis'!AW149</f>
        <v>3.8371624579893204</v>
      </c>
      <c r="L86" s="771">
        <f t="shared" si="101"/>
        <v>8869.7907849143248</v>
      </c>
      <c r="M86" s="772">
        <f t="shared" si="102"/>
        <v>18.455123399311127</v>
      </c>
      <c r="N86" s="771">
        <f t="shared" si="103"/>
        <v>1566.0490427415443</v>
      </c>
      <c r="O86" s="773">
        <f t="shared" si="104"/>
        <v>116.8065756190172</v>
      </c>
      <c r="P86" s="771">
        <f t="shared" si="105"/>
        <v>5919.0314655370876</v>
      </c>
      <c r="Q86" s="519">
        <f t="shared" si="106"/>
        <v>8869.7907849143248</v>
      </c>
      <c r="R86" s="521">
        <f t="shared" si="107"/>
        <v>1584.5041661408554</v>
      </c>
      <c r="S86" s="518">
        <f t="shared" si="108"/>
        <v>116.8065756190172</v>
      </c>
      <c r="T86" s="519">
        <f t="shared" si="109"/>
        <v>5919.0314655370876</v>
      </c>
      <c r="U86" s="519">
        <f t="shared" si="110"/>
        <v>16490.132992211285</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412.00587392095355</v>
      </c>
      <c r="D87" s="3">
        <f>'4B Biological treatment '!T140</f>
        <v>0.88737635390051506</v>
      </c>
      <c r="E87" s="1157">
        <f>'4B Biological treatment '!U140</f>
        <v>39.93193592552317</v>
      </c>
      <c r="F87" s="1157">
        <f>'4B Biological treatment '!W140</f>
        <v>2.3959161555313901</v>
      </c>
      <c r="G87" s="952">
        <f>'4C2 Open-burning '!R113</f>
        <v>11.614154799229141</v>
      </c>
      <c r="H87" s="952">
        <f>'4C2 Open-burning '!Z113</f>
        <v>3.907807518264196</v>
      </c>
      <c r="I87" s="952">
        <f>'4C2 Open-burning '!AH113</f>
        <v>5.4403276299818372E-2</v>
      </c>
      <c r="J87" s="987">
        <f>'4D Wastewater treatment and dis'!AV150</f>
        <v>229.05378810268007</v>
      </c>
      <c r="K87" s="770">
        <f>'4D Wastewater treatment and dis'!AW150</f>
        <v>3.8677777157507212</v>
      </c>
      <c r="L87" s="771">
        <f t="shared" si="101"/>
        <v>8652.1233523400242</v>
      </c>
      <c r="M87" s="772">
        <f t="shared" si="102"/>
        <v>18.634903431910818</v>
      </c>
      <c r="N87" s="771">
        <f t="shared" si="103"/>
        <v>1581.3046626507175</v>
      </c>
      <c r="O87" s="773">
        <f t="shared" si="104"/>
        <v>110.54312833572095</v>
      </c>
      <c r="P87" s="771">
        <f t="shared" si="105"/>
        <v>6009.1406420390049</v>
      </c>
      <c r="Q87" s="519">
        <f t="shared" si="106"/>
        <v>8652.1233523400242</v>
      </c>
      <c r="R87" s="521">
        <f t="shared" si="107"/>
        <v>1599.9395660826283</v>
      </c>
      <c r="S87" s="518">
        <f t="shared" si="108"/>
        <v>110.54312833572095</v>
      </c>
      <c r="T87" s="519">
        <f t="shared" si="109"/>
        <v>6009.1406420390049</v>
      </c>
      <c r="U87" s="519">
        <f t="shared" si="110"/>
        <v>16371.746688797379</v>
      </c>
    </row>
    <row r="88" spans="1:43">
      <c r="A88" s="4">
        <f>'Input data'!A143</f>
        <v>2043</v>
      </c>
      <c r="B88" s="4"/>
      <c r="C88" s="769">
        <f>'4A SWD Case 1'!BN113</f>
        <v>401.95440692486619</v>
      </c>
      <c r="D88" s="3">
        <f>'4B Biological treatment '!T141</f>
        <v>0.89615825812586825</v>
      </c>
      <c r="E88" s="1157">
        <f>'4B Biological treatment '!U141</f>
        <v>40.327121615664069</v>
      </c>
      <c r="F88" s="1157">
        <f>'4B Biological treatment '!W141</f>
        <v>2.4196272969398445</v>
      </c>
      <c r="G88" s="952">
        <f>'4C2 Open-burning '!R114</f>
        <v>10.95954713208757</v>
      </c>
      <c r="H88" s="952">
        <f>'4C2 Open-burning '!Z114</f>
        <v>3.6875520793286811</v>
      </c>
      <c r="I88" s="952">
        <f>'4C2 Open-burning '!AH114</f>
        <v>5.1336948839997849E-2</v>
      </c>
      <c r="J88" s="987">
        <f>'4D Wastewater treatment and dis'!AV151</f>
        <v>232.88361909556855</v>
      </c>
      <c r="K88" s="770">
        <f>'4D Wastewater treatment and dis'!AW151</f>
        <v>3.8976988945217657</v>
      </c>
      <c r="L88" s="771">
        <f t="shared" si="101"/>
        <v>8441.0425454221895</v>
      </c>
      <c r="M88" s="772">
        <f t="shared" si="102"/>
        <v>18.819323420643233</v>
      </c>
      <c r="N88" s="771">
        <f t="shared" si="103"/>
        <v>1596.9540159802973</v>
      </c>
      <c r="O88" s="773">
        <f t="shared" si="104"/>
        <v>104.3125949383892</v>
      </c>
      <c r="P88" s="771">
        <f t="shared" si="105"/>
        <v>6098.8426583086866</v>
      </c>
      <c r="Q88" s="519">
        <f t="shared" si="106"/>
        <v>8441.0425454221895</v>
      </c>
      <c r="R88" s="521">
        <f t="shared" si="107"/>
        <v>1615.7733394009406</v>
      </c>
      <c r="S88" s="518">
        <f t="shared" si="108"/>
        <v>104.3125949383892</v>
      </c>
      <c r="T88" s="519">
        <f t="shared" si="109"/>
        <v>6098.8426583086866</v>
      </c>
      <c r="U88" s="519">
        <f t="shared" si="110"/>
        <v>16259.971138070207</v>
      </c>
    </row>
    <row r="89" spans="1:43">
      <c r="A89" s="4">
        <f>'Input data'!A144</f>
        <v>2044</v>
      </c>
      <c r="B89" s="4"/>
      <c r="C89" s="769">
        <f>'4A SWD Case 1'!BN114</f>
        <v>392.21281808565607</v>
      </c>
      <c r="D89" s="3">
        <f>'4B Biological treatment '!T142</f>
        <v>0.90528115650270891</v>
      </c>
      <c r="E89" s="1157">
        <f>'4B Biological treatment '!U142</f>
        <v>40.737652042621896</v>
      </c>
      <c r="F89" s="1157">
        <f>'4B Biological treatment '!W142</f>
        <v>2.4442591225573138</v>
      </c>
      <c r="G89" s="952">
        <f>'4C2 Open-burning '!R115</f>
        <v>10.308214090554937</v>
      </c>
      <c r="H89" s="952">
        <f>'4C2 Open-burning '!Z115</f>
        <v>3.4683984516566926</v>
      </c>
      <c r="I89" s="952">
        <f>'4C2 Open-burning '!AH115</f>
        <v>4.8285960452616218E-2</v>
      </c>
      <c r="J89" s="987">
        <f>'4D Wastewater treatment and dis'!AV152</f>
        <v>236.70199916566239</v>
      </c>
      <c r="K89" s="770">
        <f>'4D Wastewater treatment and dis'!AW152</f>
        <v>3.9269059383895084</v>
      </c>
      <c r="L89" s="771">
        <f t="shared" si="101"/>
        <v>8236.469179798778</v>
      </c>
      <c r="M89" s="772">
        <f t="shared" si="102"/>
        <v>19.010904286556887</v>
      </c>
      <c r="N89" s="771">
        <f t="shared" si="103"/>
        <v>1613.2110208878271</v>
      </c>
      <c r="O89" s="773">
        <f t="shared" si="104"/>
        <v>98.113229315656511</v>
      </c>
      <c r="P89" s="771">
        <f t="shared" si="105"/>
        <v>6188.0828233796583</v>
      </c>
      <c r="Q89" s="519">
        <f t="shared" si="106"/>
        <v>8236.469179798778</v>
      </c>
      <c r="R89" s="521">
        <f t="shared" si="107"/>
        <v>1632.2219251743841</v>
      </c>
      <c r="S89" s="518">
        <f t="shared" si="108"/>
        <v>98.113229315656511</v>
      </c>
      <c r="T89" s="519">
        <f t="shared" si="109"/>
        <v>6188.0828233796583</v>
      </c>
      <c r="U89" s="519">
        <f t="shared" si="110"/>
        <v>16154.887157668478</v>
      </c>
    </row>
    <row r="90" spans="1:43">
      <c r="A90" s="4">
        <f>'Input data'!A145</f>
        <v>2045</v>
      </c>
      <c r="B90" s="4"/>
      <c r="C90" s="769">
        <f>'4A SWD Case 1'!BN115</f>
        <v>382.77736556464885</v>
      </c>
      <c r="D90" s="3">
        <f>'4B Biological treatment '!T143</f>
        <v>0.91478941306605144</v>
      </c>
      <c r="E90" s="1157">
        <f>'4B Biological treatment '!U143</f>
        <v>41.165523587972309</v>
      </c>
      <c r="F90" s="1157">
        <f>'4B Biological treatment '!W143</f>
        <v>2.4699314152783387</v>
      </c>
      <c r="G90" s="952">
        <f>'4C2 Open-burning '!R116</f>
        <v>9.6599795424753427</v>
      </c>
      <c r="H90" s="952">
        <f>'4C2 Open-burning '!Z116</f>
        <v>3.2502873721701198</v>
      </c>
      <c r="I90" s="952">
        <f>'4C2 Open-burning '!AH116</f>
        <v>4.5249486095601206E-2</v>
      </c>
      <c r="J90" s="987">
        <f>'4D Wastewater treatment and dis'!AV153</f>
        <v>240.50659956311304</v>
      </c>
      <c r="K90" s="770">
        <f>'4D Wastewater treatment and dis'!AW153</f>
        <v>3.9553791511829659</v>
      </c>
      <c r="L90" s="771">
        <f t="shared" si="101"/>
        <v>8038.3246768576255</v>
      </c>
      <c r="M90" s="772">
        <f t="shared" si="102"/>
        <v>19.210577674387082</v>
      </c>
      <c r="N90" s="771">
        <f t="shared" si="103"/>
        <v>1630.1547340837035</v>
      </c>
      <c r="O90" s="773">
        <f t="shared" si="104"/>
        <v>91.943355047684236</v>
      </c>
      <c r="P90" s="771">
        <f t="shared" si="105"/>
        <v>6276.8061276920935</v>
      </c>
      <c r="Q90" s="519">
        <f t="shared" si="106"/>
        <v>8038.3246768576255</v>
      </c>
      <c r="R90" s="521">
        <f t="shared" si="107"/>
        <v>1649.3653117580907</v>
      </c>
      <c r="S90" s="518">
        <f t="shared" si="108"/>
        <v>91.943355047684236</v>
      </c>
      <c r="T90" s="519">
        <f t="shared" si="109"/>
        <v>6276.8061276920935</v>
      </c>
      <c r="U90" s="519">
        <f t="shared" si="110"/>
        <v>16056.439471355494</v>
      </c>
    </row>
    <row r="91" spans="1:43">
      <c r="A91" s="4">
        <f>'Input data'!A146</f>
        <v>2046</v>
      </c>
      <c r="B91" s="4"/>
      <c r="C91" s="769">
        <f>'4A SWD Case 1'!BN116</f>
        <v>373.64403107809568</v>
      </c>
      <c r="D91" s="3">
        <f>'4B Biological treatment '!T144</f>
        <v>0.92495704097334119</v>
      </c>
      <c r="E91" s="1157">
        <f>'4B Biological treatment '!U144</f>
        <v>41.623066843800345</v>
      </c>
      <c r="F91" s="1157">
        <f>'4B Biological treatment '!W144</f>
        <v>2.497384010628021</v>
      </c>
      <c r="G91" s="952">
        <f>'4C2 Open-burning '!R117</f>
        <v>9.01462966087586</v>
      </c>
      <c r="H91" s="952">
        <f>'4C2 Open-burning '!Z117</f>
        <v>3.033146894638965</v>
      </c>
      <c r="I91" s="952">
        <f>'4C2 Open-burning '!AH117</f>
        <v>4.2226524155999548E-2</v>
      </c>
      <c r="J91" s="987">
        <f>'4D Wastewater treatment and dis'!AV154</f>
        <v>244.30006504222655</v>
      </c>
      <c r="K91" s="770">
        <f>'4D Wastewater treatment and dis'!AW154</f>
        <v>3.9831806052294589</v>
      </c>
      <c r="L91" s="771">
        <f t="shared" si="101"/>
        <v>7846.5246526400097</v>
      </c>
      <c r="M91" s="772">
        <f t="shared" si="102"/>
        <v>19.424097860440163</v>
      </c>
      <c r="N91" s="771">
        <f t="shared" si="103"/>
        <v>1648.2734470144937</v>
      </c>
      <c r="O91" s="773">
        <f t="shared" si="104"/>
        <v>85.800936936653983</v>
      </c>
      <c r="P91" s="771">
        <f t="shared" si="105"/>
        <v>6365.0873535078899</v>
      </c>
      <c r="Q91" s="519">
        <f t="shared" si="106"/>
        <v>7846.5246526400097</v>
      </c>
      <c r="R91" s="521">
        <f t="shared" si="107"/>
        <v>1667.697544874934</v>
      </c>
      <c r="S91" s="518">
        <f t="shared" si="108"/>
        <v>85.800936936653983</v>
      </c>
      <c r="T91" s="519">
        <f t="shared" si="109"/>
        <v>6365.0873535078899</v>
      </c>
      <c r="U91" s="519">
        <f t="shared" si="110"/>
        <v>15965.110487959488</v>
      </c>
    </row>
    <row r="92" spans="1:43">
      <c r="A92" s="4">
        <f>'Input data'!A147</f>
        <v>2047</v>
      </c>
      <c r="B92" s="4"/>
      <c r="C92" s="769">
        <f>'4A SWD Case 1'!BN117</f>
        <v>364.5297667830859</v>
      </c>
      <c r="D92" s="3">
        <f>'4B Biological treatment '!T145</f>
        <v>0.93127065207409054</v>
      </c>
      <c r="E92" s="1157">
        <f>'4B Biological treatment '!U145</f>
        <v>41.907179343334064</v>
      </c>
      <c r="F92" s="1157">
        <f>'4B Biological treatment '!W145</f>
        <v>2.5144307606000442</v>
      </c>
      <c r="G92" s="952">
        <f>'4C2 Open-burning '!R118</f>
        <v>8.3720121339471554</v>
      </c>
      <c r="H92" s="952">
        <f>'4C2 Open-burning '!Z118</f>
        <v>2.8169257708024706</v>
      </c>
      <c r="I92" s="952">
        <f>'4C2 Open-burning '!AH118</f>
        <v>3.9216361171524022E-2</v>
      </c>
      <c r="J92" s="987">
        <f>'4D Wastewater treatment and dis'!AV155</f>
        <v>248.08026658246831</v>
      </c>
      <c r="K92" s="770">
        <f>'4D Wastewater treatment and dis'!AW155</f>
        <v>4.0102930842333384</v>
      </c>
      <c r="L92" s="771">
        <f t="shared" si="101"/>
        <v>7655.1251024448038</v>
      </c>
      <c r="M92" s="772">
        <f t="shared" si="102"/>
        <v>19.5566836935559</v>
      </c>
      <c r="N92" s="771">
        <f t="shared" si="103"/>
        <v>1659.524301996029</v>
      </c>
      <c r="O92" s="773">
        <f t="shared" si="104"/>
        <v>79.684525283971482</v>
      </c>
      <c r="P92" s="771">
        <f t="shared" si="105"/>
        <v>6452.8764543441694</v>
      </c>
      <c r="Q92" s="519">
        <f t="shared" si="106"/>
        <v>7655.1251024448038</v>
      </c>
      <c r="R92" s="521">
        <f t="shared" si="107"/>
        <v>1679.0809856895848</v>
      </c>
      <c r="S92" s="518">
        <f t="shared" si="108"/>
        <v>79.684525283971482</v>
      </c>
      <c r="T92" s="519">
        <f t="shared" si="109"/>
        <v>6452.8764543441694</v>
      </c>
      <c r="U92" s="519">
        <f t="shared" si="110"/>
        <v>15866.767067762532</v>
      </c>
    </row>
    <row r="93" spans="1:43">
      <c r="A93" s="4">
        <f>'Input data'!A148</f>
        <v>2048</v>
      </c>
      <c r="B93" s="4"/>
      <c r="C93" s="769">
        <f>'4A SWD Case 1'!BN118</f>
        <v>355.42882249471086</v>
      </c>
      <c r="D93" s="3">
        <f>'4B Biological treatment '!T146</f>
        <v>0.93715236624572396</v>
      </c>
      <c r="E93" s="1157">
        <f>'4B Biological treatment '!U146</f>
        <v>42.171856481057574</v>
      </c>
      <c r="F93" s="1157">
        <f>'4B Biological treatment '!W146</f>
        <v>2.5303113888634545</v>
      </c>
      <c r="G93" s="952">
        <f>'4C2 Open-burning '!R119</f>
        <v>8.3588974972110091</v>
      </c>
      <c r="H93" s="952">
        <f>'4C2 Open-burning '!Z119</f>
        <v>2.8125130970502479</v>
      </c>
      <c r="I93" s="952">
        <f>'4C2 Open-burning '!AH119</f>
        <v>3.9154929305128053E-2</v>
      </c>
      <c r="J93" s="987">
        <f>'4D Wastewater treatment and dis'!AV156</f>
        <v>251.84505964787294</v>
      </c>
      <c r="K93" s="770">
        <f>'4D Wastewater treatment and dis'!AW156</f>
        <v>4.0366997059861536</v>
      </c>
      <c r="L93" s="771">
        <f t="shared" si="101"/>
        <v>7464.0052723889276</v>
      </c>
      <c r="M93" s="772">
        <f t="shared" si="102"/>
        <v>19.680199691160205</v>
      </c>
      <c r="N93" s="771">
        <f t="shared" si="103"/>
        <v>1670.0055166498801</v>
      </c>
      <c r="O93" s="773">
        <f t="shared" si="104"/>
        <v>79.559700619855903</v>
      </c>
      <c r="P93" s="771">
        <f t="shared" si="105"/>
        <v>6540.1231614610388</v>
      </c>
      <c r="Q93" s="519">
        <f t="shared" si="106"/>
        <v>7464.0052723889276</v>
      </c>
      <c r="R93" s="521">
        <f t="shared" si="107"/>
        <v>1689.6857163410402</v>
      </c>
      <c r="S93" s="518">
        <f t="shared" si="108"/>
        <v>79.559700619855903</v>
      </c>
      <c r="T93" s="519">
        <f t="shared" si="109"/>
        <v>6540.1231614610388</v>
      </c>
      <c r="U93" s="519">
        <f t="shared" si="110"/>
        <v>15773.373850810864</v>
      </c>
    </row>
    <row r="94" spans="1:43">
      <c r="A94" s="4">
        <f>'Input data'!A149</f>
        <v>2049</v>
      </c>
      <c r="B94" s="4"/>
      <c r="C94" s="769">
        <f>'4A SWD Case 1'!BN119</f>
        <v>346.63250756732691</v>
      </c>
      <c r="D94" s="3">
        <f>'4B Biological treatment '!T147</f>
        <v>0.9430127682828896</v>
      </c>
      <c r="E94" s="1157">
        <f>'4B Biological treatment '!U147</f>
        <v>42.435574572730026</v>
      </c>
      <c r="F94" s="1157">
        <f>'4B Biological treatment '!W147</f>
        <v>2.5461344743638019</v>
      </c>
      <c r="G94" s="952">
        <f>'4C2 Open-burning '!R120</f>
        <v>8.3463438013398843</v>
      </c>
      <c r="H94" s="952">
        <f>'4C2 Open-burning '!Z120</f>
        <v>2.808289162725691</v>
      </c>
      <c r="I94" s="952">
        <f>'4C2 Open-burning '!AH120</f>
        <v>3.9096125010121927E-2</v>
      </c>
      <c r="J94" s="987">
        <f>'4D Wastewater treatment and dis'!AV157</f>
        <v>255.59228616473263</v>
      </c>
      <c r="K94" s="770">
        <f>'4D Wastewater treatment and dis'!AW157</f>
        <v>4.0623839397824701</v>
      </c>
      <c r="L94" s="771">
        <f t="shared" si="101"/>
        <v>7279.2826589138649</v>
      </c>
      <c r="M94" s="772">
        <f t="shared" si="102"/>
        <v>19.80326813394068</v>
      </c>
      <c r="N94" s="771">
        <f t="shared" si="103"/>
        <v>1680.4487530801091</v>
      </c>
      <c r="O94" s="773">
        <f t="shared" si="104"/>
        <v>79.440214971717197</v>
      </c>
      <c r="P94" s="771">
        <f t="shared" si="105"/>
        <v>6626.7770307919509</v>
      </c>
      <c r="Q94" s="519">
        <f t="shared" si="106"/>
        <v>7279.2826589138649</v>
      </c>
      <c r="R94" s="521">
        <f t="shared" si="107"/>
        <v>1700.2520212140498</v>
      </c>
      <c r="S94" s="518">
        <f t="shared" si="108"/>
        <v>79.440214971717197</v>
      </c>
      <c r="T94" s="519">
        <f t="shared" si="109"/>
        <v>6626.7770307919509</v>
      </c>
      <c r="U94" s="519">
        <f t="shared" si="110"/>
        <v>15685.751925891584</v>
      </c>
    </row>
    <row r="95" spans="1:43">
      <c r="A95" s="4">
        <f>'Input data'!A150</f>
        <v>2050</v>
      </c>
      <c r="B95" s="4"/>
      <c r="C95" s="769">
        <f>'4A SWD Case 1'!BN120</f>
        <v>338.13676990847972</v>
      </c>
      <c r="D95" s="3">
        <f>'4B Biological treatment '!T148</f>
        <v>0.94874268786412896</v>
      </c>
      <c r="E95" s="1157">
        <f>'4B Biological treatment '!U148</f>
        <v>42.693420953885806</v>
      </c>
      <c r="F95" s="1157">
        <f>'4B Biological treatment '!W148</f>
        <v>2.5616052572331478</v>
      </c>
      <c r="G95" s="952">
        <f>'4C2 Open-burning '!R121</f>
        <v>8.3343374992814816</v>
      </c>
      <c r="H95" s="952">
        <f>'4C2 Open-burning '!Z121</f>
        <v>2.8042494096604482</v>
      </c>
      <c r="I95" s="952">
        <f>'4C2 Open-burning '!AH121</f>
        <v>3.9039884829108862E-2</v>
      </c>
      <c r="J95" s="987">
        <f>'4D Wastewater treatment and dis'!AV158</f>
        <v>259.3197765377094</v>
      </c>
      <c r="K95" s="770">
        <f>'4D Wastewater treatment and dis'!AW158</f>
        <v>4.0873296235717493</v>
      </c>
      <c r="L95" s="771">
        <f t="shared" si="101"/>
        <v>7100.8721680780745</v>
      </c>
      <c r="M95" s="772">
        <f t="shared" si="102"/>
        <v>19.923596445146707</v>
      </c>
      <c r="N95" s="771">
        <f t="shared" si="103"/>
        <v>1690.6594697738778</v>
      </c>
      <c r="O95" s="773">
        <f t="shared" si="104"/>
        <v>79.325939399174644</v>
      </c>
      <c r="P95" s="771">
        <f t="shared" si="105"/>
        <v>6712.7874905991393</v>
      </c>
      <c r="Q95" s="471">
        <f t="shared" si="106"/>
        <v>7100.8721680780745</v>
      </c>
      <c r="R95" s="517">
        <f t="shared" si="107"/>
        <v>1710.5830662190247</v>
      </c>
      <c r="S95" s="514">
        <f t="shared" si="108"/>
        <v>79.325939399174644</v>
      </c>
      <c r="T95" s="471">
        <f t="shared" si="109"/>
        <v>6712.7874905991393</v>
      </c>
      <c r="U95" s="471">
        <f t="shared" si="110"/>
        <v>15603.568664295413</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820.5169947820342</v>
      </c>
      <c r="D97" s="3">
        <f>'4B Biological treatment '!T150</f>
        <v>0.32115863087580998</v>
      </c>
      <c r="E97" s="1157">
        <f>'4B Biological treatment '!U150</f>
        <v>20.384176057159792</v>
      </c>
      <c r="F97" s="1157">
        <f>'4B Biological treatment '!W150</f>
        <v>1.2230505634295874</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17230.856890422718</v>
      </c>
      <c r="M97" s="772">
        <f t="shared" ref="M97:M129" si="112">D97*$B$3</f>
        <v>6.7443312483920099</v>
      </c>
      <c r="N97" s="771">
        <f t="shared" ref="N97:N129" si="113">E97*$B$3+F97*$C$3</f>
        <v>807.21337186352775</v>
      </c>
      <c r="O97" s="773">
        <f t="shared" ref="O97:O129" si="114">G97+H97*$B$3+I97*$C$3</f>
        <v>313.30333811016675</v>
      </c>
      <c r="P97" s="771">
        <f t="shared" ref="P97:P129" si="115">J97*$B$3+K97*$C$3</f>
        <v>3778.1317878798554</v>
      </c>
      <c r="Q97" s="471">
        <f t="shared" si="74"/>
        <v>17230.856890422718</v>
      </c>
      <c r="R97" s="517">
        <f t="shared" si="75"/>
        <v>813.95770311191973</v>
      </c>
      <c r="S97" s="514">
        <f t="shared" si="76"/>
        <v>313.30333811016675</v>
      </c>
      <c r="T97" s="471">
        <f t="shared" si="77"/>
        <v>3778.1317878798554</v>
      </c>
      <c r="U97" s="471">
        <f t="shared" si="78"/>
        <v>22136.249719524658</v>
      </c>
    </row>
    <row r="98" spans="1:21">
      <c r="A98" s="4">
        <f>'Input data'!A119</f>
        <v>2019</v>
      </c>
      <c r="B98" s="4"/>
      <c r="C98" s="769">
        <f>'4A SWD Case 2'!BG89</f>
        <v>801.89995091572371</v>
      </c>
      <c r="D98" s="3">
        <f>'4B Biological treatment '!T151</f>
        <v>0.42961305766478691</v>
      </c>
      <c r="E98" s="1157">
        <f>'4B Biological treatment '!U151</f>
        <v>24.145634102162916</v>
      </c>
      <c r="F98" s="1157">
        <f>'4B Biological treatment '!W151</f>
        <v>1.448738046129775</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16839.898969230198</v>
      </c>
      <c r="M98" s="772">
        <f t="shared" si="112"/>
        <v>9.0218742109605259</v>
      </c>
      <c r="N98" s="771">
        <f t="shared" si="113"/>
        <v>956.16711044565147</v>
      </c>
      <c r="O98" s="773">
        <f t="shared" si="114"/>
        <v>307.81392004196488</v>
      </c>
      <c r="P98" s="771">
        <f t="shared" si="115"/>
        <v>3922.0560748079342</v>
      </c>
      <c r="Q98" s="519">
        <f t="shared" si="74"/>
        <v>16839.898969230198</v>
      </c>
      <c r="R98" s="521">
        <f t="shared" si="75"/>
        <v>965.18898465661198</v>
      </c>
      <c r="S98" s="518">
        <f t="shared" si="76"/>
        <v>307.81392004196488</v>
      </c>
      <c r="T98" s="519">
        <f t="shared" si="77"/>
        <v>3922.0560748079342</v>
      </c>
      <c r="U98" s="519">
        <f t="shared" si="78"/>
        <v>22034.957948736708</v>
      </c>
    </row>
    <row r="99" spans="1:21">
      <c r="A99" s="4">
        <f>'Input data'!A120</f>
        <v>2020</v>
      </c>
      <c r="B99" s="4"/>
      <c r="C99" s="769">
        <f>'4A SWD Case 2'!BG90</f>
        <v>782.04931466821267</v>
      </c>
      <c r="D99" s="3">
        <f>'4B Biological treatment '!T152</f>
        <v>0.50040140009795275</v>
      </c>
      <c r="E99" s="1157">
        <f>'4B Biological treatment '!U152</f>
        <v>26.21211835115454</v>
      </c>
      <c r="F99" s="1157">
        <f>'4B Biological treatment '!W152</f>
        <v>1.5727271010692725</v>
      </c>
      <c r="G99" s="952">
        <f>'4C2 Open-burning '!R125</f>
        <v>31.474098064411585</v>
      </c>
      <c r="H99" s="952">
        <f>'4C2 Open-burning '!Z125</f>
        <v>10.590070407435555</v>
      </c>
      <c r="I99" s="952">
        <f>'4C2 Open-burning '!AH125</f>
        <v>0.14743165412255491</v>
      </c>
      <c r="J99" s="987">
        <f>'4D Wastewater treatment and dis'!AV162</f>
        <v>149.45911234524058</v>
      </c>
      <c r="K99" s="770">
        <f>'4D Wastewater treatment and dis'!AW162</f>
        <v>2.9866449441145018</v>
      </c>
      <c r="L99" s="771">
        <f t="shared" si="111"/>
        <v>16423.035608032467</v>
      </c>
      <c r="M99" s="772">
        <f t="shared" si="112"/>
        <v>10.508429402057008</v>
      </c>
      <c r="N99" s="771">
        <f t="shared" si="113"/>
        <v>1037.9998867057197</v>
      </c>
      <c r="O99" s="773">
        <f t="shared" si="114"/>
        <v>299.56938939855024</v>
      </c>
      <c r="P99" s="771">
        <f t="shared" si="115"/>
        <v>4064.5012919255478</v>
      </c>
      <c r="Q99" s="519">
        <f t="shared" si="74"/>
        <v>16423.035608032467</v>
      </c>
      <c r="R99" s="521">
        <f t="shared" si="75"/>
        <v>1048.5083161077769</v>
      </c>
      <c r="S99" s="518">
        <f t="shared" si="76"/>
        <v>299.56938939855024</v>
      </c>
      <c r="T99" s="519">
        <f t="shared" si="77"/>
        <v>4064.5012919255478</v>
      </c>
      <c r="U99" s="519">
        <f t="shared" si="78"/>
        <v>21835.614605464347</v>
      </c>
    </row>
    <row r="100" spans="1:21">
      <c r="A100" s="4">
        <f>'Input data'!A121</f>
        <v>2021</v>
      </c>
      <c r="B100" s="4"/>
      <c r="C100" s="769">
        <f>'4A SWD Case 2'!BG91</f>
        <v>760.92314648950094</v>
      </c>
      <c r="D100" s="3">
        <f>'4B Biological treatment '!T153</f>
        <v>0.65482945907093093</v>
      </c>
      <c r="E100" s="1157">
        <f>'4B Biological treatment '!U153</f>
        <v>31.799711006813553</v>
      </c>
      <c r="F100" s="1157">
        <f>'4B Biological treatment '!W153</f>
        <v>1.9079826604088135</v>
      </c>
      <c r="G100" s="952">
        <f>'4C2 Open-burning '!R126</f>
        <v>28.90780951051277</v>
      </c>
      <c r="H100" s="952">
        <f>'4C2 Open-burning '!Z126</f>
        <v>9.7265928769288355</v>
      </c>
      <c r="I100" s="952">
        <f>'4C2 Open-burning '!AH126</f>
        <v>0.13541058950990784</v>
      </c>
      <c r="J100" s="987">
        <f>'4D Wastewater treatment and dis'!AV163</f>
        <v>155.88802560710414</v>
      </c>
      <c r="K100" s="770">
        <f>'4D Wastewater treatment and dis'!AW163</f>
        <v>3.0338615645529843</v>
      </c>
      <c r="L100" s="771">
        <f t="shared" si="111"/>
        <v>15979.386076279519</v>
      </c>
      <c r="M100" s="772">
        <f t="shared" si="112"/>
        <v>13.75141864048955</v>
      </c>
      <c r="N100" s="771">
        <f t="shared" si="113"/>
        <v>1259.2685558698167</v>
      </c>
      <c r="O100" s="773">
        <f t="shared" si="114"/>
        <v>275.14354267408976</v>
      </c>
      <c r="P100" s="771">
        <f t="shared" si="115"/>
        <v>4214.1456227606122</v>
      </c>
      <c r="Q100" s="519">
        <f t="shared" si="74"/>
        <v>15979.386076279519</v>
      </c>
      <c r="R100" s="521">
        <f t="shared" si="75"/>
        <v>1273.0199745103064</v>
      </c>
      <c r="S100" s="518">
        <f t="shared" si="76"/>
        <v>275.14354267408976</v>
      </c>
      <c r="T100" s="519">
        <f t="shared" si="77"/>
        <v>4214.1456227606122</v>
      </c>
      <c r="U100" s="519">
        <f t="shared" si="78"/>
        <v>21741.695216224529</v>
      </c>
    </row>
    <row r="101" spans="1:21">
      <c r="A101" s="4">
        <f>'Input data'!A122</f>
        <v>2022</v>
      </c>
      <c r="B101" s="4"/>
      <c r="C101" s="769">
        <f>'4A SWD Case 2'!BG92</f>
        <v>735.07234077853605</v>
      </c>
      <c r="D101" s="3">
        <f>'4B Biological treatment '!T154</f>
        <v>0.76691060117424481</v>
      </c>
      <c r="E101" s="1157">
        <f>'4B Biological treatment '!U154</f>
        <v>34.510977052841014</v>
      </c>
      <c r="F101" s="1157">
        <f>'4B Biological treatment '!W154</f>
        <v>2.0706586231704609</v>
      </c>
      <c r="G101" s="952">
        <f>'4C2 Open-burning '!R127</f>
        <v>24.012757033164188</v>
      </c>
      <c r="H101" s="952">
        <f>'4C2 Open-burning '!Z127</f>
        <v>8.0795575821564434</v>
      </c>
      <c r="I101" s="952">
        <f>'4C2 Open-burning '!AH127</f>
        <v>0.11248107832025324</v>
      </c>
      <c r="J101" s="987">
        <f>'4D Wastewater treatment and dis'!AV164</f>
        <v>162.53677945517521</v>
      </c>
      <c r="K101" s="770">
        <f>'4D Wastewater treatment and dis'!AW164</f>
        <v>3.0828473994736778</v>
      </c>
      <c r="L101" s="771">
        <f t="shared" si="111"/>
        <v>15436.519156349257</v>
      </c>
      <c r="M101" s="772">
        <f t="shared" si="112"/>
        <v>16.105122624659142</v>
      </c>
      <c r="N101" s="771">
        <f t="shared" si="113"/>
        <v>1366.6346912925042</v>
      </c>
      <c r="O101" s="773">
        <f t="shared" si="114"/>
        <v>228.55260053772801</v>
      </c>
      <c r="P101" s="771">
        <f t="shared" si="115"/>
        <v>4368.9550623955192</v>
      </c>
      <c r="Q101" s="519">
        <f t="shared" si="74"/>
        <v>15436.519156349257</v>
      </c>
      <c r="R101" s="521">
        <f t="shared" si="75"/>
        <v>1382.7398139171632</v>
      </c>
      <c r="S101" s="518">
        <f t="shared" si="76"/>
        <v>228.55260053772801</v>
      </c>
      <c r="T101" s="519">
        <f t="shared" si="77"/>
        <v>4368.9550623955192</v>
      </c>
      <c r="U101" s="519">
        <f t="shared" si="78"/>
        <v>21416.766633199666</v>
      </c>
    </row>
    <row r="102" spans="1:21">
      <c r="A102" s="4">
        <f>'Input data'!A123</f>
        <v>2023</v>
      </c>
      <c r="B102" s="4"/>
      <c r="C102" s="769">
        <f>'4A SWD Case 2'!BG93</f>
        <v>707.49567209982308</v>
      </c>
      <c r="D102" s="3">
        <f>'4B Biological treatment '!T155</f>
        <v>0.77139963259962596</v>
      </c>
      <c r="E102" s="1157">
        <f>'4B Biological treatment '!U155</f>
        <v>34.712983466983161</v>
      </c>
      <c r="F102" s="1157">
        <f>'4B Biological treatment '!W155</f>
        <v>2.0827790080189899</v>
      </c>
      <c r="G102" s="952">
        <f>'4C2 Open-burning '!R128</f>
        <v>22.736363068150862</v>
      </c>
      <c r="H102" s="952">
        <f>'4C2 Open-burning '!Z128</f>
        <v>7.650090090206259</v>
      </c>
      <c r="I102" s="952">
        <f>'4C2 Open-burning '!AH128</f>
        <v>0.10650216597179291</v>
      </c>
      <c r="J102" s="987">
        <f>'4D Wastewater treatment and dis'!AV165</f>
        <v>169.3519823715817</v>
      </c>
      <c r="K102" s="770">
        <f>'4D Wastewater treatment and dis'!AW165</f>
        <v>3.132483295366991</v>
      </c>
      <c r="L102" s="771">
        <f t="shared" si="111"/>
        <v>14857.409114096285</v>
      </c>
      <c r="M102" s="772">
        <f t="shared" si="112"/>
        <v>16.199392284592147</v>
      </c>
      <c r="N102" s="771">
        <f t="shared" si="113"/>
        <v>1374.634145292533</v>
      </c>
      <c r="O102" s="773">
        <f t="shared" si="114"/>
        <v>216.40392641373811</v>
      </c>
      <c r="P102" s="771">
        <f t="shared" si="115"/>
        <v>4527.4614513669821</v>
      </c>
      <c r="Q102" s="519">
        <f t="shared" si="74"/>
        <v>14857.409114096285</v>
      </c>
      <c r="R102" s="521">
        <f t="shared" si="75"/>
        <v>1390.8335375771253</v>
      </c>
      <c r="S102" s="518">
        <f t="shared" si="76"/>
        <v>216.40392641373811</v>
      </c>
      <c r="T102" s="519">
        <f t="shared" si="77"/>
        <v>4527.4614513669821</v>
      </c>
      <c r="U102" s="519">
        <f t="shared" si="78"/>
        <v>20992.108029454132</v>
      </c>
    </row>
    <row r="103" spans="1:21">
      <c r="A103" s="4">
        <f>'Input data'!A124</f>
        <v>2024</v>
      </c>
      <c r="B103" s="4"/>
      <c r="C103" s="769">
        <f>'4A SWD Case 2'!BG94</f>
        <v>681.05309217283877</v>
      </c>
      <c r="D103" s="3">
        <f>'4B Biological treatment '!T156</f>
        <v>0.77621704487242149</v>
      </c>
      <c r="E103" s="1157">
        <f>'4B Biological treatment '!U156</f>
        <v>34.929767019258961</v>
      </c>
      <c r="F103" s="1157">
        <f>'4B Biological treatment '!W156</f>
        <v>2.0957860211555377</v>
      </c>
      <c r="G103" s="952">
        <f>'4C2 Open-burning '!R129</f>
        <v>21.443198533790632</v>
      </c>
      <c r="H103" s="952">
        <f>'4C2 Open-burning '!Z129</f>
        <v>7.214979815108074</v>
      </c>
      <c r="I103" s="952">
        <f>'4C2 Open-burning '!AH129</f>
        <v>0.10044469655795363</v>
      </c>
      <c r="J103" s="987">
        <f>'4D Wastewater treatment and dis'!AV166</f>
        <v>176.34450925430923</v>
      </c>
      <c r="K103" s="770">
        <f>'4D Wastewater treatment and dis'!AW166</f>
        <v>3.1829183622350183</v>
      </c>
      <c r="L103" s="771">
        <f t="shared" si="111"/>
        <v>14302.114935629614</v>
      </c>
      <c r="M103" s="772">
        <f t="shared" si="112"/>
        <v>16.30055794232085</v>
      </c>
      <c r="N103" s="771">
        <f t="shared" si="113"/>
        <v>1383.2187739626547</v>
      </c>
      <c r="O103" s="773">
        <f t="shared" si="114"/>
        <v>204.0956305840258</v>
      </c>
      <c r="P103" s="771">
        <f t="shared" si="115"/>
        <v>4689.9393866333494</v>
      </c>
      <c r="Q103" s="519">
        <f t="shared" si="74"/>
        <v>14302.114935629614</v>
      </c>
      <c r="R103" s="521">
        <f t="shared" si="75"/>
        <v>1399.5193319049756</v>
      </c>
      <c r="S103" s="518">
        <f t="shared" si="76"/>
        <v>204.0956305840258</v>
      </c>
      <c r="T103" s="519">
        <f t="shared" si="77"/>
        <v>4689.9393866333494</v>
      </c>
      <c r="U103" s="519">
        <f t="shared" si="78"/>
        <v>20595.669284751966</v>
      </c>
    </row>
    <row r="104" spans="1:21">
      <c r="A104" s="4">
        <f>'Input data'!A125</f>
        <v>2025</v>
      </c>
      <c r="B104" s="4"/>
      <c r="C104" s="769">
        <f>'4A SWD Case 2'!BG95</f>
        <v>655.66237196451073</v>
      </c>
      <c r="D104" s="3">
        <f>'4B Biological treatment '!T157</f>
        <v>0.78077653682400283</v>
      </c>
      <c r="E104" s="1157">
        <f>'4B Biological treatment '!U157</f>
        <v>35.134944157080128</v>
      </c>
      <c r="F104" s="1157">
        <f>'4B Biological treatment '!W157</f>
        <v>2.1080966494248075</v>
      </c>
      <c r="G104" s="952">
        <f>'4C2 Open-burning '!R130</f>
        <v>20.132501109312408</v>
      </c>
      <c r="H104" s="952">
        <f>'4C2 Open-burning '!Z130</f>
        <v>6.7739702592611444</v>
      </c>
      <c r="I104" s="952">
        <f>'4C2 Open-burning '!AH130</f>
        <v>9.4305099199213233E-2</v>
      </c>
      <c r="J104" s="987">
        <f>'4D Wastewater treatment and dis'!AV167</f>
        <v>183.51830345634633</v>
      </c>
      <c r="K104" s="770">
        <f>'4D Wastewater treatment and dis'!AW167</f>
        <v>3.2341654672625948</v>
      </c>
      <c r="L104" s="771">
        <f t="shared" si="111"/>
        <v>13768.909811254725</v>
      </c>
      <c r="M104" s="772">
        <f t="shared" si="112"/>
        <v>16.39630727330406</v>
      </c>
      <c r="N104" s="771">
        <f t="shared" si="113"/>
        <v>1391.3437886203728</v>
      </c>
      <c r="O104" s="773">
        <f t="shared" si="114"/>
        <v>191.62045730555255</v>
      </c>
      <c r="P104" s="771">
        <f t="shared" si="115"/>
        <v>4856.4756674346772</v>
      </c>
      <c r="Q104" s="519">
        <f t="shared" si="74"/>
        <v>13768.909811254725</v>
      </c>
      <c r="R104" s="521">
        <f t="shared" si="75"/>
        <v>1407.7400958936769</v>
      </c>
      <c r="S104" s="518">
        <f t="shared" si="76"/>
        <v>191.62045730555255</v>
      </c>
      <c r="T104" s="519">
        <f t="shared" si="77"/>
        <v>4856.4756674346772</v>
      </c>
      <c r="U104" s="519">
        <f t="shared" si="78"/>
        <v>20224.746031888633</v>
      </c>
    </row>
    <row r="105" spans="1:21">
      <c r="A105" s="4">
        <f>'Input data'!A126</f>
        <v>2026</v>
      </c>
      <c r="B105" s="4"/>
      <c r="C105" s="769">
        <f>'4A SWD Case 2'!BG96</f>
        <v>631.24478280874223</v>
      </c>
      <c r="D105" s="3">
        <f>'4B Biological treatment '!T158</f>
        <v>0.78473928901048162</v>
      </c>
      <c r="E105" s="1157">
        <f>'4B Biological treatment '!U158</f>
        <v>35.31326800547167</v>
      </c>
      <c r="F105" s="1157">
        <f>'4B Biological treatment '!W158</f>
        <v>2.1187960803283001</v>
      </c>
      <c r="G105" s="952">
        <f>'4C2 Open-burning '!R131</f>
        <v>18.809454737731077</v>
      </c>
      <c r="H105" s="952">
        <f>'4C2 Open-burning '!Z131</f>
        <v>6.3288056607816365</v>
      </c>
      <c r="I105" s="952">
        <f>'4C2 Open-burning '!AH131</f>
        <v>8.810765663409531E-2</v>
      </c>
      <c r="J105" s="987">
        <f>'4D Wastewater treatment and dis'!AV168</f>
        <v>190.70241786128247</v>
      </c>
      <c r="K105" s="770">
        <f>'4D Wastewater treatment and dis'!AW168</f>
        <v>3.2832252909215254</v>
      </c>
      <c r="L105" s="771">
        <f t="shared" si="111"/>
        <v>13256.140438983586</v>
      </c>
      <c r="M105" s="772">
        <f t="shared" si="112"/>
        <v>16.479525069220113</v>
      </c>
      <c r="N105" s="771">
        <f t="shared" si="113"/>
        <v>1398.4054130166783</v>
      </c>
      <c r="O105" s="773">
        <f t="shared" si="114"/>
        <v>179.02774717071497</v>
      </c>
      <c r="P105" s="771">
        <f t="shared" si="115"/>
        <v>5022.5506152726048</v>
      </c>
      <c r="Q105" s="519">
        <f t="shared" si="74"/>
        <v>13256.140438983586</v>
      </c>
      <c r="R105" s="521">
        <f t="shared" si="75"/>
        <v>1414.8849380858983</v>
      </c>
      <c r="S105" s="518">
        <f t="shared" si="76"/>
        <v>179.02774717071497</v>
      </c>
      <c r="T105" s="519">
        <f t="shared" si="77"/>
        <v>5022.5506152726048</v>
      </c>
      <c r="U105" s="519">
        <f t="shared" si="78"/>
        <v>19872.603739512804</v>
      </c>
    </row>
    <row r="106" spans="1:21">
      <c r="A106" s="4">
        <f>'Input data'!A127</f>
        <v>2027</v>
      </c>
      <c r="B106" s="4"/>
      <c r="C106" s="769">
        <f>'4A SWD Case 2'!BG97</f>
        <v>607.72285642241604</v>
      </c>
      <c r="D106" s="3">
        <f>'4B Biological treatment '!T159</f>
        <v>0.78867376999817651</v>
      </c>
      <c r="E106" s="1157">
        <f>'4B Biological treatment '!U159</f>
        <v>35.490319649917943</v>
      </c>
      <c r="F106" s="1157">
        <f>'4B Biological treatment '!W159</f>
        <v>2.1294191789950765</v>
      </c>
      <c r="G106" s="952">
        <f>'4C2 Open-burning '!R132</f>
        <v>17.471857887699493</v>
      </c>
      <c r="H106" s="952">
        <f>'4C2 Open-burning '!Z132</f>
        <v>5.8787452717719368</v>
      </c>
      <c r="I106" s="952">
        <f>'4C2 Open-burning '!AH132</f>
        <v>8.1842056401621677E-2</v>
      </c>
      <c r="J106" s="987">
        <f>'4D Wastewater treatment and dis'!AV169</f>
        <v>197.8805345060766</v>
      </c>
      <c r="K106" s="770">
        <f>'4D Wastewater treatment and dis'!AW169</f>
        <v>3.3299712250896238</v>
      </c>
      <c r="L106" s="771">
        <f t="shared" si="111"/>
        <v>12762.179984870738</v>
      </c>
      <c r="M106" s="772">
        <f t="shared" si="112"/>
        <v>16.562149169961707</v>
      </c>
      <c r="N106" s="771">
        <f t="shared" si="113"/>
        <v>1405.4166581367504</v>
      </c>
      <c r="O106" s="773">
        <f t="shared" si="114"/>
        <v>166.29654607941288</v>
      </c>
      <c r="P106" s="771">
        <f t="shared" si="115"/>
        <v>5187.7823044053921</v>
      </c>
      <c r="Q106" s="519">
        <f t="shared" si="74"/>
        <v>12762.179984870738</v>
      </c>
      <c r="R106" s="521">
        <f t="shared" si="75"/>
        <v>1421.978807306712</v>
      </c>
      <c r="S106" s="518">
        <f t="shared" si="76"/>
        <v>166.29654607941288</v>
      </c>
      <c r="T106" s="519">
        <f t="shared" si="77"/>
        <v>5187.7823044053921</v>
      </c>
      <c r="U106" s="519">
        <f t="shared" si="78"/>
        <v>19538.237642662254</v>
      </c>
    </row>
    <row r="107" spans="1:21">
      <c r="A107" s="4">
        <f>'Input data'!A128</f>
        <v>2028</v>
      </c>
      <c r="B107" s="4"/>
      <c r="C107" s="769">
        <f>'4A SWD Case 2'!BG98</f>
        <v>585.06956153896658</v>
      </c>
      <c r="D107" s="3">
        <f>'4B Biological treatment '!T160</f>
        <v>0.79269523928982233</v>
      </c>
      <c r="E107" s="1157">
        <f>'4B Biological treatment '!U160</f>
        <v>35.671285768041997</v>
      </c>
      <c r="F107" s="1157">
        <f>'4B Biological treatment '!W160</f>
        <v>2.1402771460825196</v>
      </c>
      <c r="G107" s="952">
        <f>'4C2 Open-burning '!R133</f>
        <v>16.117504712260246</v>
      </c>
      <c r="H107" s="952">
        <f>'4C2 Open-burning '!Z133</f>
        <v>5.423046892263705</v>
      </c>
      <c r="I107" s="952">
        <f>'4C2 Open-burning '!AH133</f>
        <v>7.5497965825538763E-2</v>
      </c>
      <c r="J107" s="987">
        <f>'4D Wastewater treatment and dis'!AV170</f>
        <v>205.03592570635027</v>
      </c>
      <c r="K107" s="770">
        <f>'4D Wastewater treatment and dis'!AW170</f>
        <v>3.3742810888374657</v>
      </c>
      <c r="L107" s="771">
        <f t="shared" si="111"/>
        <v>12286.460792318298</v>
      </c>
      <c r="M107" s="772">
        <f t="shared" si="112"/>
        <v>16.646600025086268</v>
      </c>
      <c r="N107" s="771">
        <f t="shared" si="113"/>
        <v>1412.5829164144629</v>
      </c>
      <c r="O107" s="773">
        <f t="shared" si="114"/>
        <v>153.40585885571505</v>
      </c>
      <c r="P107" s="771">
        <f t="shared" si="115"/>
        <v>5351.7815773729699</v>
      </c>
      <c r="Q107" s="519">
        <f t="shared" si="74"/>
        <v>12286.460792318298</v>
      </c>
      <c r="R107" s="521">
        <f t="shared" si="75"/>
        <v>1429.2295164395491</v>
      </c>
      <c r="S107" s="518">
        <f t="shared" si="76"/>
        <v>153.40585885571505</v>
      </c>
      <c r="T107" s="519">
        <f t="shared" si="77"/>
        <v>5351.7815773729699</v>
      </c>
      <c r="U107" s="519">
        <f t="shared" si="78"/>
        <v>19220.87774498653</v>
      </c>
    </row>
    <row r="108" spans="1:21">
      <c r="A108" s="4">
        <f>'Input data'!A129</f>
        <v>2029</v>
      </c>
      <c r="B108" s="4"/>
      <c r="C108" s="769">
        <f>'4A SWD Case 2'!BG99</f>
        <v>563.22090827226964</v>
      </c>
      <c r="D108" s="3">
        <f>'4B Biological treatment '!T161</f>
        <v>0.79803719103544102</v>
      </c>
      <c r="E108" s="1157">
        <f>'4B Biological treatment '!U161</f>
        <v>35.911673596594845</v>
      </c>
      <c r="F108" s="1157">
        <f>'4B Biological treatment '!W161</f>
        <v>2.1547004157956904</v>
      </c>
      <c r="G108" s="952">
        <f>'4C2 Open-burning '!R134</f>
        <v>14.744168560360768</v>
      </c>
      <c r="H108" s="952">
        <f>'4C2 Open-burning '!Z134</f>
        <v>4.9609613223475026</v>
      </c>
      <c r="I108" s="952">
        <f>'4C2 Open-burning '!AH134</f>
        <v>6.9064954778598378E-2</v>
      </c>
      <c r="J108" s="987">
        <f>'4D Wastewater treatment and dis'!AV171</f>
        <v>212.15151642125332</v>
      </c>
      <c r="K108" s="770">
        <f>'4D Wastewater treatment and dis'!AW171</f>
        <v>3.4160376549203448</v>
      </c>
      <c r="L108" s="771">
        <f t="shared" si="111"/>
        <v>11827.639073717663</v>
      </c>
      <c r="M108" s="772">
        <f t="shared" si="112"/>
        <v>16.758781011744261</v>
      </c>
      <c r="N108" s="771">
        <f t="shared" si="113"/>
        <v>1422.1022744251559</v>
      </c>
      <c r="O108" s="773">
        <f t="shared" si="114"/>
        <v>140.33449231102381</v>
      </c>
      <c r="P108" s="771">
        <f t="shared" si="115"/>
        <v>5514.1535178716267</v>
      </c>
      <c r="Q108" s="519">
        <f t="shared" si="74"/>
        <v>11827.639073717663</v>
      </c>
      <c r="R108" s="521">
        <f t="shared" si="75"/>
        <v>1438.8610554369002</v>
      </c>
      <c r="S108" s="518">
        <f t="shared" si="76"/>
        <v>140.33449231102381</v>
      </c>
      <c r="T108" s="519">
        <f t="shared" si="77"/>
        <v>5514.1535178716267</v>
      </c>
      <c r="U108" s="519">
        <f t="shared" si="78"/>
        <v>18920.988139337212</v>
      </c>
    </row>
    <row r="109" spans="1:21">
      <c r="A109" s="4">
        <f>'Input data'!A130</f>
        <v>2030</v>
      </c>
      <c r="B109" s="4"/>
      <c r="C109" s="769">
        <f>'4A SWD Case 2'!BG100</f>
        <v>541.9482064563424</v>
      </c>
      <c r="D109" s="3">
        <f>'4B Biological treatment '!T162</f>
        <v>0.80284285988720328</v>
      </c>
      <c r="E109" s="1157">
        <f>'4B Biological treatment '!U162</f>
        <v>36.127928694924137</v>
      </c>
      <c r="F109" s="1157">
        <f>'4B Biological treatment '!W162</f>
        <v>2.1676757216954483</v>
      </c>
      <c r="G109" s="952">
        <f>'4C2 Open-burning '!R135</f>
        <v>13.349585440445585</v>
      </c>
      <c r="H109" s="952">
        <f>'4C2 Open-burning '!Z135</f>
        <v>4.491726798177857</v>
      </c>
      <c r="I109" s="952">
        <f>'4C2 Open-burning '!AH135</f>
        <v>6.2532418222357194E-2</v>
      </c>
      <c r="J109" s="987">
        <f>'4D Wastewater treatment and dis'!AV172</f>
        <v>219.2099499261966</v>
      </c>
      <c r="K109" s="770">
        <f>'4D Wastewater treatment and dis'!AW172</f>
        <v>3.4551291616770792</v>
      </c>
      <c r="L109" s="771">
        <f t="shared" si="111"/>
        <v>11380.912335583191</v>
      </c>
      <c r="M109" s="772">
        <f t="shared" si="112"/>
        <v>16.859700057631269</v>
      </c>
      <c r="N109" s="771">
        <f t="shared" si="113"/>
        <v>1430.6659763189959</v>
      </c>
      <c r="O109" s="773">
        <f t="shared" si="114"/>
        <v>127.06089785111131</v>
      </c>
      <c r="P109" s="771">
        <f t="shared" si="115"/>
        <v>5674.4989885700234</v>
      </c>
      <c r="Q109" s="519">
        <f t="shared" si="74"/>
        <v>11380.912335583191</v>
      </c>
      <c r="R109" s="521">
        <f t="shared" si="75"/>
        <v>1447.5256763766272</v>
      </c>
      <c r="S109" s="518">
        <f t="shared" si="76"/>
        <v>127.06089785111131</v>
      </c>
      <c r="T109" s="519">
        <f t="shared" si="77"/>
        <v>5674.4989885700234</v>
      </c>
      <c r="U109" s="519">
        <f t="shared" si="78"/>
        <v>18629.997898380952</v>
      </c>
    </row>
    <row r="110" spans="1:21">
      <c r="A110" s="4">
        <f>'Input data'!A131</f>
        <v>2031</v>
      </c>
      <c r="B110" s="4"/>
      <c r="C110" s="769">
        <f>'4A SWD Case 2'!BG101</f>
        <v>521.29501703305868</v>
      </c>
      <c r="D110" s="3">
        <f>'4B Biological treatment '!T163</f>
        <v>0.80853146002406595</v>
      </c>
      <c r="E110" s="1157">
        <f>'4B Biological treatment '!U163</f>
        <v>36.383915701082962</v>
      </c>
      <c r="F110" s="1157">
        <f>'4B Biological treatment '!W163</f>
        <v>2.1830349420649782</v>
      </c>
      <c r="G110" s="952">
        <f>'4C2 Open-burning '!R136</f>
        <v>11.765107989669922</v>
      </c>
      <c r="H110" s="952">
        <f>'4C2 Open-burning '!Z136</f>
        <v>3.9585986453593502</v>
      </c>
      <c r="I110" s="952">
        <f>'4C2 Open-burning '!AH136</f>
        <v>5.5110374514871767E-2</v>
      </c>
      <c r="J110" s="987">
        <f>'4D Wastewater treatment and dis'!AV173</f>
        <v>221.6453728861629</v>
      </c>
      <c r="K110" s="770">
        <f>'4D Wastewater treatment and dis'!AW173</f>
        <v>3.493515653224704</v>
      </c>
      <c r="L110" s="771">
        <f t="shared" si="111"/>
        <v>10947.195357694232</v>
      </c>
      <c r="M110" s="772">
        <f t="shared" si="112"/>
        <v>16.979160660505386</v>
      </c>
      <c r="N110" s="771">
        <f t="shared" si="113"/>
        <v>1440.8030617628856</v>
      </c>
      <c r="O110" s="773">
        <f t="shared" si="114"/>
        <v>111.97989564182652</v>
      </c>
      <c r="P110" s="771">
        <f t="shared" si="115"/>
        <v>5737.542683109079</v>
      </c>
      <c r="Q110" s="519">
        <f t="shared" si="74"/>
        <v>10947.195357694232</v>
      </c>
      <c r="R110" s="521">
        <f t="shared" si="75"/>
        <v>1457.782222423391</v>
      </c>
      <c r="S110" s="518">
        <f t="shared" si="76"/>
        <v>111.97989564182652</v>
      </c>
      <c r="T110" s="519">
        <f t="shared" si="77"/>
        <v>5737.542683109079</v>
      </c>
      <c r="U110" s="519">
        <f t="shared" si="78"/>
        <v>18254.50015886853</v>
      </c>
    </row>
    <row r="111" spans="1:21">
      <c r="A111" s="4">
        <f>'Input data'!A132</f>
        <v>2032</v>
      </c>
      <c r="B111" s="4"/>
      <c r="C111" s="769">
        <f>'4A SWD Case 2'!BG102</f>
        <v>501.07628483479033</v>
      </c>
      <c r="D111" s="3">
        <f>'4B Biological treatment '!T164</f>
        <v>0.81448406966341946</v>
      </c>
      <c r="E111" s="1157">
        <f>'4B Biological treatment '!U164</f>
        <v>36.651783134853872</v>
      </c>
      <c r="F111" s="1157">
        <f>'4B Biological treatment '!W164</f>
        <v>2.1991069880912324</v>
      </c>
      <c r="G111" s="952">
        <f>'4C2 Open-burning '!R137</f>
        <v>10.193963532870798</v>
      </c>
      <c r="H111" s="952">
        <f>'4C2 Open-burning '!Z137</f>
        <v>3.4299566368193712</v>
      </c>
      <c r="I111" s="952">
        <f>'4C2 Open-burning '!AH137</f>
        <v>4.7750785507512924E-2</v>
      </c>
      <c r="J111" s="987">
        <f>'4D Wastewater treatment and dis'!AV174</f>
        <v>224.03392990775248</v>
      </c>
      <c r="K111" s="770">
        <f>'4D Wastewater treatment and dis'!AW174</f>
        <v>3.5311634562664973</v>
      </c>
      <c r="L111" s="771">
        <f t="shared" si="111"/>
        <v>10522.601981530597</v>
      </c>
      <c r="M111" s="772">
        <f t="shared" si="112"/>
        <v>17.10416546293181</v>
      </c>
      <c r="N111" s="771">
        <f t="shared" si="113"/>
        <v>1451.4106121402133</v>
      </c>
      <c r="O111" s="773">
        <f t="shared" si="114"/>
        <v>97.02579641340661</v>
      </c>
      <c r="P111" s="771">
        <f t="shared" si="115"/>
        <v>5799.3731995054168</v>
      </c>
      <c r="Q111" s="519">
        <f t="shared" si="74"/>
        <v>10522.601981530597</v>
      </c>
      <c r="R111" s="521">
        <f t="shared" si="75"/>
        <v>1468.5147776031451</v>
      </c>
      <c r="S111" s="518">
        <f t="shared" si="76"/>
        <v>97.02579641340661</v>
      </c>
      <c r="T111" s="519">
        <f t="shared" si="77"/>
        <v>5799.3731995054168</v>
      </c>
      <c r="U111" s="519">
        <f t="shared" si="78"/>
        <v>17887.515755052566</v>
      </c>
    </row>
    <row r="112" spans="1:21">
      <c r="A112" s="4">
        <f>'Input data'!A133</f>
        <v>2033</v>
      </c>
      <c r="B112" s="4"/>
      <c r="C112" s="769">
        <f>'4A SWD Case 2'!BG103</f>
        <v>481.26746084903328</v>
      </c>
      <c r="D112" s="3">
        <f>'4B Biological treatment '!T165</f>
        <v>0.82148488836538025</v>
      </c>
      <c r="E112" s="1157">
        <f>'4B Biological treatment '!U165</f>
        <v>36.966819976442103</v>
      </c>
      <c r="F112" s="1157">
        <f>'4B Biological treatment '!W165</f>
        <v>2.2180091985865262</v>
      </c>
      <c r="G112" s="952">
        <f>'4C2 Open-burning '!R138</f>
        <v>10.159140937478856</v>
      </c>
      <c r="H112" s="952">
        <f>'4C2 Open-burning '!Z138</f>
        <v>3.4182398995767151</v>
      </c>
      <c r="I112" s="952">
        <f>'4C2 Open-burning '!AH138</f>
        <v>4.758766874944196E-2</v>
      </c>
      <c r="J112" s="987">
        <f>'4D Wastewater treatment and dis'!AV175</f>
        <v>226.37350704017067</v>
      </c>
      <c r="K112" s="770">
        <f>'4D Wastewater treatment and dis'!AW175</f>
        <v>3.5680392512700192</v>
      </c>
      <c r="L112" s="771">
        <f t="shared" si="111"/>
        <v>10106.616677829699</v>
      </c>
      <c r="M112" s="772">
        <f t="shared" si="112"/>
        <v>17.251182655672984</v>
      </c>
      <c r="N112" s="771">
        <f t="shared" si="113"/>
        <v>1463.8860710671072</v>
      </c>
      <c r="O112" s="773">
        <f t="shared" si="114"/>
        <v>96.694356140916881</v>
      </c>
      <c r="P112" s="771">
        <f t="shared" si="115"/>
        <v>5859.9358157372899</v>
      </c>
      <c r="Q112" s="519">
        <f t="shared" si="74"/>
        <v>10106.616677829699</v>
      </c>
      <c r="R112" s="521">
        <f t="shared" si="75"/>
        <v>1481.1372537227801</v>
      </c>
      <c r="S112" s="518">
        <f t="shared" si="76"/>
        <v>96.694356140916881</v>
      </c>
      <c r="T112" s="519">
        <f t="shared" si="77"/>
        <v>5859.9358157372899</v>
      </c>
      <c r="U112" s="519">
        <f t="shared" si="78"/>
        <v>17544.384103430686</v>
      </c>
    </row>
    <row r="113" spans="1:21">
      <c r="A113" s="4">
        <f>'Input data'!A134</f>
        <v>2034</v>
      </c>
      <c r="B113" s="4"/>
      <c r="C113" s="769">
        <f>'4A SWD Case 2'!BG104</f>
        <v>462.43883375288544</v>
      </c>
      <c r="D113" s="3">
        <f>'4B Biological treatment '!T166</f>
        <v>0.82911941686162249</v>
      </c>
      <c r="E113" s="1157">
        <f>'4B Biological treatment '!U166</f>
        <v>37.310373758773004</v>
      </c>
      <c r="F113" s="1157">
        <f>'4B Biological treatment '!W166</f>
        <v>2.2386224255263802</v>
      </c>
      <c r="G113" s="952">
        <f>'4C2 Open-burning '!R139</f>
        <v>10.125990400822563</v>
      </c>
      <c r="H113" s="952">
        <f>'4C2 Open-burning '!Z139</f>
        <v>3.4070857589079031</v>
      </c>
      <c r="I113" s="952">
        <f>'4C2 Open-burning '!AH139</f>
        <v>4.7432384285236329E-2</v>
      </c>
      <c r="J113" s="987">
        <f>'4D Wastewater treatment and dis'!AV176</f>
        <v>228.66201585416007</v>
      </c>
      <c r="K113" s="770">
        <f>'4D Wastewater treatment and dis'!AW176</f>
        <v>3.604110120966546</v>
      </c>
      <c r="L113" s="771">
        <f t="shared" si="111"/>
        <v>9711.2155088105937</v>
      </c>
      <c r="M113" s="772">
        <f t="shared" si="112"/>
        <v>17.411507754094071</v>
      </c>
      <c r="N113" s="771">
        <f t="shared" si="113"/>
        <v>1477.4908008474108</v>
      </c>
      <c r="O113" s="773">
        <f t="shared" si="114"/>
        <v>96.378830466311783</v>
      </c>
      <c r="P113" s="771">
        <f t="shared" si="115"/>
        <v>5919.1764704369907</v>
      </c>
      <c r="Q113" s="519">
        <f t="shared" si="74"/>
        <v>9711.2155088105937</v>
      </c>
      <c r="R113" s="521">
        <f t="shared" si="75"/>
        <v>1494.902308601505</v>
      </c>
      <c r="S113" s="518">
        <f t="shared" si="76"/>
        <v>96.378830466311783</v>
      </c>
      <c r="T113" s="519">
        <f t="shared" si="77"/>
        <v>5919.1764704369907</v>
      </c>
      <c r="U113" s="519">
        <f t="shared" si="78"/>
        <v>17221.673118315401</v>
      </c>
    </row>
    <row r="114" spans="1:21">
      <c r="A114" s="4">
        <f>'Input data'!A135</f>
        <v>2035</v>
      </c>
      <c r="B114" s="4"/>
      <c r="C114" s="769">
        <f>'4A SWD Case 2'!BG105</f>
        <v>444.54207938157703</v>
      </c>
      <c r="D114" s="3">
        <f>'4B Biological treatment '!T167</f>
        <v>0.83521207767033656</v>
      </c>
      <c r="E114" s="1157">
        <f>'4B Biological treatment '!U167</f>
        <v>37.584543495165143</v>
      </c>
      <c r="F114" s="1157">
        <f>'4B Biological treatment '!W167</f>
        <v>2.2550726097099085</v>
      </c>
      <c r="G114" s="952">
        <f>'4C2 Open-burning '!R140</f>
        <v>10.094446054521576</v>
      </c>
      <c r="H114" s="952">
        <f>'4C2 Open-burning '!Z140</f>
        <v>3.3964720521195364</v>
      </c>
      <c r="I114" s="952">
        <f>'4C2 Open-burning '!AH140</f>
        <v>4.7284623572797432E-2</v>
      </c>
      <c r="J114" s="987">
        <f>'4D Wastewater treatment and dis'!AV177</f>
        <v>230.89739651168955</v>
      </c>
      <c r="K114" s="770">
        <f>'4D Wastewater treatment and dis'!AW177</f>
        <v>3.6393435987346821</v>
      </c>
      <c r="L114" s="771">
        <f t="shared" si="111"/>
        <v>9335.3836670131168</v>
      </c>
      <c r="M114" s="772">
        <f t="shared" si="112"/>
        <v>17.539453631077066</v>
      </c>
      <c r="N114" s="771">
        <f t="shared" si="113"/>
        <v>1488.3479224085395</v>
      </c>
      <c r="O114" s="773">
        <f t="shared" si="114"/>
        <v>96.07859245659904</v>
      </c>
      <c r="P114" s="771">
        <f t="shared" si="115"/>
        <v>5977.0418423532319</v>
      </c>
      <c r="Q114" s="519">
        <f t="shared" si="74"/>
        <v>9335.3836670131168</v>
      </c>
      <c r="R114" s="521">
        <f t="shared" si="75"/>
        <v>1505.8873760396166</v>
      </c>
      <c r="S114" s="518">
        <f t="shared" si="76"/>
        <v>96.07859245659904</v>
      </c>
      <c r="T114" s="519">
        <f t="shared" si="77"/>
        <v>5977.0418423532319</v>
      </c>
      <c r="U114" s="519">
        <f t="shared" si="78"/>
        <v>16914.391477862562</v>
      </c>
    </row>
    <row r="115" spans="1:21">
      <c r="A115" s="4">
        <f>'Input data'!A136</f>
        <v>2036</v>
      </c>
      <c r="B115" s="4"/>
      <c r="C115" s="769">
        <f>'4A SWD Case 2'!BG106</f>
        <v>427.53123736877671</v>
      </c>
      <c r="D115" s="3">
        <f>'4B Biological treatment '!T168</f>
        <v>0.84131256742640637</v>
      </c>
      <c r="E115" s="1157">
        <f>'4B Biological treatment '!U168</f>
        <v>37.859065534188282</v>
      </c>
      <c r="F115" s="1157">
        <f>'4B Biological treatment '!W168</f>
        <v>2.2715439320512969</v>
      </c>
      <c r="G115" s="952">
        <f>'4C2 Open-burning '!R141</f>
        <v>10.064223235545068</v>
      </c>
      <c r="H115" s="952">
        <f>'4C2 Open-burning '!Z141</f>
        <v>3.386302998816805</v>
      </c>
      <c r="I115" s="952">
        <f>'4C2 Open-burning '!AH141</f>
        <v>4.71430531873702E-2</v>
      </c>
      <c r="J115" s="987">
        <f>'4D Wastewater treatment and dis'!AV178</f>
        <v>233.09403867597584</v>
      </c>
      <c r="K115" s="770">
        <f>'4D Wastewater treatment and dis'!AW178</f>
        <v>3.6739664906342075</v>
      </c>
      <c r="L115" s="771">
        <f t="shared" si="111"/>
        <v>8978.1559847443114</v>
      </c>
      <c r="M115" s="772">
        <f t="shared" si="112"/>
        <v>17.667563915954535</v>
      </c>
      <c r="N115" s="771">
        <f t="shared" si="113"/>
        <v>1499.218995153856</v>
      </c>
      <c r="O115" s="773">
        <f t="shared" si="114"/>
        <v>95.79093269878274</v>
      </c>
      <c r="P115" s="771">
        <f t="shared" si="115"/>
        <v>6033.9044242920972</v>
      </c>
      <c r="Q115" s="519">
        <f t="shared" si="74"/>
        <v>8978.1559847443114</v>
      </c>
      <c r="R115" s="521">
        <f t="shared" si="75"/>
        <v>1516.8865590698106</v>
      </c>
      <c r="S115" s="518">
        <f t="shared" si="76"/>
        <v>95.79093269878274</v>
      </c>
      <c r="T115" s="519">
        <f t="shared" si="77"/>
        <v>6033.9044242920972</v>
      </c>
      <c r="U115" s="519">
        <f t="shared" si="78"/>
        <v>16624.737900805001</v>
      </c>
    </row>
    <row r="116" spans="1:21">
      <c r="A116" s="4">
        <f>'Input data'!A137</f>
        <v>2037</v>
      </c>
      <c r="B116" s="4"/>
      <c r="C116" s="769">
        <f>'4A SWD Case 2'!BG107</f>
        <v>412.25000652561693</v>
      </c>
      <c r="D116" s="3">
        <f>'4B Biological treatment '!T169</f>
        <v>0.84845039270708966</v>
      </c>
      <c r="E116" s="1157">
        <f>'4B Biological treatment '!U169</f>
        <v>38.180267671819031</v>
      </c>
      <c r="F116" s="1157">
        <f>'4B Biological treatment '!W169</f>
        <v>2.2908160603091421</v>
      </c>
      <c r="G116" s="952">
        <f>'4C2 Open-burning '!R142</f>
        <v>10.03527415643417</v>
      </c>
      <c r="H116" s="952">
        <f>'4C2 Open-burning '!Z142</f>
        <v>3.3765625199828309</v>
      </c>
      <c r="I116" s="952">
        <f>'4C2 Open-burning '!AH142</f>
        <v>4.7007449281901335E-2</v>
      </c>
      <c r="J116" s="987">
        <f>'4D Wastewater treatment and dis'!AV179</f>
        <v>235.25041077056153</v>
      </c>
      <c r="K116" s="770">
        <f>'4D Wastewater treatment and dis'!AW179</f>
        <v>3.7079546563627162</v>
      </c>
      <c r="L116" s="771">
        <f t="shared" si="111"/>
        <v>8657.2501370379559</v>
      </c>
      <c r="M116" s="772">
        <f t="shared" si="112"/>
        <v>17.817458246848883</v>
      </c>
      <c r="N116" s="771">
        <f t="shared" si="113"/>
        <v>1511.9385998040336</v>
      </c>
      <c r="O116" s="773">
        <f t="shared" si="114"/>
        <v>95.515396353463032</v>
      </c>
      <c r="P116" s="771">
        <f t="shared" si="115"/>
        <v>6089.7245696542341</v>
      </c>
      <c r="Q116" s="519">
        <f t="shared" si="74"/>
        <v>8657.2501370379559</v>
      </c>
      <c r="R116" s="521">
        <f t="shared" si="75"/>
        <v>1529.7560580508825</v>
      </c>
      <c r="S116" s="518">
        <f t="shared" si="76"/>
        <v>95.515396353463032</v>
      </c>
      <c r="T116" s="519">
        <f t="shared" si="77"/>
        <v>6089.7245696542341</v>
      </c>
      <c r="U116" s="519">
        <f t="shared" si="78"/>
        <v>16372.246161096535</v>
      </c>
    </row>
    <row r="117" spans="1:21">
      <c r="A117" s="4">
        <f>'Input data'!A138</f>
        <v>2038</v>
      </c>
      <c r="B117" s="4"/>
      <c r="C117" s="769">
        <f>'4A SWD Case 2'!BG108</f>
        <v>397.62523000526227</v>
      </c>
      <c r="D117" s="3">
        <f>'4B Biological treatment '!T170</f>
        <v>0.85542076550266744</v>
      </c>
      <c r="E117" s="1157">
        <f>'4B Biological treatment '!U170</f>
        <v>38.493934447620028</v>
      </c>
      <c r="F117" s="1157">
        <f>'4B Biological treatment '!W170</f>
        <v>2.3096360668572018</v>
      </c>
      <c r="G117" s="952">
        <f>'4C2 Open-burning '!R143</f>
        <v>10.007553800291879</v>
      </c>
      <c r="H117" s="952">
        <f>'4C2 Open-burning '!Z143</f>
        <v>3.367235468809981</v>
      </c>
      <c r="I117" s="952">
        <f>'4C2 Open-burning '!AH143</f>
        <v>4.687760098726361E-2</v>
      </c>
      <c r="J117" s="987">
        <f>'4D Wastewater treatment and dis'!AV180</f>
        <v>237.3649979490711</v>
      </c>
      <c r="K117" s="770">
        <f>'4D Wastewater treatment and dis'!AW180</f>
        <v>3.7412842193129237</v>
      </c>
      <c r="L117" s="771">
        <f t="shared" si="111"/>
        <v>8350.1298301105071</v>
      </c>
      <c r="M117" s="772">
        <f t="shared" si="112"/>
        <v>17.963836075556017</v>
      </c>
      <c r="N117" s="771">
        <f t="shared" si="113"/>
        <v>1524.359804125753</v>
      </c>
      <c r="O117" s="773">
        <f t="shared" si="114"/>
        <v>95.251554951353185</v>
      </c>
      <c r="P117" s="771">
        <f t="shared" si="115"/>
        <v>6144.4630649174987</v>
      </c>
      <c r="Q117" s="519">
        <f t="shared" si="74"/>
        <v>8350.1298301105071</v>
      </c>
      <c r="R117" s="521">
        <f t="shared" si="75"/>
        <v>1542.323640201309</v>
      </c>
      <c r="S117" s="518">
        <f t="shared" si="76"/>
        <v>95.251554951353185</v>
      </c>
      <c r="T117" s="519">
        <f t="shared" si="77"/>
        <v>6144.4630649174987</v>
      </c>
      <c r="U117" s="519">
        <f t="shared" si="78"/>
        <v>16132.168090180669</v>
      </c>
    </row>
    <row r="118" spans="1:21">
      <c r="A118" s="4">
        <f>'Input data'!A139</f>
        <v>2039</v>
      </c>
      <c r="B118" s="4"/>
      <c r="C118" s="769">
        <f>'4A SWD Case 2'!BG109</f>
        <v>384.17164138538294</v>
      </c>
      <c r="D118" s="3">
        <f>'4B Biological treatment '!T171</f>
        <v>0.86289132104596267</v>
      </c>
      <c r="E118" s="1157">
        <f>'4B Biological treatment '!U171</f>
        <v>38.830109447068317</v>
      </c>
      <c r="F118" s="1157">
        <f>'4B Biological treatment '!W171</f>
        <v>2.3298065668240993</v>
      </c>
      <c r="G118" s="952">
        <f>'4C2 Open-burning '!R144</f>
        <v>9.9810197518680681</v>
      </c>
      <c r="H118" s="952">
        <f>'4C2 Open-burning '!Z144</f>
        <v>3.3583075738651473</v>
      </c>
      <c r="I118" s="952">
        <f>'4C2 Open-burning '!AH144</f>
        <v>4.6753309621020658E-2</v>
      </c>
      <c r="J118" s="987">
        <f>'4D Wastewater treatment and dis'!AV181</f>
        <v>239.43630384884813</v>
      </c>
      <c r="K118" s="770">
        <f>'4D Wastewater treatment and dis'!AW181</f>
        <v>3.7739315942130265</v>
      </c>
      <c r="L118" s="771">
        <f t="shared" si="111"/>
        <v>8067.6044690930421</v>
      </c>
      <c r="M118" s="772">
        <f t="shared" si="112"/>
        <v>18.120717741965215</v>
      </c>
      <c r="N118" s="771">
        <f t="shared" si="113"/>
        <v>1537.6723341039055</v>
      </c>
      <c r="O118" s="773">
        <f t="shared" si="114"/>
        <v>94.999004785552572</v>
      </c>
      <c r="P118" s="771">
        <f t="shared" si="115"/>
        <v>6198.0811750318489</v>
      </c>
      <c r="Q118" s="519">
        <f t="shared" si="74"/>
        <v>8067.6044690930421</v>
      </c>
      <c r="R118" s="521">
        <f t="shared" si="75"/>
        <v>1555.7930518458707</v>
      </c>
      <c r="S118" s="518">
        <f t="shared" si="76"/>
        <v>94.999004785552572</v>
      </c>
      <c r="T118" s="519">
        <f t="shared" si="77"/>
        <v>6198.0811750318489</v>
      </c>
      <c r="U118" s="519">
        <f t="shared" si="78"/>
        <v>15916.477700756313</v>
      </c>
    </row>
    <row r="119" spans="1:21">
      <c r="A119" s="4">
        <f>'Input data'!A140</f>
        <v>2040</v>
      </c>
      <c r="B119" s="4"/>
      <c r="C119" s="769">
        <f>'4A SWD Case 2'!BG110</f>
        <v>371.83873517942379</v>
      </c>
      <c r="D119" s="3">
        <f>'4B Biological treatment '!T172</f>
        <v>0.87038710319740331</v>
      </c>
      <c r="E119" s="1157">
        <f>'4B Biological treatment '!U172</f>
        <v>39.167419643883143</v>
      </c>
      <c r="F119" s="1157">
        <f>'4B Biological treatment '!W172</f>
        <v>2.350045178632989</v>
      </c>
      <c r="G119" s="952">
        <f>'4C2 Open-burning '!R145</f>
        <v>9.9556320418415236</v>
      </c>
      <c r="H119" s="952">
        <f>'4C2 Open-burning '!Z145</f>
        <v>3.3497653866954162</v>
      </c>
      <c r="I119" s="952">
        <f>'4C2 Open-burning '!AH145</f>
        <v>4.6634387958009456E-2</v>
      </c>
      <c r="J119" s="987">
        <f>'4D Wastewater treatment and dis'!AV182</f>
        <v>241.46285233748353</v>
      </c>
      <c r="K119" s="770">
        <f>'4D Wastewater treatment and dis'!AW182</f>
        <v>3.8058735146550235</v>
      </c>
      <c r="L119" s="771">
        <f t="shared" si="111"/>
        <v>7808.6134387678994</v>
      </c>
      <c r="M119" s="772">
        <f t="shared" si="112"/>
        <v>18.278129167145469</v>
      </c>
      <c r="N119" s="771">
        <f t="shared" si="113"/>
        <v>1551.0298178977725</v>
      </c>
      <c r="O119" s="773">
        <f t="shared" si="114"/>
        <v>94.757365429428205</v>
      </c>
      <c r="P119" s="771">
        <f t="shared" si="115"/>
        <v>6250.5406886302117</v>
      </c>
      <c r="Q119" s="519">
        <f t="shared" si="74"/>
        <v>7808.6134387678994</v>
      </c>
      <c r="R119" s="521">
        <f t="shared" si="75"/>
        <v>1569.3079470649179</v>
      </c>
      <c r="S119" s="518">
        <f t="shared" si="76"/>
        <v>94.757365429428205</v>
      </c>
      <c r="T119" s="519">
        <f t="shared" si="77"/>
        <v>6250.5406886302117</v>
      </c>
      <c r="U119" s="519">
        <f t="shared" si="78"/>
        <v>15723.219439892457</v>
      </c>
    </row>
    <row r="120" spans="1:21">
      <c r="A120" s="4">
        <f>'Input data'!A141</f>
        <v>2041</v>
      </c>
      <c r="B120" s="4"/>
      <c r="C120" s="769">
        <f>'4A SWD Case 2'!BG111</f>
        <v>360.57756827588707</v>
      </c>
      <c r="D120" s="3">
        <f>'4B Biological treatment '!T173</f>
        <v>0.8788153999671966</v>
      </c>
      <c r="E120" s="1157">
        <f>'4B Biological treatment '!U173</f>
        <v>39.546692998523845</v>
      </c>
      <c r="F120" s="1157">
        <f>'4B Biological treatment '!W173</f>
        <v>2.3728015799114308</v>
      </c>
      <c r="G120" s="952">
        <f>'4C2 Open-burning '!R146</f>
        <v>9.9312949766275427</v>
      </c>
      <c r="H120" s="952">
        <f>'4C2 Open-burning '!Z146</f>
        <v>3.3415767093392308</v>
      </c>
      <c r="I120" s="952">
        <f>'4C2 Open-burning '!AH146</f>
        <v>4.6520387748261026E-2</v>
      </c>
      <c r="J120" s="987">
        <f>'4D Wastewater treatment and dis'!AV183</f>
        <v>243.44797282954215</v>
      </c>
      <c r="K120" s="770">
        <f>'4D Wastewater treatment and dis'!AW183</f>
        <v>3.8371624579893204</v>
      </c>
      <c r="L120" s="771">
        <f t="shared" si="111"/>
        <v>7572.1289337936287</v>
      </c>
      <c r="M120" s="772">
        <f t="shared" si="112"/>
        <v>18.455123399311127</v>
      </c>
      <c r="N120" s="771">
        <f t="shared" si="113"/>
        <v>1566.0490427415443</v>
      </c>
      <c r="O120" s="773">
        <f t="shared" si="114"/>
        <v>94.52572607471231</v>
      </c>
      <c r="P120" s="771">
        <f t="shared" si="115"/>
        <v>6301.9277913970745</v>
      </c>
      <c r="Q120" s="519">
        <f t="shared" si="74"/>
        <v>7572.1289337936287</v>
      </c>
      <c r="R120" s="521">
        <f t="shared" si="75"/>
        <v>1584.5041661408554</v>
      </c>
      <c r="S120" s="518">
        <f t="shared" si="76"/>
        <v>94.52572607471231</v>
      </c>
      <c r="T120" s="519">
        <f t="shared" si="77"/>
        <v>6301.9277913970745</v>
      </c>
      <c r="U120" s="519">
        <f t="shared" si="78"/>
        <v>15553.086617406272</v>
      </c>
    </row>
    <row r="121" spans="1:21">
      <c r="A121" s="4">
        <f>'Input data'!A142</f>
        <v>2042</v>
      </c>
      <c r="B121" s="4"/>
      <c r="C121" s="769">
        <f>'4A SWD Case 2'!BG112</f>
        <v>350.12586035814115</v>
      </c>
      <c r="D121" s="3">
        <f>'4B Biological treatment '!T174</f>
        <v>0.88737635390051506</v>
      </c>
      <c r="E121" s="1157">
        <f>'4B Biological treatment '!U174</f>
        <v>39.93193592552317</v>
      </c>
      <c r="F121" s="1157">
        <f>'4B Biological treatment '!W174</f>
        <v>2.3959161555313901</v>
      </c>
      <c r="G121" s="952">
        <f>'4C2 Open-burning '!R147</f>
        <v>9.9079752127942537</v>
      </c>
      <c r="H121" s="952">
        <f>'4C2 Open-burning '!Z147</f>
        <v>3.3337303227525874</v>
      </c>
      <c r="I121" s="952">
        <f>'4C2 Open-burning '!AH147</f>
        <v>4.6411152803747191E-2</v>
      </c>
      <c r="J121" s="987">
        <f>'4D Wastewater treatment and dis'!AV184</f>
        <v>245.39035148076366</v>
      </c>
      <c r="K121" s="770">
        <f>'4D Wastewater treatment and dis'!AW184</f>
        <v>3.8677777157507212</v>
      </c>
      <c r="L121" s="771">
        <f t="shared" si="111"/>
        <v>7352.643067520964</v>
      </c>
      <c r="M121" s="772">
        <f t="shared" si="112"/>
        <v>18.634903431910818</v>
      </c>
      <c r="N121" s="771">
        <f t="shared" si="113"/>
        <v>1581.3046626507175</v>
      </c>
      <c r="O121" s="773">
        <f t="shared" si="114"/>
        <v>94.30376935976021</v>
      </c>
      <c r="P121" s="771">
        <f t="shared" si="115"/>
        <v>6352.2084729787603</v>
      </c>
      <c r="Q121" s="519">
        <f t="shared" si="74"/>
        <v>7352.643067520964</v>
      </c>
      <c r="R121" s="521">
        <f t="shared" si="75"/>
        <v>1599.9395660826283</v>
      </c>
      <c r="S121" s="518">
        <f t="shared" si="76"/>
        <v>94.30376935976021</v>
      </c>
      <c r="T121" s="519">
        <f t="shared" si="77"/>
        <v>6352.2084729787603</v>
      </c>
      <c r="U121" s="519">
        <f t="shared" si="78"/>
        <v>15399.094875942112</v>
      </c>
    </row>
    <row r="122" spans="1:21">
      <c r="A122" s="4">
        <f>'Input data'!A143</f>
        <v>2043</v>
      </c>
      <c r="B122" s="4"/>
      <c r="C122" s="769">
        <f>'4A SWD Case 2'!BG113</f>
        <v>340.44657518443745</v>
      </c>
      <c r="D122" s="3">
        <f>'4B Biological treatment '!T175</f>
        <v>0.89615825812586825</v>
      </c>
      <c r="E122" s="1157">
        <f>'4B Biological treatment '!U175</f>
        <v>40.327121615664069</v>
      </c>
      <c r="F122" s="1157">
        <f>'4B Biological treatment '!W175</f>
        <v>2.4196272969398445</v>
      </c>
      <c r="G122" s="952">
        <f>'4C2 Open-burning '!R148</f>
        <v>9.8856412498174997</v>
      </c>
      <c r="H122" s="952">
        <f>'4C2 Open-burning '!Z148</f>
        <v>3.3262156279735073</v>
      </c>
      <c r="I122" s="952">
        <f>'4C2 Open-burning '!AH148</f>
        <v>4.6306535569028147E-2</v>
      </c>
      <c r="J122" s="987">
        <f>'4D Wastewater treatment and dis'!AV185</f>
        <v>247.28869443502521</v>
      </c>
      <c r="K122" s="770">
        <f>'4D Wastewater treatment and dis'!AW185</f>
        <v>3.8976988945217657</v>
      </c>
      <c r="L122" s="771">
        <f t="shared" si="111"/>
        <v>7149.3780788731865</v>
      </c>
      <c r="M122" s="772">
        <f t="shared" si="112"/>
        <v>18.819323420643233</v>
      </c>
      <c r="N122" s="771">
        <f t="shared" si="113"/>
        <v>1596.9540159802973</v>
      </c>
      <c r="O122" s="773">
        <f t="shared" si="114"/>
        <v>94.091195463659886</v>
      </c>
      <c r="P122" s="771">
        <f t="shared" si="115"/>
        <v>6401.3492404372764</v>
      </c>
      <c r="Q122" s="519">
        <f t="shared" si="74"/>
        <v>7149.3780788731865</v>
      </c>
      <c r="R122" s="521">
        <f t="shared" si="75"/>
        <v>1615.7733394009406</v>
      </c>
      <c r="S122" s="518">
        <f t="shared" si="76"/>
        <v>94.091195463659886</v>
      </c>
      <c r="T122" s="519">
        <f t="shared" si="77"/>
        <v>6401.3492404372764</v>
      </c>
      <c r="U122" s="519">
        <f t="shared" si="78"/>
        <v>15260.591854175062</v>
      </c>
    </row>
    <row r="123" spans="1:21">
      <c r="A123" s="4">
        <f>'Input data'!A144</f>
        <v>2044</v>
      </c>
      <c r="B123" s="4"/>
      <c r="C123" s="769">
        <f>'4A SWD Case 2'!BG114</f>
        <v>331.50451365716185</v>
      </c>
      <c r="D123" s="3">
        <f>'4B Biological treatment '!T176</f>
        <v>0.90528115650270891</v>
      </c>
      <c r="E123" s="1157">
        <f>'4B Biological treatment '!U176</f>
        <v>40.737652042621896</v>
      </c>
      <c r="F123" s="1157">
        <f>'4B Biological treatment '!W176</f>
        <v>2.4442591225573138</v>
      </c>
      <c r="G123" s="952">
        <f>'4C2 Open-burning '!R149</f>
        <v>9.8642633296948237</v>
      </c>
      <c r="H123" s="952">
        <f>'4C2 Open-burning '!Z149</f>
        <v>3.3190226123452167</v>
      </c>
      <c r="I123" s="952">
        <f>'4C2 Open-burning '!AH149</f>
        <v>4.6206396651022108E-2</v>
      </c>
      <c r="J123" s="987">
        <f>'4D Wastewater treatment and dis'!AV186</f>
        <v>249.1417292491079</v>
      </c>
      <c r="K123" s="770">
        <f>'4D Wastewater treatment and dis'!AW186</f>
        <v>3.9269059383895084</v>
      </c>
      <c r="L123" s="771">
        <f t="shared" si="111"/>
        <v>6961.5947868003987</v>
      </c>
      <c r="M123" s="772">
        <f t="shared" si="112"/>
        <v>19.010904286556887</v>
      </c>
      <c r="N123" s="771">
        <f t="shared" si="113"/>
        <v>1613.2110208878271</v>
      </c>
      <c r="O123" s="773">
        <f t="shared" si="114"/>
        <v>93.887721150761223</v>
      </c>
      <c r="P123" s="771">
        <f t="shared" si="115"/>
        <v>6449.3171551320138</v>
      </c>
      <c r="Q123" s="519">
        <f t="shared" si="74"/>
        <v>6961.5947868003987</v>
      </c>
      <c r="R123" s="521">
        <f t="shared" si="75"/>
        <v>1632.2219251743841</v>
      </c>
      <c r="S123" s="518">
        <f t="shared" si="76"/>
        <v>93.887721150761223</v>
      </c>
      <c r="T123" s="519">
        <f t="shared" si="77"/>
        <v>6449.3171551320138</v>
      </c>
      <c r="U123" s="519">
        <f t="shared" si="78"/>
        <v>15137.021588257558</v>
      </c>
    </row>
    <row r="124" spans="1:21">
      <c r="A124" s="4">
        <f>'Input data'!A145</f>
        <v>2045</v>
      </c>
      <c r="B124" s="4"/>
      <c r="C124" s="769">
        <f>'4A SWD Case 2'!BG115</f>
        <v>323.26632830473892</v>
      </c>
      <c r="D124" s="3">
        <f>'4B Biological treatment '!T177</f>
        <v>0.91478941306605144</v>
      </c>
      <c r="E124" s="1157">
        <f>'4B Biological treatment '!U177</f>
        <v>41.165523587972309</v>
      </c>
      <c r="F124" s="1157">
        <f>'4B Biological treatment '!W177</f>
        <v>2.4699314152783387</v>
      </c>
      <c r="G124" s="952">
        <f>'4C2 Open-burning '!R150</f>
        <v>9.8438133438837134</v>
      </c>
      <c r="H124" s="952">
        <f>'4C2 Open-burning '!Z150</f>
        <v>3.3121418182037132</v>
      </c>
      <c r="I124" s="952">
        <f>'4C2 Open-burning '!AH150</f>
        <v>4.6110604383083426E-2</v>
      </c>
      <c r="J124" s="987">
        <f>'4D Wastewater treatment and dis'!AV187</f>
        <v>250.94820630354667</v>
      </c>
      <c r="K124" s="770">
        <f>'4D Wastewater treatment and dis'!AW187</f>
        <v>3.9553791511829659</v>
      </c>
      <c r="L124" s="771">
        <f t="shared" si="111"/>
        <v>6788.5928943995177</v>
      </c>
      <c r="M124" s="772">
        <f t="shared" si="112"/>
        <v>19.210577674387082</v>
      </c>
      <c r="N124" s="771">
        <f t="shared" si="113"/>
        <v>1630.1547340837035</v>
      </c>
      <c r="O124" s="773">
        <f t="shared" si="114"/>
        <v>93.693078884917554</v>
      </c>
      <c r="P124" s="771">
        <f t="shared" si="115"/>
        <v>6496.079869241199</v>
      </c>
      <c r="Q124" s="519">
        <f t="shared" si="74"/>
        <v>6788.5928943995177</v>
      </c>
      <c r="R124" s="521">
        <f t="shared" si="75"/>
        <v>1649.3653117580907</v>
      </c>
      <c r="S124" s="518">
        <f t="shared" si="76"/>
        <v>93.693078884917554</v>
      </c>
      <c r="T124" s="519">
        <f t="shared" si="77"/>
        <v>6496.079869241199</v>
      </c>
      <c r="U124" s="519">
        <f t="shared" si="78"/>
        <v>15027.731154283723</v>
      </c>
    </row>
    <row r="125" spans="1:21">
      <c r="A125" s="4">
        <f>'Input data'!A146</f>
        <v>2046</v>
      </c>
      <c r="B125" s="4"/>
      <c r="C125" s="769">
        <f>'4A SWD Case 2'!BG116</f>
        <v>315.70027614803365</v>
      </c>
      <c r="D125" s="3">
        <f>'4B Biological treatment '!T178</f>
        <v>0.92495704097334119</v>
      </c>
      <c r="E125" s="1157">
        <f>'4B Biological treatment '!U178</f>
        <v>41.623066843800345</v>
      </c>
      <c r="F125" s="1157">
        <f>'4B Biological treatment '!W178</f>
        <v>2.497384010628021</v>
      </c>
      <c r="G125" s="952">
        <f>'4C2 Open-burning '!R151</f>
        <v>9.8242078659671712</v>
      </c>
      <c r="H125" s="952">
        <f>'4C2 Open-burning '!Z151</f>
        <v>3.3055451751138079</v>
      </c>
      <c r="I125" s="952">
        <f>'4C2 Open-burning '!AH151</f>
        <v>4.6018767977376619E-2</v>
      </c>
      <c r="J125" s="987">
        <f>'4D Wastewater treatment and dis'!AV188</f>
        <v>252.71206376421807</v>
      </c>
      <c r="K125" s="770">
        <f>'4D Wastewater treatment and dis'!AW188</f>
        <v>3.9831806052294589</v>
      </c>
      <c r="L125" s="771">
        <f t="shared" si="111"/>
        <v>6629.7057991087067</v>
      </c>
      <c r="M125" s="772">
        <f t="shared" si="112"/>
        <v>19.424097860440163</v>
      </c>
      <c r="N125" s="771">
        <f t="shared" si="113"/>
        <v>1648.2734470144937</v>
      </c>
      <c r="O125" s="773">
        <f t="shared" si="114"/>
        <v>93.50647461634388</v>
      </c>
      <c r="P125" s="771">
        <f t="shared" si="115"/>
        <v>6541.7393266697118</v>
      </c>
      <c r="Q125" s="519">
        <f t="shared" si="74"/>
        <v>6629.7057991087067</v>
      </c>
      <c r="R125" s="521">
        <f t="shared" si="75"/>
        <v>1667.697544874934</v>
      </c>
      <c r="S125" s="518">
        <f t="shared" si="76"/>
        <v>93.50647461634388</v>
      </c>
      <c r="T125" s="519">
        <f t="shared" si="77"/>
        <v>6541.7393266697118</v>
      </c>
      <c r="U125" s="519">
        <f t="shared" si="78"/>
        <v>14932.649145269697</v>
      </c>
    </row>
    <row r="126" spans="1:21">
      <c r="A126" s="4">
        <f>'Input data'!A147</f>
        <v>2047</v>
      </c>
      <c r="B126" s="4"/>
      <c r="C126" s="769">
        <f>'4A SWD Case 2'!BG117</f>
        <v>308.5671129161604</v>
      </c>
      <c r="D126" s="3">
        <f>'4B Biological treatment '!T179</f>
        <v>0.93127065207409054</v>
      </c>
      <c r="E126" s="1157">
        <f>'4B Biological treatment '!U179</f>
        <v>41.907179343334064</v>
      </c>
      <c r="F126" s="1157">
        <f>'4B Biological treatment '!W179</f>
        <v>2.5144307606000442</v>
      </c>
      <c r="G126" s="952">
        <f>'4C2 Open-burning '!R152</f>
        <v>9.8054236034744502</v>
      </c>
      <c r="H126" s="952">
        <f>'4C2 Open-burning '!Z152</f>
        <v>3.2992248458722018</v>
      </c>
      <c r="I126" s="952">
        <f>'4C2 Open-burning '!AH152</f>
        <v>4.5930778326804055E-2</v>
      </c>
      <c r="J126" s="987">
        <f>'4D Wastewater treatment and dis'!AV189</f>
        <v>254.43220934683089</v>
      </c>
      <c r="K126" s="770">
        <f>'4D Wastewater treatment and dis'!AW189</f>
        <v>4.0102930842333384</v>
      </c>
      <c r="L126" s="771">
        <f t="shared" si="111"/>
        <v>6479.9093712393687</v>
      </c>
      <c r="M126" s="772">
        <f t="shared" si="112"/>
        <v>19.5566836935559</v>
      </c>
      <c r="N126" s="771">
        <f t="shared" si="113"/>
        <v>1659.524301996029</v>
      </c>
      <c r="O126" s="773">
        <f t="shared" si="114"/>
        <v>93.327686648099942</v>
      </c>
      <c r="P126" s="771">
        <f t="shared" si="115"/>
        <v>6586.2672523957835</v>
      </c>
      <c r="Q126" s="519">
        <f t="shared" ref="Q126:Q129" si="116">L126</f>
        <v>6479.9093712393687</v>
      </c>
      <c r="R126" s="521">
        <f t="shared" ref="R126:R129" si="117">M126+N126</f>
        <v>1679.0809856895848</v>
      </c>
      <c r="S126" s="518">
        <f t="shared" ref="S126:S129" si="118">O126</f>
        <v>93.327686648099942</v>
      </c>
      <c r="T126" s="519">
        <f t="shared" ref="T126:T129" si="119">P126</f>
        <v>6586.2672523957835</v>
      </c>
      <c r="U126" s="519">
        <f t="shared" ref="U126:U129" si="120">SUM(Q126:T126)</f>
        <v>14838.585295972836</v>
      </c>
    </row>
    <row r="127" spans="1:21">
      <c r="A127" s="4">
        <f>'Input data'!A148</f>
        <v>2048</v>
      </c>
      <c r="B127" s="4"/>
      <c r="C127" s="769">
        <f>'4A SWD Case 2'!BG118</f>
        <v>301.83612850919144</v>
      </c>
      <c r="D127" s="3">
        <f>'4B Biological treatment '!T180</f>
        <v>0.93715236624572396</v>
      </c>
      <c r="E127" s="1157">
        <f>'4B Biological treatment '!U180</f>
        <v>42.171856481057574</v>
      </c>
      <c r="F127" s="1157">
        <f>'4B Biological treatment '!W180</f>
        <v>2.5303113888634545</v>
      </c>
      <c r="G127" s="952">
        <f>'4C2 Open-burning '!R153</f>
        <v>9.78743850485853</v>
      </c>
      <c r="H127" s="952">
        <f>'4C2 Open-burning '!Z153</f>
        <v>3.2931734108084401</v>
      </c>
      <c r="I127" s="952">
        <f>'4C2 Open-burning '!AH153</f>
        <v>4.584653213702998E-2</v>
      </c>
      <c r="J127" s="987">
        <f>'4D Wastewater treatment and dis'!AV190</f>
        <v>256.10757196318667</v>
      </c>
      <c r="K127" s="770">
        <f>'4D Wastewater treatment and dis'!AW190</f>
        <v>4.0366997059861536</v>
      </c>
      <c r="L127" s="771">
        <f t="shared" si="111"/>
        <v>6338.5586986930202</v>
      </c>
      <c r="M127" s="772">
        <f t="shared" si="112"/>
        <v>19.680199691160205</v>
      </c>
      <c r="N127" s="771">
        <f t="shared" si="113"/>
        <v>1670.0055166498801</v>
      </c>
      <c r="O127" s="773">
        <f t="shared" si="114"/>
        <v>93.156505094315065</v>
      </c>
      <c r="P127" s="771">
        <f t="shared" si="115"/>
        <v>6629.6359200826273</v>
      </c>
      <c r="Q127" s="519">
        <f t="shared" si="116"/>
        <v>6338.5586986930202</v>
      </c>
      <c r="R127" s="521">
        <f t="shared" si="117"/>
        <v>1689.6857163410402</v>
      </c>
      <c r="S127" s="518">
        <f t="shared" si="118"/>
        <v>93.156505094315065</v>
      </c>
      <c r="T127" s="519">
        <f t="shared" si="119"/>
        <v>6629.6359200826273</v>
      </c>
      <c r="U127" s="519">
        <f t="shared" si="120"/>
        <v>14751.036840211003</v>
      </c>
    </row>
    <row r="128" spans="1:21">
      <c r="A128" s="4">
        <f>'Input data'!A149</f>
        <v>2049</v>
      </c>
      <c r="B128" s="4"/>
      <c r="C128" s="769">
        <f>'4A SWD Case 2'!BG119</f>
        <v>295.48622948293848</v>
      </c>
      <c r="D128" s="3">
        <f>'4B Biological treatment '!T181</f>
        <v>0.9430127682828896</v>
      </c>
      <c r="E128" s="1157">
        <f>'4B Biological treatment '!U181</f>
        <v>42.435574572730026</v>
      </c>
      <c r="F128" s="1157">
        <f>'4B Biological treatment '!W181</f>
        <v>2.5461344743638019</v>
      </c>
      <c r="G128" s="952">
        <f>'4C2 Open-burning '!R154</f>
        <v>9.770231699628761</v>
      </c>
      <c r="H128" s="952">
        <f>'4C2 Open-burning '!Z154</f>
        <v>3.2873838476413759</v>
      </c>
      <c r="I128" s="952">
        <f>'4C2 Open-burning '!AH154</f>
        <v>4.5765931646048544E-2</v>
      </c>
      <c r="J128" s="987">
        <f>'4D Wastewater treatment and dis'!AV191</f>
        <v>257.73710282612279</v>
      </c>
      <c r="K128" s="770">
        <f>'4D Wastewater treatment and dis'!AW191</f>
        <v>4.0623839397824701</v>
      </c>
      <c r="L128" s="771">
        <f t="shared" si="111"/>
        <v>6205.2108191417083</v>
      </c>
      <c r="M128" s="772">
        <f t="shared" si="112"/>
        <v>19.80326813394068</v>
      </c>
      <c r="N128" s="771">
        <f t="shared" si="113"/>
        <v>1680.4487530801091</v>
      </c>
      <c r="O128" s="773">
        <f t="shared" si="114"/>
        <v>92.992731310372719</v>
      </c>
      <c r="P128" s="771">
        <f t="shared" si="115"/>
        <v>6671.8181806811444</v>
      </c>
      <c r="Q128" s="519">
        <f t="shared" si="116"/>
        <v>6205.2108191417083</v>
      </c>
      <c r="R128" s="521">
        <f t="shared" si="117"/>
        <v>1700.2520212140498</v>
      </c>
      <c r="S128" s="518">
        <f t="shared" si="118"/>
        <v>92.992731310372719</v>
      </c>
      <c r="T128" s="519">
        <f t="shared" si="119"/>
        <v>6671.8181806811444</v>
      </c>
      <c r="U128" s="519">
        <f t="shared" si="120"/>
        <v>14670.273752347275</v>
      </c>
    </row>
    <row r="129" spans="1:21">
      <c r="A129" s="4">
        <f>'Input data'!A150</f>
        <v>2050</v>
      </c>
      <c r="B129" s="4"/>
      <c r="C129" s="769">
        <f>'4A SWD Case 2'!BG120</f>
        <v>289.49828831551037</v>
      </c>
      <c r="D129" s="3">
        <f>'4B Biological treatment '!T182</f>
        <v>0.94874268786412896</v>
      </c>
      <c r="E129" s="1157">
        <f>'4B Biological treatment '!U182</f>
        <v>42.693420953885806</v>
      </c>
      <c r="F129" s="1157">
        <f>'4B Biological treatment '!W182</f>
        <v>2.5616052572331478</v>
      </c>
      <c r="G129" s="952">
        <f>'4C2 Open-burning '!R155</f>
        <v>9.7537834425971859</v>
      </c>
      <c r="H129" s="952">
        <f>'4C2 Open-burning '!Z155</f>
        <v>3.2818495127197678</v>
      </c>
      <c r="I129" s="952">
        <f>'4C2 Open-burning '!AH155</f>
        <v>4.568888436302123E-2</v>
      </c>
      <c r="J129" s="987">
        <f>'4D Wastewater treatment and dis'!AV192</f>
        <v>259.3197765377094</v>
      </c>
      <c r="K129" s="770">
        <f>'4D Wastewater treatment and dis'!AW192</f>
        <v>4.0873296235717493</v>
      </c>
      <c r="L129" s="771">
        <f t="shared" si="111"/>
        <v>6079.4640546257178</v>
      </c>
      <c r="M129" s="772">
        <f t="shared" si="112"/>
        <v>19.923596445146707</v>
      </c>
      <c r="N129" s="771">
        <f t="shared" si="113"/>
        <v>1690.6594697738778</v>
      </c>
      <c r="O129" s="773">
        <f t="shared" si="114"/>
        <v>92.836177362248876</v>
      </c>
      <c r="P129" s="771">
        <f t="shared" si="115"/>
        <v>6712.7874905991393</v>
      </c>
      <c r="Q129" s="471">
        <f t="shared" si="116"/>
        <v>6079.4640546257178</v>
      </c>
      <c r="R129" s="517">
        <f t="shared" si="117"/>
        <v>1710.5830662190247</v>
      </c>
      <c r="S129" s="514">
        <f t="shared" si="118"/>
        <v>92.836177362248876</v>
      </c>
      <c r="T129" s="471">
        <f t="shared" si="119"/>
        <v>6712.7874905991393</v>
      </c>
      <c r="U129" s="471">
        <f t="shared" si="120"/>
        <v>14595.670788806132</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820.5169947820342</v>
      </c>
      <c r="D131" s="3">
        <f>'4B Biological treatment '!T184</f>
        <v>0.32115863087580998</v>
      </c>
      <c r="E131" s="1157">
        <f>'4B Biological treatment '!U184</f>
        <v>20.384176057159792</v>
      </c>
      <c r="F131" s="1157">
        <f>'4B Biological treatment '!W184</f>
        <v>1.2230505634295874</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17230.856890422718</v>
      </c>
      <c r="M131" s="772">
        <f t="shared" ref="M131:M163" si="122">D131*$B$3</f>
        <v>6.7443312483920099</v>
      </c>
      <c r="N131" s="771">
        <f t="shared" ref="N131:N163" si="123">E131*$B$3+F131*$C$3</f>
        <v>807.21337186352775</v>
      </c>
      <c r="O131" s="773">
        <f t="shared" ref="O131:O163" si="124">G131+H131*$B$3+I131*$C$3</f>
        <v>313.30333811016675</v>
      </c>
      <c r="P131" s="771">
        <f t="shared" ref="P131:P163" si="125">J131*$B$3+K131*$C$3</f>
        <v>3778.1317878798554</v>
      </c>
      <c r="Q131" s="471">
        <f t="shared" ref="Q131:Q163" si="126">L131</f>
        <v>17230.856890422718</v>
      </c>
      <c r="R131" s="517">
        <f t="shared" ref="R131:R163" si="127">M131+N131</f>
        <v>813.95770311191973</v>
      </c>
      <c r="S131" s="514">
        <f t="shared" ref="S131:S163" si="128">O131</f>
        <v>313.30333811016675</v>
      </c>
      <c r="T131" s="471">
        <f t="shared" ref="T131:T163" si="129">P131</f>
        <v>3778.1317878798554</v>
      </c>
      <c r="U131" s="471">
        <f t="shared" ref="U131:U163" si="130">SUM(Q131:T131)</f>
        <v>22136.249719524658</v>
      </c>
    </row>
    <row r="132" spans="1:21">
      <c r="A132" s="4">
        <f>'Input data'!A119</f>
        <v>2019</v>
      </c>
      <c r="B132" s="4"/>
      <c r="C132" s="769">
        <f>'4A SWD Case 2'!BN89</f>
        <v>801.89995091572371</v>
      </c>
      <c r="D132" s="3">
        <f>'4B Biological treatment '!T185</f>
        <v>0.42961305766478691</v>
      </c>
      <c r="E132" s="1157">
        <f>'4B Biological treatment '!U185</f>
        <v>24.145634102162916</v>
      </c>
      <c r="F132" s="1157">
        <f>'4B Biological treatment '!W185</f>
        <v>1.448738046129775</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16839.898969230198</v>
      </c>
      <c r="M132" s="772">
        <f t="shared" si="122"/>
        <v>9.0218742109605259</v>
      </c>
      <c r="N132" s="771">
        <f t="shared" si="123"/>
        <v>956.16711044565147</v>
      </c>
      <c r="O132" s="773">
        <f t="shared" si="124"/>
        <v>307.81392004196488</v>
      </c>
      <c r="P132" s="771">
        <f t="shared" si="125"/>
        <v>3922.0560748079342</v>
      </c>
      <c r="Q132" s="519">
        <f t="shared" si="126"/>
        <v>16839.898969230198</v>
      </c>
      <c r="R132" s="521">
        <f t="shared" si="127"/>
        <v>965.18898465661198</v>
      </c>
      <c r="S132" s="518">
        <f t="shared" si="128"/>
        <v>307.81392004196488</v>
      </c>
      <c r="T132" s="519">
        <f t="shared" si="129"/>
        <v>3922.0560748079342</v>
      </c>
      <c r="U132" s="519">
        <f t="shared" si="130"/>
        <v>22034.957948736708</v>
      </c>
    </row>
    <row r="133" spans="1:21">
      <c r="A133" s="4">
        <f>'Input data'!A120</f>
        <v>2020</v>
      </c>
      <c r="B133" s="4"/>
      <c r="C133" s="769">
        <f>'4A SWD Case 2'!BN90</f>
        <v>782.04931466821267</v>
      </c>
      <c r="D133" s="3">
        <f>'4B Biological treatment '!T186</f>
        <v>0.50040140009795275</v>
      </c>
      <c r="E133" s="1157">
        <f>'4B Biological treatment '!U186</f>
        <v>26.21211835115454</v>
      </c>
      <c r="F133" s="1157">
        <f>'4B Biological treatment '!W186</f>
        <v>1.5727271010692725</v>
      </c>
      <c r="G133" s="952">
        <f>'4C2 Open-burning '!R125</f>
        <v>31.474098064411585</v>
      </c>
      <c r="H133" s="952">
        <f>'4C2 Open-burning '!Z125</f>
        <v>10.590070407435555</v>
      </c>
      <c r="I133" s="952">
        <f>'4C2 Open-burning '!AH125</f>
        <v>0.14743165412255491</v>
      </c>
      <c r="J133" s="987">
        <f>'4D Wastewater treatment and dis'!AV162</f>
        <v>149.45911234524058</v>
      </c>
      <c r="K133" s="770">
        <f>'4D Wastewater treatment and dis'!AW162</f>
        <v>2.9866449441145018</v>
      </c>
      <c r="L133" s="771">
        <f t="shared" si="121"/>
        <v>16423.035608032467</v>
      </c>
      <c r="M133" s="772">
        <f t="shared" si="122"/>
        <v>10.508429402057008</v>
      </c>
      <c r="N133" s="771">
        <f t="shared" si="123"/>
        <v>1037.9998867057197</v>
      </c>
      <c r="O133" s="773">
        <f t="shared" si="124"/>
        <v>299.56938939855024</v>
      </c>
      <c r="P133" s="771">
        <f t="shared" si="125"/>
        <v>4064.5012919255478</v>
      </c>
      <c r="Q133" s="519">
        <f t="shared" si="126"/>
        <v>16423.035608032467</v>
      </c>
      <c r="R133" s="521">
        <f t="shared" si="127"/>
        <v>1048.5083161077769</v>
      </c>
      <c r="S133" s="518">
        <f t="shared" si="128"/>
        <v>299.56938939855024</v>
      </c>
      <c r="T133" s="519">
        <f t="shared" si="129"/>
        <v>4064.5012919255478</v>
      </c>
      <c r="U133" s="519">
        <f t="shared" si="130"/>
        <v>21835.614605464347</v>
      </c>
    </row>
    <row r="134" spans="1:21">
      <c r="A134" s="4">
        <f>'Input data'!A121</f>
        <v>2021</v>
      </c>
      <c r="B134" s="4"/>
      <c r="C134" s="769">
        <f>'4A SWD Case 2'!BN91</f>
        <v>760.92314648950094</v>
      </c>
      <c r="D134" s="3">
        <f>'4B Biological treatment '!T187</f>
        <v>0.65482945907093093</v>
      </c>
      <c r="E134" s="1157">
        <f>'4B Biological treatment '!U187</f>
        <v>31.799711006813553</v>
      </c>
      <c r="F134" s="1157">
        <f>'4B Biological treatment '!W187</f>
        <v>1.9079826604088135</v>
      </c>
      <c r="G134" s="952">
        <f>'4C2 Open-burning '!R126</f>
        <v>28.90780951051277</v>
      </c>
      <c r="H134" s="952">
        <f>'4C2 Open-burning '!Z126</f>
        <v>9.7265928769288355</v>
      </c>
      <c r="I134" s="952">
        <f>'4C2 Open-burning '!AH126</f>
        <v>0.13541058950990784</v>
      </c>
      <c r="J134" s="987">
        <f>'4D Wastewater treatment and dis'!AV163</f>
        <v>155.88802560710414</v>
      </c>
      <c r="K134" s="770">
        <f>'4D Wastewater treatment and dis'!AW163</f>
        <v>3.0338615645529843</v>
      </c>
      <c r="L134" s="771">
        <f t="shared" si="121"/>
        <v>15979.386076279519</v>
      </c>
      <c r="M134" s="772">
        <f t="shared" si="122"/>
        <v>13.75141864048955</v>
      </c>
      <c r="N134" s="771">
        <f t="shared" si="123"/>
        <v>1259.2685558698167</v>
      </c>
      <c r="O134" s="773">
        <f t="shared" si="124"/>
        <v>275.14354267408976</v>
      </c>
      <c r="P134" s="771">
        <f t="shared" si="125"/>
        <v>4214.1456227606122</v>
      </c>
      <c r="Q134" s="519">
        <f t="shared" si="126"/>
        <v>15979.386076279519</v>
      </c>
      <c r="R134" s="521">
        <f t="shared" si="127"/>
        <v>1273.0199745103064</v>
      </c>
      <c r="S134" s="518">
        <f t="shared" si="128"/>
        <v>275.14354267408976</v>
      </c>
      <c r="T134" s="519">
        <f t="shared" si="129"/>
        <v>4214.1456227606122</v>
      </c>
      <c r="U134" s="519">
        <f t="shared" si="130"/>
        <v>21741.695216224529</v>
      </c>
    </row>
    <row r="135" spans="1:21">
      <c r="A135" s="4">
        <f>'Input data'!A122</f>
        <v>2022</v>
      </c>
      <c r="B135" s="4"/>
      <c r="C135" s="769">
        <f>'4A SWD Case 2'!BN92</f>
        <v>735.07234077853605</v>
      </c>
      <c r="D135" s="3">
        <f>'4B Biological treatment '!T188</f>
        <v>0.76691060117424481</v>
      </c>
      <c r="E135" s="1157">
        <f>'4B Biological treatment '!U188</f>
        <v>34.510977052841014</v>
      </c>
      <c r="F135" s="1157">
        <f>'4B Biological treatment '!W188</f>
        <v>2.0706586231704609</v>
      </c>
      <c r="G135" s="952">
        <f>'4C2 Open-burning '!R127</f>
        <v>24.012757033164188</v>
      </c>
      <c r="H135" s="952">
        <f>'4C2 Open-burning '!Z127</f>
        <v>8.0795575821564434</v>
      </c>
      <c r="I135" s="952">
        <f>'4C2 Open-burning '!AH127</f>
        <v>0.11248107832025324</v>
      </c>
      <c r="J135" s="987">
        <f>'4D Wastewater treatment and dis'!AV164</f>
        <v>162.53677945517521</v>
      </c>
      <c r="K135" s="770">
        <f>'4D Wastewater treatment and dis'!AW164</f>
        <v>3.0828473994736778</v>
      </c>
      <c r="L135" s="771">
        <f t="shared" si="121"/>
        <v>15436.519156349257</v>
      </c>
      <c r="M135" s="772">
        <f t="shared" si="122"/>
        <v>16.105122624659142</v>
      </c>
      <c r="N135" s="771">
        <f t="shared" si="123"/>
        <v>1366.6346912925042</v>
      </c>
      <c r="O135" s="773">
        <f t="shared" si="124"/>
        <v>228.55260053772801</v>
      </c>
      <c r="P135" s="771">
        <f t="shared" si="125"/>
        <v>4368.9550623955192</v>
      </c>
      <c r="Q135" s="519">
        <f t="shared" si="126"/>
        <v>15436.519156349257</v>
      </c>
      <c r="R135" s="521">
        <f t="shared" si="127"/>
        <v>1382.7398139171632</v>
      </c>
      <c r="S135" s="518">
        <f t="shared" si="128"/>
        <v>228.55260053772801</v>
      </c>
      <c r="T135" s="519">
        <f t="shared" si="129"/>
        <v>4368.9550623955192</v>
      </c>
      <c r="U135" s="519">
        <f t="shared" si="130"/>
        <v>21416.766633199666</v>
      </c>
    </row>
    <row r="136" spans="1:21">
      <c r="A136" s="4">
        <f>'Input data'!A123</f>
        <v>2023</v>
      </c>
      <c r="B136" s="4"/>
      <c r="C136" s="769">
        <f>'4A SWD Case 2'!BN93</f>
        <v>707.49567209982308</v>
      </c>
      <c r="D136" s="3">
        <f>'4B Biological treatment '!T189</f>
        <v>0.77139963259962596</v>
      </c>
      <c r="E136" s="1157">
        <f>'4B Biological treatment '!U189</f>
        <v>34.712983466983161</v>
      </c>
      <c r="F136" s="1157">
        <f>'4B Biological treatment '!W189</f>
        <v>2.0827790080189899</v>
      </c>
      <c r="G136" s="952">
        <f>'4C2 Open-burning '!R128</f>
        <v>22.736363068150862</v>
      </c>
      <c r="H136" s="952">
        <f>'4C2 Open-burning '!Z128</f>
        <v>7.650090090206259</v>
      </c>
      <c r="I136" s="952">
        <f>'4C2 Open-burning '!AH128</f>
        <v>0.10650216597179291</v>
      </c>
      <c r="J136" s="987">
        <f>'4D Wastewater treatment and dis'!AV165</f>
        <v>169.3519823715817</v>
      </c>
      <c r="K136" s="770">
        <f>'4D Wastewater treatment and dis'!AW165</f>
        <v>3.132483295366991</v>
      </c>
      <c r="L136" s="771">
        <f t="shared" si="121"/>
        <v>14857.409114096285</v>
      </c>
      <c r="M136" s="772">
        <f t="shared" si="122"/>
        <v>16.199392284592147</v>
      </c>
      <c r="N136" s="771">
        <f t="shared" si="123"/>
        <v>1374.634145292533</v>
      </c>
      <c r="O136" s="773">
        <f t="shared" si="124"/>
        <v>216.40392641373811</v>
      </c>
      <c r="P136" s="771">
        <f t="shared" si="125"/>
        <v>4527.4614513669821</v>
      </c>
      <c r="Q136" s="519">
        <f t="shared" si="126"/>
        <v>14857.409114096285</v>
      </c>
      <c r="R136" s="521">
        <f t="shared" si="127"/>
        <v>1390.8335375771253</v>
      </c>
      <c r="S136" s="518">
        <f t="shared" si="128"/>
        <v>216.40392641373811</v>
      </c>
      <c r="T136" s="519">
        <f t="shared" si="129"/>
        <v>4527.4614513669821</v>
      </c>
      <c r="U136" s="519">
        <f t="shared" si="130"/>
        <v>20992.108029454132</v>
      </c>
    </row>
    <row r="137" spans="1:21">
      <c r="A137" s="4">
        <f>'Input data'!A124</f>
        <v>2024</v>
      </c>
      <c r="B137" s="4"/>
      <c r="C137" s="769">
        <f>'4A SWD Case 2'!BN94</f>
        <v>681.05309217283877</v>
      </c>
      <c r="D137" s="3">
        <f>'4B Biological treatment '!T190</f>
        <v>0.77621704487242149</v>
      </c>
      <c r="E137" s="1157">
        <f>'4B Biological treatment '!U190</f>
        <v>34.929767019258961</v>
      </c>
      <c r="F137" s="1157">
        <f>'4B Biological treatment '!W190</f>
        <v>2.0957860211555377</v>
      </c>
      <c r="G137" s="952">
        <f>'4C2 Open-burning '!R129</f>
        <v>21.443198533790632</v>
      </c>
      <c r="H137" s="952">
        <f>'4C2 Open-burning '!Z129</f>
        <v>7.214979815108074</v>
      </c>
      <c r="I137" s="952">
        <f>'4C2 Open-burning '!AH129</f>
        <v>0.10044469655795363</v>
      </c>
      <c r="J137" s="987">
        <f>'4D Wastewater treatment and dis'!AV166</f>
        <v>176.34450925430923</v>
      </c>
      <c r="K137" s="770">
        <f>'4D Wastewater treatment and dis'!AW166</f>
        <v>3.1829183622350183</v>
      </c>
      <c r="L137" s="771">
        <f t="shared" si="121"/>
        <v>14302.114935629614</v>
      </c>
      <c r="M137" s="772">
        <f t="shared" si="122"/>
        <v>16.30055794232085</v>
      </c>
      <c r="N137" s="771">
        <f t="shared" si="123"/>
        <v>1383.2187739626547</v>
      </c>
      <c r="O137" s="773">
        <f t="shared" si="124"/>
        <v>204.0956305840258</v>
      </c>
      <c r="P137" s="771">
        <f t="shared" si="125"/>
        <v>4689.9393866333494</v>
      </c>
      <c r="Q137" s="519">
        <f t="shared" si="126"/>
        <v>14302.114935629614</v>
      </c>
      <c r="R137" s="521">
        <f t="shared" si="127"/>
        <v>1399.5193319049756</v>
      </c>
      <c r="S137" s="518">
        <f t="shared" si="128"/>
        <v>204.0956305840258</v>
      </c>
      <c r="T137" s="519">
        <f t="shared" si="129"/>
        <v>4689.9393866333494</v>
      </c>
      <c r="U137" s="519">
        <f t="shared" si="130"/>
        <v>20595.669284751966</v>
      </c>
    </row>
    <row r="138" spans="1:21">
      <c r="A138" s="4">
        <f>'Input data'!A125</f>
        <v>2025</v>
      </c>
      <c r="B138" s="4"/>
      <c r="C138" s="769">
        <f>'4A SWD Case 2'!BN95</f>
        <v>655.66237196451073</v>
      </c>
      <c r="D138" s="3">
        <f>'4B Biological treatment '!T191</f>
        <v>0.78077653682400283</v>
      </c>
      <c r="E138" s="1157">
        <f>'4B Biological treatment '!U191</f>
        <v>35.134944157080128</v>
      </c>
      <c r="F138" s="1157">
        <f>'4B Biological treatment '!W191</f>
        <v>2.1080966494248075</v>
      </c>
      <c r="G138" s="952">
        <f>'4C2 Open-burning '!R130</f>
        <v>20.132501109312408</v>
      </c>
      <c r="H138" s="952">
        <f>'4C2 Open-burning '!Z130</f>
        <v>6.7739702592611444</v>
      </c>
      <c r="I138" s="952">
        <f>'4C2 Open-burning '!AH130</f>
        <v>9.4305099199213233E-2</v>
      </c>
      <c r="J138" s="987">
        <f>'4D Wastewater treatment and dis'!AV167</f>
        <v>183.51830345634633</v>
      </c>
      <c r="K138" s="770">
        <f>'4D Wastewater treatment and dis'!AW167</f>
        <v>3.2341654672625948</v>
      </c>
      <c r="L138" s="771">
        <f t="shared" si="121"/>
        <v>13768.909811254725</v>
      </c>
      <c r="M138" s="772">
        <f t="shared" si="122"/>
        <v>16.39630727330406</v>
      </c>
      <c r="N138" s="771">
        <f t="shared" si="123"/>
        <v>1391.3437886203728</v>
      </c>
      <c r="O138" s="773">
        <f t="shared" si="124"/>
        <v>191.62045730555255</v>
      </c>
      <c r="P138" s="771">
        <f t="shared" si="125"/>
        <v>4856.4756674346772</v>
      </c>
      <c r="Q138" s="519">
        <f t="shared" si="126"/>
        <v>13768.909811254725</v>
      </c>
      <c r="R138" s="521">
        <f t="shared" si="127"/>
        <v>1407.7400958936769</v>
      </c>
      <c r="S138" s="518">
        <f t="shared" si="128"/>
        <v>191.62045730555255</v>
      </c>
      <c r="T138" s="519">
        <f t="shared" si="129"/>
        <v>4856.4756674346772</v>
      </c>
      <c r="U138" s="519">
        <f t="shared" si="130"/>
        <v>20224.746031888633</v>
      </c>
    </row>
    <row r="139" spans="1:21">
      <c r="A139" s="4">
        <f>'Input data'!A126</f>
        <v>2026</v>
      </c>
      <c r="B139" s="4"/>
      <c r="C139" s="769">
        <f>'4A SWD Case 2'!BN96</f>
        <v>631.24478280874223</v>
      </c>
      <c r="D139" s="3">
        <f>'4B Biological treatment '!T192</f>
        <v>0.78473928901048162</v>
      </c>
      <c r="E139" s="1157">
        <f>'4B Biological treatment '!U192</f>
        <v>35.31326800547167</v>
      </c>
      <c r="F139" s="1157">
        <f>'4B Biological treatment '!W192</f>
        <v>2.1187960803283001</v>
      </c>
      <c r="G139" s="952">
        <f>'4C2 Open-burning '!R131</f>
        <v>18.809454737731077</v>
      </c>
      <c r="H139" s="952">
        <f>'4C2 Open-burning '!Z131</f>
        <v>6.3288056607816365</v>
      </c>
      <c r="I139" s="952">
        <f>'4C2 Open-burning '!AH131</f>
        <v>8.810765663409531E-2</v>
      </c>
      <c r="J139" s="987">
        <f>'4D Wastewater treatment and dis'!AV168</f>
        <v>190.70241786128247</v>
      </c>
      <c r="K139" s="770">
        <f>'4D Wastewater treatment and dis'!AW168</f>
        <v>3.2832252909215254</v>
      </c>
      <c r="L139" s="771">
        <f t="shared" si="121"/>
        <v>13256.140438983586</v>
      </c>
      <c r="M139" s="772">
        <f t="shared" si="122"/>
        <v>16.479525069220113</v>
      </c>
      <c r="N139" s="771">
        <f t="shared" si="123"/>
        <v>1398.4054130166783</v>
      </c>
      <c r="O139" s="773">
        <f t="shared" si="124"/>
        <v>179.02774717071497</v>
      </c>
      <c r="P139" s="771">
        <f t="shared" si="125"/>
        <v>5022.5506152726048</v>
      </c>
      <c r="Q139" s="519">
        <f t="shared" si="126"/>
        <v>13256.140438983586</v>
      </c>
      <c r="R139" s="521">
        <f t="shared" si="127"/>
        <v>1414.8849380858983</v>
      </c>
      <c r="S139" s="518">
        <f t="shared" si="128"/>
        <v>179.02774717071497</v>
      </c>
      <c r="T139" s="519">
        <f t="shared" si="129"/>
        <v>5022.5506152726048</v>
      </c>
      <c r="U139" s="519">
        <f t="shared" si="130"/>
        <v>19872.603739512804</v>
      </c>
    </row>
    <row r="140" spans="1:21">
      <c r="A140" s="4">
        <f>'Input data'!A127</f>
        <v>2027</v>
      </c>
      <c r="B140" s="4"/>
      <c r="C140" s="769">
        <f>'4A SWD Case 2'!BN97</f>
        <v>607.72285642241604</v>
      </c>
      <c r="D140" s="3">
        <f>'4B Biological treatment '!T193</f>
        <v>0.78867376999817651</v>
      </c>
      <c r="E140" s="1157">
        <f>'4B Biological treatment '!U193</f>
        <v>35.490319649917943</v>
      </c>
      <c r="F140" s="1157">
        <f>'4B Biological treatment '!W193</f>
        <v>2.1294191789950765</v>
      </c>
      <c r="G140" s="952">
        <f>'4C2 Open-burning '!R132</f>
        <v>17.471857887699493</v>
      </c>
      <c r="H140" s="952">
        <f>'4C2 Open-burning '!Z132</f>
        <v>5.8787452717719368</v>
      </c>
      <c r="I140" s="952">
        <f>'4C2 Open-burning '!AH132</f>
        <v>8.1842056401621677E-2</v>
      </c>
      <c r="J140" s="987">
        <f>'4D Wastewater treatment and dis'!AV169</f>
        <v>197.8805345060766</v>
      </c>
      <c r="K140" s="770">
        <f>'4D Wastewater treatment and dis'!AW169</f>
        <v>3.3299712250896238</v>
      </c>
      <c r="L140" s="771">
        <f t="shared" si="121"/>
        <v>12762.179984870738</v>
      </c>
      <c r="M140" s="772">
        <f t="shared" si="122"/>
        <v>16.562149169961707</v>
      </c>
      <c r="N140" s="771">
        <f t="shared" si="123"/>
        <v>1405.4166581367504</v>
      </c>
      <c r="O140" s="773">
        <f t="shared" si="124"/>
        <v>166.29654607941288</v>
      </c>
      <c r="P140" s="771">
        <f t="shared" si="125"/>
        <v>5187.7823044053921</v>
      </c>
      <c r="Q140" s="519">
        <f t="shared" si="126"/>
        <v>12762.179984870738</v>
      </c>
      <c r="R140" s="521">
        <f t="shared" si="127"/>
        <v>1421.978807306712</v>
      </c>
      <c r="S140" s="518">
        <f t="shared" si="128"/>
        <v>166.29654607941288</v>
      </c>
      <c r="T140" s="519">
        <f t="shared" si="129"/>
        <v>5187.7823044053921</v>
      </c>
      <c r="U140" s="519">
        <f t="shared" si="130"/>
        <v>19538.237642662254</v>
      </c>
    </row>
    <row r="141" spans="1:21">
      <c r="A141" s="4">
        <f>'Input data'!A128</f>
        <v>2028</v>
      </c>
      <c r="B141" s="4"/>
      <c r="C141" s="769">
        <f>'4A SWD Case 2'!BN98</f>
        <v>585.06956153896658</v>
      </c>
      <c r="D141" s="3">
        <f>'4B Biological treatment '!T194</f>
        <v>0.79269523928982233</v>
      </c>
      <c r="E141" s="1157">
        <f>'4B Biological treatment '!U194</f>
        <v>35.671285768041997</v>
      </c>
      <c r="F141" s="1157">
        <f>'4B Biological treatment '!W194</f>
        <v>2.1402771460825196</v>
      </c>
      <c r="G141" s="952">
        <f>'4C2 Open-burning '!R133</f>
        <v>16.117504712260246</v>
      </c>
      <c r="H141" s="952">
        <f>'4C2 Open-burning '!Z133</f>
        <v>5.423046892263705</v>
      </c>
      <c r="I141" s="952">
        <f>'4C2 Open-burning '!AH133</f>
        <v>7.5497965825538763E-2</v>
      </c>
      <c r="J141" s="987">
        <f>'4D Wastewater treatment and dis'!AV170</f>
        <v>205.03592570635027</v>
      </c>
      <c r="K141" s="770">
        <f>'4D Wastewater treatment and dis'!AW170</f>
        <v>3.3742810888374657</v>
      </c>
      <c r="L141" s="771">
        <f t="shared" si="121"/>
        <v>12286.460792318298</v>
      </c>
      <c r="M141" s="772">
        <f t="shared" si="122"/>
        <v>16.646600025086268</v>
      </c>
      <c r="N141" s="771">
        <f t="shared" si="123"/>
        <v>1412.5829164144629</v>
      </c>
      <c r="O141" s="773">
        <f t="shared" si="124"/>
        <v>153.40585885571505</v>
      </c>
      <c r="P141" s="771">
        <f t="shared" si="125"/>
        <v>5351.7815773729699</v>
      </c>
      <c r="Q141" s="519">
        <f t="shared" si="126"/>
        <v>12286.460792318298</v>
      </c>
      <c r="R141" s="521">
        <f t="shared" si="127"/>
        <v>1429.2295164395491</v>
      </c>
      <c r="S141" s="518">
        <f t="shared" si="128"/>
        <v>153.40585885571505</v>
      </c>
      <c r="T141" s="519">
        <f t="shared" si="129"/>
        <v>5351.7815773729699</v>
      </c>
      <c r="U141" s="519">
        <f t="shared" si="130"/>
        <v>19220.87774498653</v>
      </c>
    </row>
    <row r="142" spans="1:21">
      <c r="A142" s="4">
        <f>'Input data'!A129</f>
        <v>2029</v>
      </c>
      <c r="B142" s="4"/>
      <c r="C142" s="769">
        <f>'4A SWD Case 2'!BN99</f>
        <v>563.22090827226964</v>
      </c>
      <c r="D142" s="3">
        <f>'4B Biological treatment '!T195</f>
        <v>0.79803719103544102</v>
      </c>
      <c r="E142" s="1157">
        <f>'4B Biological treatment '!U195</f>
        <v>35.911673596594845</v>
      </c>
      <c r="F142" s="1157">
        <f>'4B Biological treatment '!W195</f>
        <v>2.1547004157956904</v>
      </c>
      <c r="G142" s="952">
        <f>'4C2 Open-burning '!R134</f>
        <v>14.744168560360768</v>
      </c>
      <c r="H142" s="952">
        <f>'4C2 Open-burning '!Z134</f>
        <v>4.9609613223475026</v>
      </c>
      <c r="I142" s="952">
        <f>'4C2 Open-burning '!AH134</f>
        <v>6.9064954778598378E-2</v>
      </c>
      <c r="J142" s="987">
        <f>'4D Wastewater treatment and dis'!AV171</f>
        <v>212.15151642125332</v>
      </c>
      <c r="K142" s="770">
        <f>'4D Wastewater treatment and dis'!AW171</f>
        <v>3.4160376549203448</v>
      </c>
      <c r="L142" s="771">
        <f t="shared" si="121"/>
        <v>11827.639073717663</v>
      </c>
      <c r="M142" s="772">
        <f t="shared" si="122"/>
        <v>16.758781011744261</v>
      </c>
      <c r="N142" s="771">
        <f t="shared" si="123"/>
        <v>1422.1022744251559</v>
      </c>
      <c r="O142" s="773">
        <f t="shared" si="124"/>
        <v>140.33449231102381</v>
      </c>
      <c r="P142" s="771">
        <f t="shared" si="125"/>
        <v>5514.1535178716267</v>
      </c>
      <c r="Q142" s="519">
        <f t="shared" si="126"/>
        <v>11827.639073717663</v>
      </c>
      <c r="R142" s="521">
        <f t="shared" si="127"/>
        <v>1438.8610554369002</v>
      </c>
      <c r="S142" s="518">
        <f t="shared" si="128"/>
        <v>140.33449231102381</v>
      </c>
      <c r="T142" s="519">
        <f t="shared" si="129"/>
        <v>5514.1535178716267</v>
      </c>
      <c r="U142" s="519">
        <f t="shared" si="130"/>
        <v>18920.988139337212</v>
      </c>
    </row>
    <row r="143" spans="1:21">
      <c r="A143" s="4">
        <f>'Input data'!A130</f>
        <v>2030</v>
      </c>
      <c r="B143" s="4"/>
      <c r="C143" s="769">
        <f>'4A SWD Case 2'!BN100</f>
        <v>541.9482064563424</v>
      </c>
      <c r="D143" s="3">
        <f>'4B Biological treatment '!T196</f>
        <v>0.80284285988720328</v>
      </c>
      <c r="E143" s="1157">
        <f>'4B Biological treatment '!U196</f>
        <v>36.127928694924137</v>
      </c>
      <c r="F143" s="1157">
        <f>'4B Biological treatment '!W196</f>
        <v>2.1676757216954483</v>
      </c>
      <c r="G143" s="952">
        <f>'4C2 Open-burning '!R135</f>
        <v>13.349585440445585</v>
      </c>
      <c r="H143" s="952">
        <f>'4C2 Open-burning '!Z135</f>
        <v>4.491726798177857</v>
      </c>
      <c r="I143" s="952">
        <f>'4C2 Open-burning '!AH135</f>
        <v>6.2532418222357194E-2</v>
      </c>
      <c r="J143" s="987">
        <f>'4D Wastewater treatment and dis'!AV172</f>
        <v>219.2099499261966</v>
      </c>
      <c r="K143" s="770">
        <f>'4D Wastewater treatment and dis'!AW172</f>
        <v>3.4551291616770792</v>
      </c>
      <c r="L143" s="771">
        <f t="shared" si="121"/>
        <v>11380.912335583191</v>
      </c>
      <c r="M143" s="772">
        <f t="shared" si="122"/>
        <v>16.859700057631269</v>
      </c>
      <c r="N143" s="771">
        <f t="shared" si="123"/>
        <v>1430.6659763189959</v>
      </c>
      <c r="O143" s="773">
        <f t="shared" si="124"/>
        <v>127.06089785111131</v>
      </c>
      <c r="P143" s="771">
        <f t="shared" si="125"/>
        <v>5674.4989885700234</v>
      </c>
      <c r="Q143" s="519">
        <f t="shared" si="126"/>
        <v>11380.912335583191</v>
      </c>
      <c r="R143" s="521">
        <f t="shared" si="127"/>
        <v>1447.5256763766272</v>
      </c>
      <c r="S143" s="518">
        <f t="shared" si="128"/>
        <v>127.06089785111131</v>
      </c>
      <c r="T143" s="519">
        <f t="shared" si="129"/>
        <v>5674.4989885700234</v>
      </c>
      <c r="U143" s="519">
        <f t="shared" si="130"/>
        <v>18629.997898380952</v>
      </c>
    </row>
    <row r="144" spans="1:21">
      <c r="A144" s="4">
        <f>'Input data'!A131</f>
        <v>2031</v>
      </c>
      <c r="B144" s="4"/>
      <c r="C144" s="769">
        <f>'4A SWD Case 2'!BN101</f>
        <v>521.29501703305868</v>
      </c>
      <c r="D144" s="3">
        <f>'4B Biological treatment '!T197</f>
        <v>0.80853146002406595</v>
      </c>
      <c r="E144" s="1157">
        <f>'4B Biological treatment '!U197</f>
        <v>36.383915701082962</v>
      </c>
      <c r="F144" s="1157">
        <f>'4B Biological treatment '!W197</f>
        <v>2.1830349420649782</v>
      </c>
      <c r="G144" s="952">
        <f>'4C2 Open-burning '!R136</f>
        <v>11.765107989669922</v>
      </c>
      <c r="H144" s="952">
        <f>'4C2 Open-burning '!Z136</f>
        <v>3.9585986453593502</v>
      </c>
      <c r="I144" s="952">
        <f>'4C2 Open-burning '!AH136</f>
        <v>5.5110374514871767E-2</v>
      </c>
      <c r="J144" s="987">
        <f>'4D Wastewater treatment and dis'!AV173</f>
        <v>221.6453728861629</v>
      </c>
      <c r="K144" s="770">
        <f>'4D Wastewater treatment and dis'!AW173</f>
        <v>3.493515653224704</v>
      </c>
      <c r="L144" s="771">
        <f t="shared" si="121"/>
        <v>10947.195357694232</v>
      </c>
      <c r="M144" s="772">
        <f t="shared" si="122"/>
        <v>16.979160660505386</v>
      </c>
      <c r="N144" s="771">
        <f t="shared" si="123"/>
        <v>1440.8030617628856</v>
      </c>
      <c r="O144" s="773">
        <f t="shared" si="124"/>
        <v>111.97989564182652</v>
      </c>
      <c r="P144" s="771">
        <f t="shared" si="125"/>
        <v>5737.542683109079</v>
      </c>
      <c r="Q144" s="519">
        <f t="shared" si="126"/>
        <v>10947.195357694232</v>
      </c>
      <c r="R144" s="521">
        <f t="shared" si="127"/>
        <v>1457.782222423391</v>
      </c>
      <c r="S144" s="518">
        <f t="shared" si="128"/>
        <v>111.97989564182652</v>
      </c>
      <c r="T144" s="519">
        <f t="shared" si="129"/>
        <v>5737.542683109079</v>
      </c>
      <c r="U144" s="519">
        <f t="shared" si="130"/>
        <v>18254.50015886853</v>
      </c>
    </row>
    <row r="145" spans="1:21">
      <c r="A145" s="4">
        <f>'Input data'!A132</f>
        <v>2032</v>
      </c>
      <c r="B145" s="4"/>
      <c r="C145" s="769">
        <f>'4A SWD Case 2'!BN102</f>
        <v>501.07628483479033</v>
      </c>
      <c r="D145" s="3">
        <f>'4B Biological treatment '!T198</f>
        <v>0.81448406966341946</v>
      </c>
      <c r="E145" s="1157">
        <f>'4B Biological treatment '!U198</f>
        <v>36.651783134853872</v>
      </c>
      <c r="F145" s="1157">
        <f>'4B Biological treatment '!W198</f>
        <v>2.1991069880912324</v>
      </c>
      <c r="G145" s="952">
        <f>'4C2 Open-burning '!R137</f>
        <v>10.193963532870798</v>
      </c>
      <c r="H145" s="952">
        <f>'4C2 Open-burning '!Z137</f>
        <v>3.4299566368193712</v>
      </c>
      <c r="I145" s="952">
        <f>'4C2 Open-burning '!AH137</f>
        <v>4.7750785507512924E-2</v>
      </c>
      <c r="J145" s="987">
        <f>'4D Wastewater treatment and dis'!AV174</f>
        <v>224.03392990775248</v>
      </c>
      <c r="K145" s="770">
        <f>'4D Wastewater treatment and dis'!AW174</f>
        <v>3.5311634562664973</v>
      </c>
      <c r="L145" s="771">
        <f t="shared" si="121"/>
        <v>10522.601981530597</v>
      </c>
      <c r="M145" s="772">
        <f t="shared" si="122"/>
        <v>17.10416546293181</v>
      </c>
      <c r="N145" s="771">
        <f t="shared" si="123"/>
        <v>1451.4106121402133</v>
      </c>
      <c r="O145" s="773">
        <f t="shared" si="124"/>
        <v>97.02579641340661</v>
      </c>
      <c r="P145" s="771">
        <f t="shared" si="125"/>
        <v>5799.3731995054168</v>
      </c>
      <c r="Q145" s="519">
        <f t="shared" si="126"/>
        <v>10522.601981530597</v>
      </c>
      <c r="R145" s="521">
        <f t="shared" si="127"/>
        <v>1468.5147776031451</v>
      </c>
      <c r="S145" s="518">
        <f t="shared" si="128"/>
        <v>97.02579641340661</v>
      </c>
      <c r="T145" s="519">
        <f t="shared" si="129"/>
        <v>5799.3731995054168</v>
      </c>
      <c r="U145" s="519">
        <f t="shared" si="130"/>
        <v>17887.515755052566</v>
      </c>
    </row>
    <row r="146" spans="1:21">
      <c r="A146" s="4">
        <f>'Input data'!A133</f>
        <v>2033</v>
      </c>
      <c r="B146" s="4"/>
      <c r="C146" s="769">
        <f>'4A SWD Case 2'!BN103</f>
        <v>481.26746084903328</v>
      </c>
      <c r="D146" s="3">
        <f>'4B Biological treatment '!T199</f>
        <v>0.82148488836538025</v>
      </c>
      <c r="E146" s="1157">
        <f>'4B Biological treatment '!U199</f>
        <v>36.966819976442103</v>
      </c>
      <c r="F146" s="1157">
        <f>'4B Biological treatment '!W199</f>
        <v>2.2180091985865262</v>
      </c>
      <c r="G146" s="952">
        <f>'4C2 Open-burning '!R138</f>
        <v>10.159140937478856</v>
      </c>
      <c r="H146" s="952">
        <f>'4C2 Open-burning '!Z138</f>
        <v>3.4182398995767151</v>
      </c>
      <c r="I146" s="952">
        <f>'4C2 Open-burning '!AH138</f>
        <v>4.758766874944196E-2</v>
      </c>
      <c r="J146" s="987">
        <f>'4D Wastewater treatment and dis'!AV175</f>
        <v>226.37350704017067</v>
      </c>
      <c r="K146" s="770">
        <f>'4D Wastewater treatment and dis'!AW175</f>
        <v>3.5680392512700192</v>
      </c>
      <c r="L146" s="771">
        <f t="shared" si="121"/>
        <v>10106.616677829699</v>
      </c>
      <c r="M146" s="772">
        <f t="shared" si="122"/>
        <v>17.251182655672984</v>
      </c>
      <c r="N146" s="771">
        <f t="shared" si="123"/>
        <v>1463.8860710671072</v>
      </c>
      <c r="O146" s="773">
        <f t="shared" si="124"/>
        <v>96.694356140916881</v>
      </c>
      <c r="P146" s="771">
        <f t="shared" si="125"/>
        <v>5859.9358157372899</v>
      </c>
      <c r="Q146" s="519">
        <f t="shared" si="126"/>
        <v>10106.616677829699</v>
      </c>
      <c r="R146" s="521">
        <f t="shared" si="127"/>
        <v>1481.1372537227801</v>
      </c>
      <c r="S146" s="518">
        <f t="shared" si="128"/>
        <v>96.694356140916881</v>
      </c>
      <c r="T146" s="519">
        <f t="shared" si="129"/>
        <v>5859.9358157372899</v>
      </c>
      <c r="U146" s="519">
        <f t="shared" si="130"/>
        <v>17544.384103430686</v>
      </c>
    </row>
    <row r="147" spans="1:21">
      <c r="A147" s="4">
        <f>'Input data'!A134</f>
        <v>2034</v>
      </c>
      <c r="B147" s="4"/>
      <c r="C147" s="769">
        <f>'4A SWD Case 2'!BN104</f>
        <v>462.43883375288544</v>
      </c>
      <c r="D147" s="3">
        <f>'4B Biological treatment '!T200</f>
        <v>0.82911941686162249</v>
      </c>
      <c r="E147" s="1157">
        <f>'4B Biological treatment '!U200</f>
        <v>37.310373758773004</v>
      </c>
      <c r="F147" s="1157">
        <f>'4B Biological treatment '!W200</f>
        <v>2.2386224255263802</v>
      </c>
      <c r="G147" s="952">
        <f>'4C2 Open-burning '!R139</f>
        <v>10.125990400822563</v>
      </c>
      <c r="H147" s="952">
        <f>'4C2 Open-burning '!Z139</f>
        <v>3.4070857589079031</v>
      </c>
      <c r="I147" s="952">
        <f>'4C2 Open-burning '!AH139</f>
        <v>4.7432384285236329E-2</v>
      </c>
      <c r="J147" s="987">
        <f>'4D Wastewater treatment and dis'!AV176</f>
        <v>228.66201585416007</v>
      </c>
      <c r="K147" s="770">
        <f>'4D Wastewater treatment and dis'!AW176</f>
        <v>3.604110120966546</v>
      </c>
      <c r="L147" s="771">
        <f t="shared" si="121"/>
        <v>9711.2155088105937</v>
      </c>
      <c r="M147" s="772">
        <f t="shared" si="122"/>
        <v>17.411507754094071</v>
      </c>
      <c r="N147" s="771">
        <f t="shared" si="123"/>
        <v>1477.4908008474108</v>
      </c>
      <c r="O147" s="773">
        <f t="shared" si="124"/>
        <v>96.378830466311783</v>
      </c>
      <c r="P147" s="771">
        <f t="shared" si="125"/>
        <v>5919.1764704369907</v>
      </c>
      <c r="Q147" s="519">
        <f t="shared" si="126"/>
        <v>9711.2155088105937</v>
      </c>
      <c r="R147" s="521">
        <f t="shared" si="127"/>
        <v>1494.902308601505</v>
      </c>
      <c r="S147" s="518">
        <f t="shared" si="128"/>
        <v>96.378830466311783</v>
      </c>
      <c r="T147" s="519">
        <f t="shared" si="129"/>
        <v>5919.1764704369907</v>
      </c>
      <c r="U147" s="519">
        <f t="shared" si="130"/>
        <v>17221.673118315401</v>
      </c>
    </row>
    <row r="148" spans="1:21">
      <c r="A148" s="4">
        <f>'Input data'!A135</f>
        <v>2035</v>
      </c>
      <c r="B148" s="4"/>
      <c r="C148" s="769">
        <f>'4A SWD Case 2'!BN105</f>
        <v>444.54207938157703</v>
      </c>
      <c r="D148" s="3">
        <f>'4B Biological treatment '!T201</f>
        <v>0.83521207767033656</v>
      </c>
      <c r="E148" s="1157">
        <f>'4B Biological treatment '!U201</f>
        <v>37.584543495165143</v>
      </c>
      <c r="F148" s="1157">
        <f>'4B Biological treatment '!W201</f>
        <v>2.2550726097099085</v>
      </c>
      <c r="G148" s="952">
        <f>'4C2 Open-burning '!R140</f>
        <v>10.094446054521576</v>
      </c>
      <c r="H148" s="952">
        <f>'4C2 Open-burning '!Z140</f>
        <v>3.3964720521195364</v>
      </c>
      <c r="I148" s="952">
        <f>'4C2 Open-burning '!AH140</f>
        <v>4.7284623572797432E-2</v>
      </c>
      <c r="J148" s="987">
        <f>'4D Wastewater treatment and dis'!AV177</f>
        <v>230.89739651168955</v>
      </c>
      <c r="K148" s="770">
        <f>'4D Wastewater treatment and dis'!AW177</f>
        <v>3.6393435987346821</v>
      </c>
      <c r="L148" s="771">
        <f t="shared" si="121"/>
        <v>9335.3836670131168</v>
      </c>
      <c r="M148" s="772">
        <f t="shared" si="122"/>
        <v>17.539453631077066</v>
      </c>
      <c r="N148" s="771">
        <f t="shared" si="123"/>
        <v>1488.3479224085395</v>
      </c>
      <c r="O148" s="773">
        <f t="shared" si="124"/>
        <v>96.07859245659904</v>
      </c>
      <c r="P148" s="771">
        <f t="shared" si="125"/>
        <v>5977.0418423532319</v>
      </c>
      <c r="Q148" s="519">
        <f t="shared" si="126"/>
        <v>9335.3836670131168</v>
      </c>
      <c r="R148" s="521">
        <f t="shared" si="127"/>
        <v>1505.8873760396166</v>
      </c>
      <c r="S148" s="518">
        <f t="shared" si="128"/>
        <v>96.07859245659904</v>
      </c>
      <c r="T148" s="519">
        <f t="shared" si="129"/>
        <v>5977.0418423532319</v>
      </c>
      <c r="U148" s="519">
        <f t="shared" si="130"/>
        <v>16914.391477862562</v>
      </c>
    </row>
    <row r="149" spans="1:21">
      <c r="A149" s="4">
        <f>'Input data'!A136</f>
        <v>2036</v>
      </c>
      <c r="B149" s="4"/>
      <c r="C149" s="769">
        <f>'4A SWD Case 2'!BN106</f>
        <v>427.53123736877671</v>
      </c>
      <c r="D149" s="3">
        <f>'4B Biological treatment '!T202</f>
        <v>0.84131256742640637</v>
      </c>
      <c r="E149" s="1157">
        <f>'4B Biological treatment '!U202</f>
        <v>37.859065534188282</v>
      </c>
      <c r="F149" s="1157">
        <f>'4B Biological treatment '!W202</f>
        <v>2.2715439320512969</v>
      </c>
      <c r="G149" s="952">
        <f>'4C2 Open-burning '!R141</f>
        <v>10.064223235545068</v>
      </c>
      <c r="H149" s="952">
        <f>'4C2 Open-burning '!Z141</f>
        <v>3.386302998816805</v>
      </c>
      <c r="I149" s="952">
        <f>'4C2 Open-burning '!AH141</f>
        <v>4.71430531873702E-2</v>
      </c>
      <c r="J149" s="987">
        <f>'4D Wastewater treatment and dis'!AV178</f>
        <v>233.09403867597584</v>
      </c>
      <c r="K149" s="770">
        <f>'4D Wastewater treatment and dis'!AW178</f>
        <v>3.6739664906342075</v>
      </c>
      <c r="L149" s="771">
        <f t="shared" si="121"/>
        <v>8978.1559847443114</v>
      </c>
      <c r="M149" s="772">
        <f t="shared" si="122"/>
        <v>17.667563915954535</v>
      </c>
      <c r="N149" s="771">
        <f t="shared" si="123"/>
        <v>1499.218995153856</v>
      </c>
      <c r="O149" s="773">
        <f t="shared" si="124"/>
        <v>95.79093269878274</v>
      </c>
      <c r="P149" s="771">
        <f t="shared" si="125"/>
        <v>6033.9044242920972</v>
      </c>
      <c r="Q149" s="519">
        <f t="shared" si="126"/>
        <v>8978.1559847443114</v>
      </c>
      <c r="R149" s="521">
        <f t="shared" si="127"/>
        <v>1516.8865590698106</v>
      </c>
      <c r="S149" s="518">
        <f t="shared" si="128"/>
        <v>95.79093269878274</v>
      </c>
      <c r="T149" s="519">
        <f t="shared" si="129"/>
        <v>6033.9044242920972</v>
      </c>
      <c r="U149" s="519">
        <f t="shared" si="130"/>
        <v>16624.737900805001</v>
      </c>
    </row>
    <row r="150" spans="1:21">
      <c r="A150" s="4">
        <f>'Input data'!A137</f>
        <v>2037</v>
      </c>
      <c r="B150" s="4"/>
      <c r="C150" s="769">
        <f>'4A SWD Case 2'!BN107</f>
        <v>412.25000652561693</v>
      </c>
      <c r="D150" s="3">
        <f>'4B Biological treatment '!T203</f>
        <v>0.84845039270708966</v>
      </c>
      <c r="E150" s="1157">
        <f>'4B Biological treatment '!U203</f>
        <v>38.180267671819031</v>
      </c>
      <c r="F150" s="1157">
        <f>'4B Biological treatment '!W203</f>
        <v>2.2908160603091421</v>
      </c>
      <c r="G150" s="952">
        <f>'4C2 Open-burning '!R142</f>
        <v>10.03527415643417</v>
      </c>
      <c r="H150" s="952">
        <f>'4C2 Open-burning '!Z142</f>
        <v>3.3765625199828309</v>
      </c>
      <c r="I150" s="952">
        <f>'4C2 Open-burning '!AH142</f>
        <v>4.7007449281901335E-2</v>
      </c>
      <c r="J150" s="987">
        <f>'4D Wastewater treatment and dis'!AV179</f>
        <v>235.25041077056153</v>
      </c>
      <c r="K150" s="770">
        <f>'4D Wastewater treatment and dis'!AW179</f>
        <v>3.7079546563627162</v>
      </c>
      <c r="L150" s="771">
        <f t="shared" si="121"/>
        <v>8657.2501370379559</v>
      </c>
      <c r="M150" s="772">
        <f t="shared" si="122"/>
        <v>17.817458246848883</v>
      </c>
      <c r="N150" s="771">
        <f t="shared" si="123"/>
        <v>1511.9385998040336</v>
      </c>
      <c r="O150" s="773">
        <f t="shared" si="124"/>
        <v>95.515396353463032</v>
      </c>
      <c r="P150" s="771">
        <f t="shared" si="125"/>
        <v>6089.7245696542341</v>
      </c>
      <c r="Q150" s="519">
        <f t="shared" si="126"/>
        <v>8657.2501370379559</v>
      </c>
      <c r="R150" s="521">
        <f t="shared" si="127"/>
        <v>1529.7560580508825</v>
      </c>
      <c r="S150" s="518">
        <f t="shared" si="128"/>
        <v>95.515396353463032</v>
      </c>
      <c r="T150" s="519">
        <f t="shared" si="129"/>
        <v>6089.7245696542341</v>
      </c>
      <c r="U150" s="519">
        <f t="shared" si="130"/>
        <v>16372.246161096535</v>
      </c>
    </row>
    <row r="151" spans="1:21">
      <c r="A151" s="4">
        <f>'Input data'!A138</f>
        <v>2038</v>
      </c>
      <c r="B151" s="4"/>
      <c r="C151" s="769">
        <f>'4A SWD Case 2'!BN108</f>
        <v>397.62523000526227</v>
      </c>
      <c r="D151" s="3">
        <f>'4B Biological treatment '!T204</f>
        <v>0.85542076550266744</v>
      </c>
      <c r="E151" s="1157">
        <f>'4B Biological treatment '!U204</f>
        <v>38.493934447620028</v>
      </c>
      <c r="F151" s="1157">
        <f>'4B Biological treatment '!W204</f>
        <v>2.3096360668572018</v>
      </c>
      <c r="G151" s="952">
        <f>'4C2 Open-burning '!R143</f>
        <v>10.007553800291879</v>
      </c>
      <c r="H151" s="952">
        <f>'4C2 Open-burning '!Z143</f>
        <v>3.367235468809981</v>
      </c>
      <c r="I151" s="952">
        <f>'4C2 Open-burning '!AH143</f>
        <v>4.687760098726361E-2</v>
      </c>
      <c r="J151" s="987">
        <f>'4D Wastewater treatment and dis'!AV180</f>
        <v>237.3649979490711</v>
      </c>
      <c r="K151" s="770">
        <f>'4D Wastewater treatment and dis'!AW180</f>
        <v>3.7412842193129237</v>
      </c>
      <c r="L151" s="771">
        <f t="shared" si="121"/>
        <v>8350.1298301105071</v>
      </c>
      <c r="M151" s="772">
        <f t="shared" si="122"/>
        <v>17.963836075556017</v>
      </c>
      <c r="N151" s="771">
        <f t="shared" si="123"/>
        <v>1524.359804125753</v>
      </c>
      <c r="O151" s="773">
        <f t="shared" si="124"/>
        <v>95.251554951353185</v>
      </c>
      <c r="P151" s="771">
        <f t="shared" si="125"/>
        <v>6144.4630649174987</v>
      </c>
      <c r="Q151" s="519">
        <f t="shared" si="126"/>
        <v>8350.1298301105071</v>
      </c>
      <c r="R151" s="521">
        <f t="shared" si="127"/>
        <v>1542.323640201309</v>
      </c>
      <c r="S151" s="518">
        <f t="shared" si="128"/>
        <v>95.251554951353185</v>
      </c>
      <c r="T151" s="519">
        <f t="shared" si="129"/>
        <v>6144.4630649174987</v>
      </c>
      <c r="U151" s="519">
        <f t="shared" si="130"/>
        <v>16132.168090180669</v>
      </c>
    </row>
    <row r="152" spans="1:21">
      <c r="A152" s="4">
        <f>'Input data'!A139</f>
        <v>2039</v>
      </c>
      <c r="B152" s="4"/>
      <c r="C152" s="769">
        <f>'4A SWD Case 2'!BN109</f>
        <v>384.17164138538294</v>
      </c>
      <c r="D152" s="3">
        <f>'4B Biological treatment '!T205</f>
        <v>0.86289132104596267</v>
      </c>
      <c r="E152" s="1157">
        <f>'4B Biological treatment '!U205</f>
        <v>38.830109447068317</v>
      </c>
      <c r="F152" s="1157">
        <f>'4B Biological treatment '!W205</f>
        <v>2.3298065668240993</v>
      </c>
      <c r="G152" s="952">
        <f>'4C2 Open-burning '!R144</f>
        <v>9.9810197518680681</v>
      </c>
      <c r="H152" s="952">
        <f>'4C2 Open-burning '!Z144</f>
        <v>3.3583075738651473</v>
      </c>
      <c r="I152" s="952">
        <f>'4C2 Open-burning '!AH144</f>
        <v>4.6753309621020658E-2</v>
      </c>
      <c r="J152" s="987">
        <f>'4D Wastewater treatment and dis'!AV181</f>
        <v>239.43630384884813</v>
      </c>
      <c r="K152" s="770">
        <f>'4D Wastewater treatment and dis'!AW181</f>
        <v>3.7739315942130265</v>
      </c>
      <c r="L152" s="771">
        <f t="shared" si="121"/>
        <v>8067.6044690930421</v>
      </c>
      <c r="M152" s="772">
        <f t="shared" si="122"/>
        <v>18.120717741965215</v>
      </c>
      <c r="N152" s="771">
        <f t="shared" si="123"/>
        <v>1537.6723341039055</v>
      </c>
      <c r="O152" s="773">
        <f t="shared" si="124"/>
        <v>94.999004785552572</v>
      </c>
      <c r="P152" s="771">
        <f t="shared" si="125"/>
        <v>6198.0811750318489</v>
      </c>
      <c r="Q152" s="519">
        <f t="shared" si="126"/>
        <v>8067.6044690930421</v>
      </c>
      <c r="R152" s="521">
        <f t="shared" si="127"/>
        <v>1555.7930518458707</v>
      </c>
      <c r="S152" s="518">
        <f t="shared" si="128"/>
        <v>94.999004785552572</v>
      </c>
      <c r="T152" s="519">
        <f t="shared" si="129"/>
        <v>6198.0811750318489</v>
      </c>
      <c r="U152" s="519">
        <f t="shared" si="130"/>
        <v>15916.477700756313</v>
      </c>
    </row>
    <row r="153" spans="1:21">
      <c r="A153" s="4">
        <f>'Input data'!A140</f>
        <v>2040</v>
      </c>
      <c r="B153" s="4"/>
      <c r="C153" s="769">
        <f>'4A SWD Case 2'!BN110</f>
        <v>371.83873517942379</v>
      </c>
      <c r="D153" s="3">
        <f>'4B Biological treatment '!T206</f>
        <v>0.87038710319740331</v>
      </c>
      <c r="E153" s="1157">
        <f>'4B Biological treatment '!U206</f>
        <v>39.167419643883143</v>
      </c>
      <c r="F153" s="1157">
        <f>'4B Biological treatment '!W206</f>
        <v>2.350045178632989</v>
      </c>
      <c r="G153" s="952">
        <f>'4C2 Open-burning '!R145</f>
        <v>9.9556320418415236</v>
      </c>
      <c r="H153" s="952">
        <f>'4C2 Open-burning '!Z145</f>
        <v>3.3497653866954162</v>
      </c>
      <c r="I153" s="952">
        <f>'4C2 Open-burning '!AH145</f>
        <v>4.6634387958009456E-2</v>
      </c>
      <c r="J153" s="987">
        <f>'4D Wastewater treatment and dis'!AV182</f>
        <v>241.46285233748353</v>
      </c>
      <c r="K153" s="770">
        <f>'4D Wastewater treatment and dis'!AW182</f>
        <v>3.8058735146550235</v>
      </c>
      <c r="L153" s="771">
        <f t="shared" si="121"/>
        <v>7808.6134387678994</v>
      </c>
      <c r="M153" s="772">
        <f t="shared" si="122"/>
        <v>18.278129167145469</v>
      </c>
      <c r="N153" s="771">
        <f t="shared" si="123"/>
        <v>1551.0298178977725</v>
      </c>
      <c r="O153" s="773">
        <f t="shared" si="124"/>
        <v>94.757365429428205</v>
      </c>
      <c r="P153" s="771">
        <f t="shared" si="125"/>
        <v>6250.5406886302117</v>
      </c>
      <c r="Q153" s="519">
        <f t="shared" si="126"/>
        <v>7808.6134387678994</v>
      </c>
      <c r="R153" s="521">
        <f t="shared" si="127"/>
        <v>1569.3079470649179</v>
      </c>
      <c r="S153" s="518">
        <f t="shared" si="128"/>
        <v>94.757365429428205</v>
      </c>
      <c r="T153" s="519">
        <f t="shared" si="129"/>
        <v>6250.5406886302117</v>
      </c>
      <c r="U153" s="519">
        <f t="shared" si="130"/>
        <v>15723.219439892457</v>
      </c>
    </row>
    <row r="154" spans="1:21">
      <c r="A154" s="4">
        <f>'Input data'!A141</f>
        <v>2041</v>
      </c>
      <c r="B154" s="4"/>
      <c r="C154" s="769">
        <f>'4A SWD Case 2'!BN111</f>
        <v>360.57756827588707</v>
      </c>
      <c r="D154" s="3">
        <f>'4B Biological treatment '!T207</f>
        <v>0.8788153999671966</v>
      </c>
      <c r="E154" s="1157">
        <f>'4B Biological treatment '!U207</f>
        <v>39.546692998523845</v>
      </c>
      <c r="F154" s="1157">
        <f>'4B Biological treatment '!W207</f>
        <v>2.3728015799114308</v>
      </c>
      <c r="G154" s="952">
        <f>'4C2 Open-burning '!R146</f>
        <v>9.9312949766275427</v>
      </c>
      <c r="H154" s="952">
        <f>'4C2 Open-burning '!Z146</f>
        <v>3.3415767093392308</v>
      </c>
      <c r="I154" s="952">
        <f>'4C2 Open-burning '!AH146</f>
        <v>4.6520387748261026E-2</v>
      </c>
      <c r="J154" s="987">
        <f>'4D Wastewater treatment and dis'!AV183</f>
        <v>243.44797282954215</v>
      </c>
      <c r="K154" s="770">
        <f>'4D Wastewater treatment and dis'!AW183</f>
        <v>3.8371624579893204</v>
      </c>
      <c r="L154" s="771">
        <f t="shared" si="121"/>
        <v>7572.1289337936287</v>
      </c>
      <c r="M154" s="772">
        <f t="shared" si="122"/>
        <v>18.455123399311127</v>
      </c>
      <c r="N154" s="771">
        <f t="shared" si="123"/>
        <v>1566.0490427415443</v>
      </c>
      <c r="O154" s="773">
        <f t="shared" si="124"/>
        <v>94.52572607471231</v>
      </c>
      <c r="P154" s="771">
        <f t="shared" si="125"/>
        <v>6301.9277913970745</v>
      </c>
      <c r="Q154" s="519">
        <f t="shared" si="126"/>
        <v>7572.1289337936287</v>
      </c>
      <c r="R154" s="521">
        <f t="shared" si="127"/>
        <v>1584.5041661408554</v>
      </c>
      <c r="S154" s="518">
        <f t="shared" si="128"/>
        <v>94.52572607471231</v>
      </c>
      <c r="T154" s="519">
        <f t="shared" si="129"/>
        <v>6301.9277913970745</v>
      </c>
      <c r="U154" s="519">
        <f t="shared" si="130"/>
        <v>15553.086617406272</v>
      </c>
    </row>
    <row r="155" spans="1:21">
      <c r="A155" s="4">
        <f>'Input data'!A142</f>
        <v>2042</v>
      </c>
      <c r="B155" s="4"/>
      <c r="C155" s="769">
        <f>'4A SWD Case 2'!BN112</f>
        <v>350.12586035814115</v>
      </c>
      <c r="D155" s="3">
        <f>'4B Biological treatment '!T208</f>
        <v>0.88737635390051506</v>
      </c>
      <c r="E155" s="1157">
        <f>'4B Biological treatment '!U208</f>
        <v>39.93193592552317</v>
      </c>
      <c r="F155" s="1157">
        <f>'4B Biological treatment '!W208</f>
        <v>2.3959161555313901</v>
      </c>
      <c r="G155" s="952">
        <f>'4C2 Open-burning '!R147</f>
        <v>9.9079752127942537</v>
      </c>
      <c r="H155" s="952">
        <f>'4C2 Open-burning '!Z147</f>
        <v>3.3337303227525874</v>
      </c>
      <c r="I155" s="952">
        <f>'4C2 Open-burning '!AH147</f>
        <v>4.6411152803747191E-2</v>
      </c>
      <c r="J155" s="987">
        <f>'4D Wastewater treatment and dis'!AV184</f>
        <v>245.39035148076366</v>
      </c>
      <c r="K155" s="770">
        <f>'4D Wastewater treatment and dis'!AW184</f>
        <v>3.8677777157507212</v>
      </c>
      <c r="L155" s="771">
        <f t="shared" si="121"/>
        <v>7352.643067520964</v>
      </c>
      <c r="M155" s="772">
        <f t="shared" si="122"/>
        <v>18.634903431910818</v>
      </c>
      <c r="N155" s="771">
        <f t="shared" si="123"/>
        <v>1581.3046626507175</v>
      </c>
      <c r="O155" s="773">
        <f t="shared" si="124"/>
        <v>94.30376935976021</v>
      </c>
      <c r="P155" s="771">
        <f t="shared" si="125"/>
        <v>6352.2084729787603</v>
      </c>
      <c r="Q155" s="519">
        <f t="shared" si="126"/>
        <v>7352.643067520964</v>
      </c>
      <c r="R155" s="521">
        <f t="shared" si="127"/>
        <v>1599.9395660826283</v>
      </c>
      <c r="S155" s="518">
        <f t="shared" si="128"/>
        <v>94.30376935976021</v>
      </c>
      <c r="T155" s="519">
        <f t="shared" si="129"/>
        <v>6352.2084729787603</v>
      </c>
      <c r="U155" s="519">
        <f t="shared" si="130"/>
        <v>15399.094875942112</v>
      </c>
    </row>
    <row r="156" spans="1:21">
      <c r="A156" s="4">
        <f>'Input data'!A143</f>
        <v>2043</v>
      </c>
      <c r="B156" s="4"/>
      <c r="C156" s="769">
        <f>'4A SWD Case 2'!BN113</f>
        <v>340.44657518443745</v>
      </c>
      <c r="D156" s="3">
        <f>'4B Biological treatment '!T209</f>
        <v>0.89615825812586825</v>
      </c>
      <c r="E156" s="1157">
        <f>'4B Biological treatment '!U209</f>
        <v>40.327121615664069</v>
      </c>
      <c r="F156" s="1157">
        <f>'4B Biological treatment '!W209</f>
        <v>2.4196272969398445</v>
      </c>
      <c r="G156" s="952">
        <f>'4C2 Open-burning '!R148</f>
        <v>9.8856412498174997</v>
      </c>
      <c r="H156" s="952">
        <f>'4C2 Open-burning '!Z148</f>
        <v>3.3262156279735073</v>
      </c>
      <c r="I156" s="952">
        <f>'4C2 Open-burning '!AH148</f>
        <v>4.6306535569028147E-2</v>
      </c>
      <c r="J156" s="987">
        <f>'4D Wastewater treatment and dis'!AV185</f>
        <v>247.28869443502521</v>
      </c>
      <c r="K156" s="770">
        <f>'4D Wastewater treatment and dis'!AW185</f>
        <v>3.8976988945217657</v>
      </c>
      <c r="L156" s="771">
        <f t="shared" si="121"/>
        <v>7149.3780788731865</v>
      </c>
      <c r="M156" s="772">
        <f t="shared" si="122"/>
        <v>18.819323420643233</v>
      </c>
      <c r="N156" s="771">
        <f t="shared" si="123"/>
        <v>1596.9540159802973</v>
      </c>
      <c r="O156" s="773">
        <f t="shared" si="124"/>
        <v>94.091195463659886</v>
      </c>
      <c r="P156" s="771">
        <f t="shared" si="125"/>
        <v>6401.3492404372764</v>
      </c>
      <c r="Q156" s="519">
        <f t="shared" si="126"/>
        <v>7149.3780788731865</v>
      </c>
      <c r="R156" s="521">
        <f t="shared" si="127"/>
        <v>1615.7733394009406</v>
      </c>
      <c r="S156" s="518">
        <f t="shared" si="128"/>
        <v>94.091195463659886</v>
      </c>
      <c r="T156" s="519">
        <f t="shared" si="129"/>
        <v>6401.3492404372764</v>
      </c>
      <c r="U156" s="519">
        <f t="shared" si="130"/>
        <v>15260.591854175062</v>
      </c>
    </row>
    <row r="157" spans="1:21">
      <c r="A157" s="4">
        <f>'Input data'!A144</f>
        <v>2044</v>
      </c>
      <c r="B157" s="4"/>
      <c r="C157" s="769">
        <f>'4A SWD Case 2'!BN114</f>
        <v>331.50451365716185</v>
      </c>
      <c r="D157" s="3">
        <f>'4B Biological treatment '!T210</f>
        <v>0.90528115650270891</v>
      </c>
      <c r="E157" s="1157">
        <f>'4B Biological treatment '!U210</f>
        <v>40.737652042621896</v>
      </c>
      <c r="F157" s="1157">
        <f>'4B Biological treatment '!W210</f>
        <v>2.4442591225573138</v>
      </c>
      <c r="G157" s="952">
        <f>'4C2 Open-burning '!R149</f>
        <v>9.8642633296948237</v>
      </c>
      <c r="H157" s="952">
        <f>'4C2 Open-burning '!Z149</f>
        <v>3.3190226123452167</v>
      </c>
      <c r="I157" s="952">
        <f>'4C2 Open-burning '!AH149</f>
        <v>4.6206396651022108E-2</v>
      </c>
      <c r="J157" s="987">
        <f>'4D Wastewater treatment and dis'!AV186</f>
        <v>249.1417292491079</v>
      </c>
      <c r="K157" s="770">
        <f>'4D Wastewater treatment and dis'!AW186</f>
        <v>3.9269059383895084</v>
      </c>
      <c r="L157" s="771">
        <f t="shared" si="121"/>
        <v>6961.5947868003987</v>
      </c>
      <c r="M157" s="772">
        <f t="shared" si="122"/>
        <v>19.010904286556887</v>
      </c>
      <c r="N157" s="771">
        <f t="shared" si="123"/>
        <v>1613.2110208878271</v>
      </c>
      <c r="O157" s="773">
        <f t="shared" si="124"/>
        <v>93.887721150761223</v>
      </c>
      <c r="P157" s="771">
        <f t="shared" si="125"/>
        <v>6449.3171551320138</v>
      </c>
      <c r="Q157" s="519">
        <f t="shared" si="126"/>
        <v>6961.5947868003987</v>
      </c>
      <c r="R157" s="521">
        <f t="shared" si="127"/>
        <v>1632.2219251743841</v>
      </c>
      <c r="S157" s="518">
        <f t="shared" si="128"/>
        <v>93.887721150761223</v>
      </c>
      <c r="T157" s="519">
        <f t="shared" si="129"/>
        <v>6449.3171551320138</v>
      </c>
      <c r="U157" s="519">
        <f t="shared" si="130"/>
        <v>15137.021588257558</v>
      </c>
    </row>
    <row r="158" spans="1:21">
      <c r="A158" s="4">
        <f>'Input data'!A145</f>
        <v>2045</v>
      </c>
      <c r="B158" s="4"/>
      <c r="C158" s="769">
        <f>'4A SWD Case 2'!BN115</f>
        <v>323.26632830473892</v>
      </c>
      <c r="D158" s="3">
        <f>'4B Biological treatment '!T211</f>
        <v>0.91478941306605144</v>
      </c>
      <c r="E158" s="1157">
        <f>'4B Biological treatment '!U211</f>
        <v>41.165523587972309</v>
      </c>
      <c r="F158" s="1157">
        <f>'4B Biological treatment '!W211</f>
        <v>2.4699314152783387</v>
      </c>
      <c r="G158" s="952">
        <f>'4C2 Open-burning '!R150</f>
        <v>9.8438133438837134</v>
      </c>
      <c r="H158" s="952">
        <f>'4C2 Open-burning '!Z150</f>
        <v>3.3121418182037132</v>
      </c>
      <c r="I158" s="952">
        <f>'4C2 Open-burning '!AH150</f>
        <v>4.6110604383083426E-2</v>
      </c>
      <c r="J158" s="987">
        <f>'4D Wastewater treatment and dis'!AV187</f>
        <v>250.94820630354667</v>
      </c>
      <c r="K158" s="770">
        <f>'4D Wastewater treatment and dis'!AW187</f>
        <v>3.9553791511829659</v>
      </c>
      <c r="L158" s="771">
        <f t="shared" si="121"/>
        <v>6788.5928943995177</v>
      </c>
      <c r="M158" s="772">
        <f t="shared" si="122"/>
        <v>19.210577674387082</v>
      </c>
      <c r="N158" s="771">
        <f t="shared" si="123"/>
        <v>1630.1547340837035</v>
      </c>
      <c r="O158" s="773">
        <f t="shared" si="124"/>
        <v>93.693078884917554</v>
      </c>
      <c r="P158" s="771">
        <f t="shared" si="125"/>
        <v>6496.079869241199</v>
      </c>
      <c r="Q158" s="519">
        <f t="shared" si="126"/>
        <v>6788.5928943995177</v>
      </c>
      <c r="R158" s="521">
        <f t="shared" si="127"/>
        <v>1649.3653117580907</v>
      </c>
      <c r="S158" s="518">
        <f t="shared" si="128"/>
        <v>93.693078884917554</v>
      </c>
      <c r="T158" s="519">
        <f t="shared" si="129"/>
        <v>6496.079869241199</v>
      </c>
      <c r="U158" s="519">
        <f t="shared" si="130"/>
        <v>15027.731154283723</v>
      </c>
    </row>
    <row r="159" spans="1:21">
      <c r="A159" s="4">
        <f>'Input data'!A146</f>
        <v>2046</v>
      </c>
      <c r="B159" s="4"/>
      <c r="C159" s="769">
        <f>'4A SWD Case 2'!BN116</f>
        <v>315.70027614803365</v>
      </c>
      <c r="D159" s="3">
        <f>'4B Biological treatment '!T212</f>
        <v>0.92495704097334119</v>
      </c>
      <c r="E159" s="1157">
        <f>'4B Biological treatment '!U212</f>
        <v>41.623066843800345</v>
      </c>
      <c r="F159" s="1157">
        <f>'4B Biological treatment '!W212</f>
        <v>2.497384010628021</v>
      </c>
      <c r="G159" s="952">
        <f>'4C2 Open-burning '!R151</f>
        <v>9.8242078659671712</v>
      </c>
      <c r="H159" s="952">
        <f>'4C2 Open-burning '!Z151</f>
        <v>3.3055451751138079</v>
      </c>
      <c r="I159" s="952">
        <f>'4C2 Open-burning '!AH151</f>
        <v>4.6018767977376619E-2</v>
      </c>
      <c r="J159" s="987">
        <f>'4D Wastewater treatment and dis'!AV188</f>
        <v>252.71206376421807</v>
      </c>
      <c r="K159" s="770">
        <f>'4D Wastewater treatment and dis'!AW188</f>
        <v>3.9831806052294589</v>
      </c>
      <c r="L159" s="771">
        <f t="shared" si="121"/>
        <v>6629.7057991087067</v>
      </c>
      <c r="M159" s="772">
        <f t="shared" si="122"/>
        <v>19.424097860440163</v>
      </c>
      <c r="N159" s="771">
        <f t="shared" si="123"/>
        <v>1648.2734470144937</v>
      </c>
      <c r="O159" s="773">
        <f t="shared" si="124"/>
        <v>93.50647461634388</v>
      </c>
      <c r="P159" s="771">
        <f t="shared" si="125"/>
        <v>6541.7393266697118</v>
      </c>
      <c r="Q159" s="519">
        <f t="shared" si="126"/>
        <v>6629.7057991087067</v>
      </c>
      <c r="R159" s="521">
        <f t="shared" si="127"/>
        <v>1667.697544874934</v>
      </c>
      <c r="S159" s="518">
        <f t="shared" si="128"/>
        <v>93.50647461634388</v>
      </c>
      <c r="T159" s="519">
        <f t="shared" si="129"/>
        <v>6541.7393266697118</v>
      </c>
      <c r="U159" s="519">
        <f t="shared" si="130"/>
        <v>14932.649145269697</v>
      </c>
    </row>
    <row r="160" spans="1:21">
      <c r="A160" s="4">
        <f>'Input data'!A147</f>
        <v>2047</v>
      </c>
      <c r="B160" s="4"/>
      <c r="C160" s="769">
        <f>'4A SWD Case 2'!BN117</f>
        <v>308.5671129161604</v>
      </c>
      <c r="D160" s="3">
        <f>'4B Biological treatment '!T213</f>
        <v>0.93127065207409054</v>
      </c>
      <c r="E160" s="1157">
        <f>'4B Biological treatment '!U213</f>
        <v>41.907179343334064</v>
      </c>
      <c r="F160" s="1157">
        <f>'4B Biological treatment '!W213</f>
        <v>2.5144307606000442</v>
      </c>
      <c r="G160" s="952">
        <f>'4C2 Open-burning '!R152</f>
        <v>9.8054236034744502</v>
      </c>
      <c r="H160" s="952">
        <f>'4C2 Open-burning '!Z152</f>
        <v>3.2992248458722018</v>
      </c>
      <c r="I160" s="952">
        <f>'4C2 Open-burning '!AH152</f>
        <v>4.5930778326804055E-2</v>
      </c>
      <c r="J160" s="987">
        <f>'4D Wastewater treatment and dis'!AV189</f>
        <v>254.43220934683089</v>
      </c>
      <c r="K160" s="770">
        <f>'4D Wastewater treatment and dis'!AW189</f>
        <v>4.0102930842333384</v>
      </c>
      <c r="L160" s="771">
        <f t="shared" si="121"/>
        <v>6479.9093712393687</v>
      </c>
      <c r="M160" s="772">
        <f t="shared" si="122"/>
        <v>19.5566836935559</v>
      </c>
      <c r="N160" s="771">
        <f t="shared" si="123"/>
        <v>1659.524301996029</v>
      </c>
      <c r="O160" s="773">
        <f t="shared" si="124"/>
        <v>93.327686648099942</v>
      </c>
      <c r="P160" s="771">
        <f t="shared" si="125"/>
        <v>6586.2672523957835</v>
      </c>
      <c r="Q160" s="519">
        <f t="shared" si="126"/>
        <v>6479.9093712393687</v>
      </c>
      <c r="R160" s="521">
        <f t="shared" si="127"/>
        <v>1679.0809856895848</v>
      </c>
      <c r="S160" s="518">
        <f t="shared" si="128"/>
        <v>93.327686648099942</v>
      </c>
      <c r="T160" s="519">
        <f t="shared" si="129"/>
        <v>6586.2672523957835</v>
      </c>
      <c r="U160" s="519">
        <f t="shared" si="130"/>
        <v>14838.585295972836</v>
      </c>
    </row>
    <row r="161" spans="1:21">
      <c r="A161" s="4">
        <f>'Input data'!A148</f>
        <v>2048</v>
      </c>
      <c r="B161" s="4"/>
      <c r="C161" s="769">
        <f>'4A SWD Case 2'!BN118</f>
        <v>301.83612850919144</v>
      </c>
      <c r="D161" s="3">
        <f>'4B Biological treatment '!T214</f>
        <v>0.93715236624572396</v>
      </c>
      <c r="E161" s="1157">
        <f>'4B Biological treatment '!U214</f>
        <v>42.171856481057574</v>
      </c>
      <c r="F161" s="1157">
        <f>'4B Biological treatment '!W214</f>
        <v>2.5303113888634545</v>
      </c>
      <c r="G161" s="952">
        <f>'4C2 Open-burning '!R153</f>
        <v>9.78743850485853</v>
      </c>
      <c r="H161" s="952">
        <f>'4C2 Open-burning '!Z153</f>
        <v>3.2931734108084401</v>
      </c>
      <c r="I161" s="952">
        <f>'4C2 Open-burning '!AH153</f>
        <v>4.584653213702998E-2</v>
      </c>
      <c r="J161" s="987">
        <f>'4D Wastewater treatment and dis'!AV190</f>
        <v>256.10757196318667</v>
      </c>
      <c r="K161" s="770">
        <f>'4D Wastewater treatment and dis'!AW190</f>
        <v>4.0366997059861536</v>
      </c>
      <c r="L161" s="771">
        <f t="shared" si="121"/>
        <v>6338.5586986930202</v>
      </c>
      <c r="M161" s="772">
        <f t="shared" si="122"/>
        <v>19.680199691160205</v>
      </c>
      <c r="N161" s="771">
        <f t="shared" si="123"/>
        <v>1670.0055166498801</v>
      </c>
      <c r="O161" s="773">
        <f t="shared" si="124"/>
        <v>93.156505094315065</v>
      </c>
      <c r="P161" s="771">
        <f t="shared" si="125"/>
        <v>6629.6359200826273</v>
      </c>
      <c r="Q161" s="519">
        <f t="shared" si="126"/>
        <v>6338.5586986930202</v>
      </c>
      <c r="R161" s="521">
        <f t="shared" si="127"/>
        <v>1689.6857163410402</v>
      </c>
      <c r="S161" s="518">
        <f t="shared" si="128"/>
        <v>93.156505094315065</v>
      </c>
      <c r="T161" s="519">
        <f t="shared" si="129"/>
        <v>6629.6359200826273</v>
      </c>
      <c r="U161" s="519">
        <f t="shared" si="130"/>
        <v>14751.036840211003</v>
      </c>
    </row>
    <row r="162" spans="1:21">
      <c r="A162" s="4">
        <f>'Input data'!A149</f>
        <v>2049</v>
      </c>
      <c r="B162" s="4"/>
      <c r="C162" s="769">
        <f>'4A SWD Case 2'!BN119</f>
        <v>295.48622948293848</v>
      </c>
      <c r="D162" s="3">
        <f>'4B Biological treatment '!T215</f>
        <v>0.9430127682828896</v>
      </c>
      <c r="E162" s="1157">
        <f>'4B Biological treatment '!U215</f>
        <v>42.435574572730026</v>
      </c>
      <c r="F162" s="1157">
        <f>'4B Biological treatment '!W215</f>
        <v>2.5461344743638019</v>
      </c>
      <c r="G162" s="952">
        <f>'4C2 Open-burning '!R154</f>
        <v>9.770231699628761</v>
      </c>
      <c r="H162" s="952">
        <f>'4C2 Open-burning '!Z154</f>
        <v>3.2873838476413759</v>
      </c>
      <c r="I162" s="952">
        <f>'4C2 Open-burning '!AH154</f>
        <v>4.5765931646048544E-2</v>
      </c>
      <c r="J162" s="987">
        <f>'4D Wastewater treatment and dis'!AV191</f>
        <v>257.73710282612279</v>
      </c>
      <c r="K162" s="770">
        <f>'4D Wastewater treatment and dis'!AW191</f>
        <v>4.0623839397824701</v>
      </c>
      <c r="L162" s="771">
        <f t="shared" si="121"/>
        <v>6205.2108191417083</v>
      </c>
      <c r="M162" s="772">
        <f t="shared" si="122"/>
        <v>19.80326813394068</v>
      </c>
      <c r="N162" s="771">
        <f t="shared" si="123"/>
        <v>1680.4487530801091</v>
      </c>
      <c r="O162" s="773">
        <f t="shared" si="124"/>
        <v>92.992731310372719</v>
      </c>
      <c r="P162" s="771">
        <f t="shared" si="125"/>
        <v>6671.8181806811444</v>
      </c>
      <c r="Q162" s="519">
        <f t="shared" si="126"/>
        <v>6205.2108191417083</v>
      </c>
      <c r="R162" s="521">
        <f t="shared" si="127"/>
        <v>1700.2520212140498</v>
      </c>
      <c r="S162" s="518">
        <f t="shared" si="128"/>
        <v>92.992731310372719</v>
      </c>
      <c r="T162" s="519">
        <f t="shared" si="129"/>
        <v>6671.8181806811444</v>
      </c>
      <c r="U162" s="519">
        <f t="shared" si="130"/>
        <v>14670.273752347275</v>
      </c>
    </row>
    <row r="163" spans="1:21">
      <c r="A163" s="4">
        <f>'Input data'!A150</f>
        <v>2050</v>
      </c>
      <c r="B163" s="4"/>
      <c r="C163" s="769">
        <f>'4A SWD Case 2'!BN120</f>
        <v>289.49828831551037</v>
      </c>
      <c r="D163" s="3">
        <f>'4B Biological treatment '!T216</f>
        <v>0.94874268786412896</v>
      </c>
      <c r="E163" s="1157">
        <f>'4B Biological treatment '!U216</f>
        <v>42.693420953885806</v>
      </c>
      <c r="F163" s="1157">
        <f>'4B Biological treatment '!W216</f>
        <v>2.5616052572331478</v>
      </c>
      <c r="G163" s="952">
        <f>'4C2 Open-burning '!R155</f>
        <v>9.7537834425971859</v>
      </c>
      <c r="H163" s="952">
        <f>'4C2 Open-burning '!Z155</f>
        <v>3.2818495127197678</v>
      </c>
      <c r="I163" s="952">
        <f>'4C2 Open-burning '!AH155</f>
        <v>4.568888436302123E-2</v>
      </c>
      <c r="J163" s="987">
        <f>'4D Wastewater treatment and dis'!AV192</f>
        <v>259.3197765377094</v>
      </c>
      <c r="K163" s="770">
        <f>'4D Wastewater treatment and dis'!AW192</f>
        <v>4.0873296235717493</v>
      </c>
      <c r="L163" s="771">
        <f t="shared" si="121"/>
        <v>6079.4640546257178</v>
      </c>
      <c r="M163" s="772">
        <f t="shared" si="122"/>
        <v>19.923596445146707</v>
      </c>
      <c r="N163" s="771">
        <f t="shared" si="123"/>
        <v>1690.6594697738778</v>
      </c>
      <c r="O163" s="773">
        <f t="shared" si="124"/>
        <v>92.836177362248876</v>
      </c>
      <c r="P163" s="771">
        <f t="shared" si="125"/>
        <v>6712.7874905991393</v>
      </c>
      <c r="Q163" s="471">
        <f t="shared" si="126"/>
        <v>6079.4640546257178</v>
      </c>
      <c r="R163" s="517">
        <f t="shared" si="127"/>
        <v>1710.5830662190247</v>
      </c>
      <c r="S163" s="514">
        <f t="shared" si="128"/>
        <v>92.836177362248876</v>
      </c>
      <c r="T163" s="471">
        <f t="shared" si="129"/>
        <v>6712.7874905991393</v>
      </c>
      <c r="U163" s="471">
        <f t="shared" si="130"/>
        <v>14595.670788806132</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820.5169947820342</v>
      </c>
      <c r="D165" s="3">
        <f>'4B Biological treatment '!T218</f>
        <v>0.67299813826043153</v>
      </c>
      <c r="E165" s="178">
        <f>'4B Biological treatment '!U218</f>
        <v>18.624978520236688</v>
      </c>
      <c r="F165" s="178">
        <f>'4B Biological treatment '!W218</f>
        <v>1.1174987112142012</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17230.856890422718</v>
      </c>
      <c r="M165" s="772">
        <f t="shared" ref="M165:M197" si="131">D165*$B$3</f>
        <v>14.132960903469062</v>
      </c>
      <c r="N165" s="771">
        <f t="shared" ref="N165:N197" si="132">E165*$B$3+F165*$C$3</f>
        <v>737.5491494013728</v>
      </c>
      <c r="O165" s="773">
        <f t="shared" ref="O165:O197" si="133">G165+H165*$B$3+I165*$C$3</f>
        <v>313.30333811016669</v>
      </c>
      <c r="P165" s="771">
        <f t="shared" ref="P165:P197" si="134">J165*$B$3+K165*$C$3</f>
        <v>3778.1317878798554</v>
      </c>
      <c r="Q165" s="471">
        <f t="shared" ref="Q165:Q197" si="135">L165</f>
        <v>17230.856890422718</v>
      </c>
      <c r="R165" s="517">
        <f t="shared" ref="R165:R197" si="136">M165+N165</f>
        <v>751.6821103048419</v>
      </c>
      <c r="S165" s="514">
        <f t="shared" ref="S165:S197" si="137">O165</f>
        <v>313.30333811016669</v>
      </c>
      <c r="T165" s="471">
        <f t="shared" ref="T165:T197" si="138">P165</f>
        <v>3778.1317878798554</v>
      </c>
      <c r="U165" s="471">
        <f t="shared" ref="U165:U197" si="139">SUM(Q165:T165)</f>
        <v>22073.974126717581</v>
      </c>
    </row>
    <row r="166" spans="1:21">
      <c r="A166">
        <f>'Input data'!A119</f>
        <v>2019</v>
      </c>
      <c r="C166" s="314">
        <f>'4A SWD Case 3'!BG89</f>
        <v>801.90031185312534</v>
      </c>
      <c r="D166" s="3">
        <f>'4B Biological treatment '!T219</f>
        <v>1.2710114381603663</v>
      </c>
      <c r="E166" s="178">
        <f>'4B Biological treatment '!U219</f>
        <v>19.93864219968502</v>
      </c>
      <c r="F166" s="178">
        <f>'4B Biological treatment '!W219</f>
        <v>1.1963185319811012</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16839.906548915631</v>
      </c>
      <c r="M166" s="772">
        <f t="shared" si="131"/>
        <v>26.691240201367691</v>
      </c>
      <c r="N166" s="771">
        <f t="shared" si="132"/>
        <v>789.57023110752675</v>
      </c>
      <c r="O166" s="773">
        <f t="shared" si="133"/>
        <v>307.81392004196488</v>
      </c>
      <c r="P166" s="771">
        <f t="shared" si="134"/>
        <v>3922.0560748079342</v>
      </c>
      <c r="Q166" s="519">
        <f t="shared" si="135"/>
        <v>16839.906548915631</v>
      </c>
      <c r="R166" s="521">
        <f t="shared" si="136"/>
        <v>816.26147130889444</v>
      </c>
      <c r="S166" s="518">
        <f t="shared" si="137"/>
        <v>307.81392004196488</v>
      </c>
      <c r="T166" s="519">
        <f t="shared" si="138"/>
        <v>3922.0560748079342</v>
      </c>
      <c r="U166" s="519">
        <f t="shared" si="139"/>
        <v>21886.038015074424</v>
      </c>
    </row>
    <row r="167" spans="1:21">
      <c r="A167">
        <f>'Input data'!A120</f>
        <v>2020</v>
      </c>
      <c r="C167" s="314">
        <f>'4A SWD Case 3'!BG90</f>
        <v>782.05038813495901</v>
      </c>
      <c r="D167" s="3">
        <f>'4B Biological treatment '!T220</f>
        <v>1.8786794169768795</v>
      </c>
      <c r="E167" s="178">
        <f>'4B Biological treatment '!U220</f>
        <v>19.320728266759911</v>
      </c>
      <c r="F167" s="178">
        <f>'4B Biological treatment '!W220</f>
        <v>1.1592436960055945</v>
      </c>
      <c r="G167" s="952">
        <f>'4C2 Open-burning '!R159</f>
        <v>31.474098064411589</v>
      </c>
      <c r="H167" s="952">
        <f>'4C2 Open-burning '!Z159</f>
        <v>10.590070407435556</v>
      </c>
      <c r="I167" s="952">
        <f>'4C2 Open-burning '!AH159</f>
        <v>0.14743165412255493</v>
      </c>
      <c r="J167" s="987">
        <f>'4D Wastewater treatment and dis'!AV196</f>
        <v>149.45911234524058</v>
      </c>
      <c r="K167" s="770">
        <f>'4D Wastewater treatment and dis'!AW196</f>
        <v>2.9866449441145018</v>
      </c>
      <c r="L167" s="771">
        <f t="shared" si="140"/>
        <v>16423.058150834138</v>
      </c>
      <c r="M167" s="772">
        <f t="shared" si="131"/>
        <v>39.452267756514466</v>
      </c>
      <c r="N167" s="771">
        <f t="shared" si="132"/>
        <v>765.10083936369244</v>
      </c>
      <c r="O167" s="773">
        <f t="shared" si="133"/>
        <v>299.5693893985503</v>
      </c>
      <c r="P167" s="771">
        <f t="shared" si="134"/>
        <v>4064.5012919255478</v>
      </c>
      <c r="Q167" s="519">
        <f t="shared" si="135"/>
        <v>16423.058150834138</v>
      </c>
      <c r="R167" s="521">
        <f t="shared" si="136"/>
        <v>804.55310712020696</v>
      </c>
      <c r="S167" s="518">
        <f t="shared" si="137"/>
        <v>299.5693893985503</v>
      </c>
      <c r="T167" s="519">
        <f t="shared" si="138"/>
        <v>4064.5012919255478</v>
      </c>
      <c r="U167" s="519">
        <f t="shared" si="139"/>
        <v>21591.681939278445</v>
      </c>
    </row>
    <row r="168" spans="1:21">
      <c r="A168">
        <f>'Input data'!A121</f>
        <v>2021</v>
      </c>
      <c r="C168" s="314">
        <f>'4A SWD Case 3'!BG91</f>
        <v>760.92527414565541</v>
      </c>
      <c r="D168" s="3">
        <f>'4B Biological treatment '!T221</f>
        <v>2.899556390409697</v>
      </c>
      <c r="E168" s="178">
        <f>'4B Biological treatment '!U221</f>
        <v>20.576076350119727</v>
      </c>
      <c r="F168" s="178">
        <f>'4B Biological treatment '!W221</f>
        <v>1.2345645810071837</v>
      </c>
      <c r="G168" s="952">
        <f>'4C2 Open-burning '!R160</f>
        <v>28.90780951051277</v>
      </c>
      <c r="H168" s="952">
        <f>'4C2 Open-burning '!Z160</f>
        <v>9.7265928769288372</v>
      </c>
      <c r="I168" s="952">
        <f>'4C2 Open-burning '!AH160</f>
        <v>0.13541058950990786</v>
      </c>
      <c r="J168" s="987">
        <f>'4D Wastewater treatment and dis'!AV197</f>
        <v>155.88802560710414</v>
      </c>
      <c r="K168" s="770">
        <f>'4D Wastewater treatment and dis'!AW197</f>
        <v>3.0338615645529843</v>
      </c>
      <c r="L168" s="771">
        <f t="shared" si="140"/>
        <v>15979.430757058764</v>
      </c>
      <c r="M168" s="772">
        <f t="shared" si="131"/>
        <v>60.890684198603637</v>
      </c>
      <c r="N168" s="771">
        <f t="shared" si="132"/>
        <v>814.81262346474125</v>
      </c>
      <c r="O168" s="773">
        <f t="shared" si="133"/>
        <v>275.14354267408982</v>
      </c>
      <c r="P168" s="771">
        <f t="shared" si="134"/>
        <v>4214.1456227606122</v>
      </c>
      <c r="Q168" s="519">
        <f t="shared" si="135"/>
        <v>15979.430757058764</v>
      </c>
      <c r="R168" s="521">
        <f t="shared" si="136"/>
        <v>875.70330766334484</v>
      </c>
      <c r="S168" s="518">
        <f t="shared" si="137"/>
        <v>275.14354267408982</v>
      </c>
      <c r="T168" s="519">
        <f t="shared" si="138"/>
        <v>4214.1456227606122</v>
      </c>
      <c r="U168" s="519">
        <f t="shared" si="139"/>
        <v>21344.423230156812</v>
      </c>
    </row>
    <row r="169" spans="1:21">
      <c r="A169">
        <f>'Input data'!A122</f>
        <v>2022</v>
      </c>
      <c r="C169" s="314">
        <f>'4A SWD Case 3'!BG92</f>
        <v>735.07585700629136</v>
      </c>
      <c r="D169" s="3">
        <f>'4B Biological treatment '!T222</f>
        <v>3.8345530058712241</v>
      </c>
      <c r="E169" s="178">
        <f>'4B Biological treatment '!U222</f>
        <v>19.172765029356118</v>
      </c>
      <c r="F169" s="178">
        <f>'4B Biological treatment '!W222</f>
        <v>1.150365901761367</v>
      </c>
      <c r="G169" s="952">
        <f>'4C2 Open-burning '!R161</f>
        <v>24.012757033164188</v>
      </c>
      <c r="H169" s="952">
        <f>'4C2 Open-burning '!Z161</f>
        <v>8.0795575821564434</v>
      </c>
      <c r="I169" s="952">
        <f>'4C2 Open-burning '!AH161</f>
        <v>0.11248107832025324</v>
      </c>
      <c r="J169" s="987">
        <f>'4D Wastewater treatment and dis'!AV198</f>
        <v>162.53677945517521</v>
      </c>
      <c r="K169" s="770">
        <f>'4D Wastewater treatment and dis'!AW198</f>
        <v>3.0828473994736778</v>
      </c>
      <c r="L169" s="771">
        <f t="shared" si="140"/>
        <v>15436.592997132118</v>
      </c>
      <c r="M169" s="772">
        <f t="shared" si="131"/>
        <v>80.525613123295699</v>
      </c>
      <c r="N169" s="771">
        <f t="shared" si="132"/>
        <v>759.24149516250225</v>
      </c>
      <c r="O169" s="773">
        <f t="shared" si="133"/>
        <v>228.55260053772801</v>
      </c>
      <c r="P169" s="771">
        <f t="shared" si="134"/>
        <v>4368.9550623955192</v>
      </c>
      <c r="Q169" s="519">
        <f t="shared" si="135"/>
        <v>15436.592997132118</v>
      </c>
      <c r="R169" s="521">
        <f t="shared" si="136"/>
        <v>839.76710828579792</v>
      </c>
      <c r="S169" s="518">
        <f t="shared" si="137"/>
        <v>228.55260053772801</v>
      </c>
      <c r="T169" s="519">
        <f t="shared" si="138"/>
        <v>4368.9550623955192</v>
      </c>
      <c r="U169" s="519">
        <f t="shared" si="139"/>
        <v>20873.867768351163</v>
      </c>
    </row>
    <row r="170" spans="1:21">
      <c r="A170">
        <f>'Input data'!A123</f>
        <v>2023</v>
      </c>
      <c r="C170" s="314">
        <f>'4A SWD Case 3'!BG93</f>
        <v>707.50090468047586</v>
      </c>
      <c r="D170" s="3">
        <f>'4B Biological treatment '!T223</f>
        <v>3.8569981629981296</v>
      </c>
      <c r="E170" s="178">
        <f>'4B Biological treatment '!U223</f>
        <v>19.284990814990646</v>
      </c>
      <c r="F170" s="178">
        <f>'4B Biological treatment '!W223</f>
        <v>1.1570994488994386</v>
      </c>
      <c r="G170" s="952">
        <f>'4C2 Open-burning '!R162</f>
        <v>22.736363068150862</v>
      </c>
      <c r="H170" s="952">
        <f>'4C2 Open-burning '!Z162</f>
        <v>7.650090090206259</v>
      </c>
      <c r="I170" s="952">
        <f>'4C2 Open-burning '!AH162</f>
        <v>0.10650216597179291</v>
      </c>
      <c r="J170" s="987">
        <f>'4D Wastewater treatment and dis'!AV199</f>
        <v>169.3519823715817</v>
      </c>
      <c r="K170" s="770">
        <f>'4D Wastewater treatment and dis'!AW199</f>
        <v>3.132483295366991</v>
      </c>
      <c r="L170" s="771">
        <f t="shared" si="140"/>
        <v>14857.518998289994</v>
      </c>
      <c r="M170" s="772">
        <f t="shared" si="131"/>
        <v>80.996961422960723</v>
      </c>
      <c r="N170" s="771">
        <f t="shared" si="132"/>
        <v>763.6856362736296</v>
      </c>
      <c r="O170" s="773">
        <f t="shared" si="133"/>
        <v>216.40392641373811</v>
      </c>
      <c r="P170" s="771">
        <f t="shared" si="134"/>
        <v>4527.4614513669821</v>
      </c>
      <c r="Q170" s="519">
        <f t="shared" si="135"/>
        <v>14857.518998289994</v>
      </c>
      <c r="R170" s="521">
        <f t="shared" si="136"/>
        <v>844.68259769659028</v>
      </c>
      <c r="S170" s="518">
        <f t="shared" si="137"/>
        <v>216.40392641373811</v>
      </c>
      <c r="T170" s="519">
        <f t="shared" si="138"/>
        <v>4527.4614513669821</v>
      </c>
      <c r="U170" s="519">
        <f t="shared" si="139"/>
        <v>20446.066973767302</v>
      </c>
    </row>
    <row r="171" spans="1:21">
      <c r="A171">
        <f>'Input data'!A124</f>
        <v>2024</v>
      </c>
      <c r="C171" s="314">
        <f>'4A SWD Case 3'!BG94</f>
        <v>681.06036249580302</v>
      </c>
      <c r="D171" s="3">
        <f>'4B Biological treatment '!T224</f>
        <v>3.8810852243621072</v>
      </c>
      <c r="E171" s="178">
        <f>'4B Biological treatment '!U224</f>
        <v>19.405426121810535</v>
      </c>
      <c r="F171" s="178">
        <f>'4B Biological treatment '!W224</f>
        <v>1.1643255673086321</v>
      </c>
      <c r="G171" s="952">
        <f>'4C2 Open-burning '!R163</f>
        <v>21.443198533790639</v>
      </c>
      <c r="H171" s="952">
        <f>'4C2 Open-burning '!Z163</f>
        <v>7.2149798151080748</v>
      </c>
      <c r="I171" s="952">
        <f>'4C2 Open-burning '!AH163</f>
        <v>0.10044469655795363</v>
      </c>
      <c r="J171" s="987">
        <f>'4D Wastewater treatment and dis'!AV200</f>
        <v>176.34450925430923</v>
      </c>
      <c r="K171" s="770">
        <f>'4D Wastewater treatment and dis'!AW200</f>
        <v>3.1829183622350183</v>
      </c>
      <c r="L171" s="771">
        <f t="shared" si="140"/>
        <v>14302.267612411863</v>
      </c>
      <c r="M171" s="772">
        <f t="shared" si="131"/>
        <v>81.502789711604251</v>
      </c>
      <c r="N171" s="771">
        <f t="shared" si="132"/>
        <v>768.45487442369722</v>
      </c>
      <c r="O171" s="773">
        <f t="shared" si="133"/>
        <v>204.09563058402586</v>
      </c>
      <c r="P171" s="771">
        <f t="shared" si="134"/>
        <v>4689.9393866333494</v>
      </c>
      <c r="Q171" s="519">
        <f t="shared" si="135"/>
        <v>14302.267612411863</v>
      </c>
      <c r="R171" s="521">
        <f t="shared" si="136"/>
        <v>849.95766413530146</v>
      </c>
      <c r="S171" s="518">
        <f t="shared" si="137"/>
        <v>204.09563058402586</v>
      </c>
      <c r="T171" s="519">
        <f t="shared" si="138"/>
        <v>4689.9393866333494</v>
      </c>
      <c r="U171" s="519">
        <f t="shared" si="139"/>
        <v>20046.260293764539</v>
      </c>
    </row>
    <row r="172" spans="1:21">
      <c r="A172">
        <f>'Input data'!A125</f>
        <v>2025</v>
      </c>
      <c r="C172" s="314">
        <f>'4A SWD Case 3'!BG95</f>
        <v>655.67199577269707</v>
      </c>
      <c r="D172" s="3">
        <f>'4B Biological treatment '!T225</f>
        <v>3.9038826841200143</v>
      </c>
      <c r="E172" s="178">
        <f>'4B Biological treatment '!U225</f>
        <v>19.51941342060007</v>
      </c>
      <c r="F172" s="178">
        <f>'4B Biological treatment '!W225</f>
        <v>1.1711648052360042</v>
      </c>
      <c r="G172" s="952">
        <f>'4C2 Open-burning '!R164</f>
        <v>20.132501109312408</v>
      </c>
      <c r="H172" s="952">
        <f>'4C2 Open-burning '!Z164</f>
        <v>6.7739702592611444</v>
      </c>
      <c r="I172" s="952">
        <f>'4C2 Open-burning '!AH164</f>
        <v>9.4305099199213233E-2</v>
      </c>
      <c r="J172" s="987">
        <f>'4D Wastewater treatment and dis'!AV201</f>
        <v>183.51830345634633</v>
      </c>
      <c r="K172" s="770">
        <f>'4D Wastewater treatment and dis'!AW201</f>
        <v>3.2341654672625948</v>
      </c>
      <c r="L172" s="771">
        <f t="shared" si="140"/>
        <v>13769.111911226639</v>
      </c>
      <c r="M172" s="772">
        <f t="shared" si="131"/>
        <v>81.981536366520302</v>
      </c>
      <c r="N172" s="771">
        <f t="shared" si="132"/>
        <v>772.96877145576286</v>
      </c>
      <c r="O172" s="773">
        <f t="shared" si="133"/>
        <v>191.62045730555255</v>
      </c>
      <c r="P172" s="771">
        <f t="shared" si="134"/>
        <v>4856.4756674346772</v>
      </c>
      <c r="Q172" s="519">
        <f t="shared" si="135"/>
        <v>13769.111911226639</v>
      </c>
      <c r="R172" s="521">
        <f t="shared" si="136"/>
        <v>854.95030782228321</v>
      </c>
      <c r="S172" s="518">
        <f t="shared" si="137"/>
        <v>191.62045730555255</v>
      </c>
      <c r="T172" s="519">
        <f t="shared" si="138"/>
        <v>4856.4756674346772</v>
      </c>
      <c r="U172" s="519">
        <f t="shared" si="139"/>
        <v>19672.158343789153</v>
      </c>
    </row>
    <row r="173" spans="1:21">
      <c r="A173">
        <f>'Input data'!A126</f>
        <v>2026</v>
      </c>
      <c r="C173" s="314">
        <f>'4A SWD Case 3'!BG96</f>
        <v>631.25707083902319</v>
      </c>
      <c r="D173" s="3">
        <f>'4B Biological treatment '!T226</f>
        <v>3.9236964450524088</v>
      </c>
      <c r="E173" s="178">
        <f>'4B Biological treatment '!U226</f>
        <v>19.618482225262042</v>
      </c>
      <c r="F173" s="178">
        <f>'4B Biological treatment '!W226</f>
        <v>1.1771089335157223</v>
      </c>
      <c r="G173" s="952">
        <f>'4C2 Open-burning '!R165</f>
        <v>18.809454737731077</v>
      </c>
      <c r="H173" s="952">
        <f>'4C2 Open-burning '!Z165</f>
        <v>6.3288056607816365</v>
      </c>
      <c r="I173" s="952">
        <f>'4C2 Open-burning '!AH165</f>
        <v>8.810765663409531E-2</v>
      </c>
      <c r="J173" s="987">
        <f>'4D Wastewater treatment and dis'!AV202</f>
        <v>190.70241786128247</v>
      </c>
      <c r="K173" s="770">
        <f>'4D Wastewater treatment and dis'!AW202</f>
        <v>3.2832252909215254</v>
      </c>
      <c r="L173" s="771">
        <f t="shared" si="140"/>
        <v>13256.398487619486</v>
      </c>
      <c r="M173" s="772">
        <f t="shared" si="131"/>
        <v>82.397625346100583</v>
      </c>
      <c r="N173" s="771">
        <f t="shared" si="132"/>
        <v>776.89189612037671</v>
      </c>
      <c r="O173" s="773">
        <f t="shared" si="133"/>
        <v>179.02774717071497</v>
      </c>
      <c r="P173" s="771">
        <f t="shared" si="134"/>
        <v>5022.5506152726048</v>
      </c>
      <c r="Q173" s="519">
        <f t="shared" si="135"/>
        <v>13256.398487619486</v>
      </c>
      <c r="R173" s="521">
        <f t="shared" si="136"/>
        <v>859.28952146647725</v>
      </c>
      <c r="S173" s="518">
        <f t="shared" si="137"/>
        <v>179.02774717071497</v>
      </c>
      <c r="T173" s="519">
        <f t="shared" si="138"/>
        <v>5022.5506152726048</v>
      </c>
      <c r="U173" s="519">
        <f t="shared" si="139"/>
        <v>19317.266371529284</v>
      </c>
    </row>
    <row r="174" spans="1:21">
      <c r="A174">
        <f>'Input data'!A127</f>
        <v>2027</v>
      </c>
      <c r="C174" s="314">
        <f>'4A SWD Case 3'!BG97</f>
        <v>607.73811163644848</v>
      </c>
      <c r="D174" s="3">
        <f>'4B Biological treatment '!T227</f>
        <v>3.9433688499908826</v>
      </c>
      <c r="E174" s="178">
        <f>'4B Biological treatment '!U227</f>
        <v>19.716844249954413</v>
      </c>
      <c r="F174" s="178">
        <f>'4B Biological treatment '!W227</f>
        <v>1.1830106549972648</v>
      </c>
      <c r="G174" s="952">
        <f>'4C2 Open-burning '!R166</f>
        <v>17.471857887699493</v>
      </c>
      <c r="H174" s="952">
        <f>'4C2 Open-burning '!Z166</f>
        <v>5.8787452717719368</v>
      </c>
      <c r="I174" s="952">
        <f>'4C2 Open-burning '!AH166</f>
        <v>8.1842056401621677E-2</v>
      </c>
      <c r="J174" s="987">
        <f>'4D Wastewater treatment and dis'!AV203</f>
        <v>197.8805345060766</v>
      </c>
      <c r="K174" s="770">
        <f>'4D Wastewater treatment and dis'!AW203</f>
        <v>3.3299712250896238</v>
      </c>
      <c r="L174" s="771">
        <f t="shared" si="140"/>
        <v>12762.500344365419</v>
      </c>
      <c r="M174" s="772">
        <f t="shared" si="131"/>
        <v>82.810745849808541</v>
      </c>
      <c r="N174" s="771">
        <f t="shared" si="132"/>
        <v>780.78703229819473</v>
      </c>
      <c r="O174" s="773">
        <f t="shared" si="133"/>
        <v>166.29654607941288</v>
      </c>
      <c r="P174" s="771">
        <f t="shared" si="134"/>
        <v>5187.7823044053921</v>
      </c>
      <c r="Q174" s="519">
        <f t="shared" si="135"/>
        <v>12762.500344365419</v>
      </c>
      <c r="R174" s="521">
        <f t="shared" si="136"/>
        <v>863.59777814800327</v>
      </c>
      <c r="S174" s="518">
        <f t="shared" si="137"/>
        <v>166.29654607941288</v>
      </c>
      <c r="T174" s="519">
        <f t="shared" si="138"/>
        <v>5187.7823044053921</v>
      </c>
      <c r="U174" s="519">
        <f t="shared" si="139"/>
        <v>18980.176972998226</v>
      </c>
    </row>
    <row r="175" spans="1:21">
      <c r="A175">
        <f>'Input data'!A128</f>
        <v>2028</v>
      </c>
      <c r="C175" s="314">
        <f>'4A SWD Case 3'!BG98</f>
        <v>585.08807860036757</v>
      </c>
      <c r="D175" s="3">
        <f>'4B Biological treatment '!T228</f>
        <v>3.9634761964491112</v>
      </c>
      <c r="E175" s="178">
        <f>'4B Biological treatment '!U228</f>
        <v>19.817380982245552</v>
      </c>
      <c r="F175" s="178">
        <f>'4B Biological treatment '!W228</f>
        <v>1.1890428589347333</v>
      </c>
      <c r="G175" s="952">
        <f>'4C2 Open-burning '!R167</f>
        <v>16.117504712260246</v>
      </c>
      <c r="H175" s="952">
        <f>'4C2 Open-burning '!Z167</f>
        <v>5.423046892263705</v>
      </c>
      <c r="I175" s="952">
        <f>'4C2 Open-burning '!AH167</f>
        <v>7.5497965825538763E-2</v>
      </c>
      <c r="J175" s="987">
        <f>'4D Wastewater treatment and dis'!AV204</f>
        <v>205.03592570635027</v>
      </c>
      <c r="K175" s="770">
        <f>'4D Wastewater treatment and dis'!AW204</f>
        <v>3.3742810888374657</v>
      </c>
      <c r="L175" s="771">
        <f t="shared" si="140"/>
        <v>12286.849650607719</v>
      </c>
      <c r="M175" s="772">
        <f t="shared" si="131"/>
        <v>83.233000125431332</v>
      </c>
      <c r="N175" s="771">
        <f t="shared" si="132"/>
        <v>784.76828689692388</v>
      </c>
      <c r="O175" s="773">
        <f t="shared" si="133"/>
        <v>153.40585885571505</v>
      </c>
      <c r="P175" s="771">
        <f t="shared" si="134"/>
        <v>5351.7815773729699</v>
      </c>
      <c r="Q175" s="519">
        <f t="shared" si="135"/>
        <v>12286.849650607719</v>
      </c>
      <c r="R175" s="521">
        <f t="shared" si="136"/>
        <v>868.0012870223552</v>
      </c>
      <c r="S175" s="518">
        <f t="shared" si="137"/>
        <v>153.40585885571505</v>
      </c>
      <c r="T175" s="519">
        <f t="shared" si="138"/>
        <v>5351.7815773729699</v>
      </c>
      <c r="U175" s="519">
        <f t="shared" si="139"/>
        <v>18660.038373858759</v>
      </c>
    </row>
    <row r="176" spans="1:21">
      <c r="A176">
        <f>'Input data'!A129</f>
        <v>2029</v>
      </c>
      <c r="C176" s="314">
        <f>'4A SWD Case 3'!BG99</f>
        <v>563.24297299719035</v>
      </c>
      <c r="D176" s="3">
        <f>'4B Biological treatment '!T229</f>
        <v>3.9901859551772052</v>
      </c>
      <c r="E176" s="178">
        <f>'4B Biological treatment '!U229</f>
        <v>19.950929775886024</v>
      </c>
      <c r="F176" s="178">
        <f>'4B Biological treatment '!W229</f>
        <v>1.1970557865531615</v>
      </c>
      <c r="G176" s="952">
        <f>'4C2 Open-burning '!R168</f>
        <v>14.744168560360768</v>
      </c>
      <c r="H176" s="952">
        <f>'4C2 Open-burning '!Z168</f>
        <v>4.9609613223475026</v>
      </c>
      <c r="I176" s="952">
        <f>'4C2 Open-burning '!AH168</f>
        <v>6.9064954778598378E-2</v>
      </c>
      <c r="J176" s="987">
        <f>'4D Wastewater treatment and dis'!AV205</f>
        <v>212.15151642125332</v>
      </c>
      <c r="K176" s="770">
        <f>'4D Wastewater treatment and dis'!AW205</f>
        <v>3.4160376549203448</v>
      </c>
      <c r="L176" s="771">
        <f t="shared" si="140"/>
        <v>11828.102432940997</v>
      </c>
      <c r="M176" s="772">
        <f t="shared" si="131"/>
        <v>83.793905058721307</v>
      </c>
      <c r="N176" s="771">
        <f t="shared" si="132"/>
        <v>790.05681912508658</v>
      </c>
      <c r="O176" s="773">
        <f t="shared" si="133"/>
        <v>140.33449231102381</v>
      </c>
      <c r="P176" s="771">
        <f t="shared" si="134"/>
        <v>5514.1535178716267</v>
      </c>
      <c r="Q176" s="519">
        <f t="shared" si="135"/>
        <v>11828.102432940997</v>
      </c>
      <c r="R176" s="521">
        <f t="shared" si="136"/>
        <v>873.85072418380787</v>
      </c>
      <c r="S176" s="518">
        <f t="shared" si="137"/>
        <v>140.33449231102381</v>
      </c>
      <c r="T176" s="519">
        <f t="shared" si="138"/>
        <v>5514.1535178716267</v>
      </c>
      <c r="U176" s="519">
        <f t="shared" si="139"/>
        <v>18356.441167307454</v>
      </c>
    </row>
    <row r="177" spans="1:21">
      <c r="A177">
        <f>'Input data'!A130</f>
        <v>2030</v>
      </c>
      <c r="C177" s="314">
        <f>'4A SWD Case 3'!BG100</f>
        <v>541.97409524253555</v>
      </c>
      <c r="D177" s="3">
        <f>'4B Biological treatment '!T230</f>
        <v>4.0142142994360155</v>
      </c>
      <c r="E177" s="178">
        <f>'4B Biological treatment '!U230</f>
        <v>20.071071497180078</v>
      </c>
      <c r="F177" s="178">
        <f>'4B Biological treatment '!W230</f>
        <v>1.2042642898308045</v>
      </c>
      <c r="G177" s="952">
        <f>'4C2 Open-burning '!R169</f>
        <v>13.349585440445585</v>
      </c>
      <c r="H177" s="952">
        <f>'4C2 Open-burning '!Z169</f>
        <v>4.491726798177857</v>
      </c>
      <c r="I177" s="952">
        <f>'4C2 Open-burning '!AH169</f>
        <v>6.2532418222357194E-2</v>
      </c>
      <c r="J177" s="987">
        <f>'4D Wastewater treatment and dis'!AV206</f>
        <v>219.2099499261966</v>
      </c>
      <c r="K177" s="770">
        <f>'4D Wastewater treatment and dis'!AW206</f>
        <v>3.4551291616770792</v>
      </c>
      <c r="L177" s="771">
        <f t="shared" si="140"/>
        <v>11381.456000093247</v>
      </c>
      <c r="M177" s="772">
        <f t="shared" si="131"/>
        <v>84.298500288156319</v>
      </c>
      <c r="N177" s="771">
        <f t="shared" si="132"/>
        <v>794.81443128833098</v>
      </c>
      <c r="O177" s="773">
        <f t="shared" si="133"/>
        <v>127.06089785111131</v>
      </c>
      <c r="P177" s="771">
        <f t="shared" si="134"/>
        <v>5674.4989885700234</v>
      </c>
      <c r="Q177" s="519">
        <f t="shared" si="135"/>
        <v>11381.456000093247</v>
      </c>
      <c r="R177" s="521">
        <f t="shared" si="136"/>
        <v>879.11293157648731</v>
      </c>
      <c r="S177" s="518">
        <f t="shared" si="137"/>
        <v>127.06089785111131</v>
      </c>
      <c r="T177" s="519">
        <f t="shared" si="138"/>
        <v>5674.4989885700234</v>
      </c>
      <c r="U177" s="519">
        <f t="shared" si="139"/>
        <v>18062.128818090867</v>
      </c>
    </row>
    <row r="178" spans="1:21">
      <c r="A178">
        <f>'Input data'!A131</f>
        <v>2031</v>
      </c>
      <c r="C178" s="314">
        <f>'4A SWD Case 3'!BG101</f>
        <v>521.3249962726095</v>
      </c>
      <c r="D178" s="3">
        <f>'4B Biological treatment '!T231</f>
        <v>4.0426573001203296</v>
      </c>
      <c r="E178" s="178">
        <f>'4B Biological treatment '!U231</f>
        <v>20.213286500601647</v>
      </c>
      <c r="F178" s="178">
        <f>'4B Biological treatment '!W231</f>
        <v>1.2127971900360988</v>
      </c>
      <c r="G178" s="952">
        <f>'4C2 Open-burning '!R170</f>
        <v>11.765107989669922</v>
      </c>
      <c r="H178" s="952">
        <f>'4C2 Open-burning '!Z170</f>
        <v>3.9585986453593502</v>
      </c>
      <c r="I178" s="952">
        <f>'4C2 Open-burning '!AH170</f>
        <v>5.5110374514871767E-2</v>
      </c>
      <c r="J178" s="987">
        <f>'4D Wastewater treatment and dis'!AV207</f>
        <v>221.6453728861629</v>
      </c>
      <c r="K178" s="770">
        <f>'4D Wastewater treatment and dis'!AW207</f>
        <v>3.493515653224704</v>
      </c>
      <c r="L178" s="771">
        <f t="shared" si="140"/>
        <v>10947.824921724799</v>
      </c>
      <c r="M178" s="772">
        <f t="shared" si="131"/>
        <v>84.895803302526929</v>
      </c>
      <c r="N178" s="771">
        <f t="shared" si="132"/>
        <v>800.44614542382521</v>
      </c>
      <c r="O178" s="773">
        <f t="shared" si="133"/>
        <v>111.97989564182652</v>
      </c>
      <c r="P178" s="771">
        <f t="shared" si="134"/>
        <v>5737.542683109079</v>
      </c>
      <c r="Q178" s="519">
        <f t="shared" si="135"/>
        <v>10947.824921724799</v>
      </c>
      <c r="R178" s="521">
        <f t="shared" si="136"/>
        <v>885.34194872635214</v>
      </c>
      <c r="S178" s="518">
        <f t="shared" si="137"/>
        <v>111.97989564182652</v>
      </c>
      <c r="T178" s="519">
        <f t="shared" si="138"/>
        <v>5737.542683109079</v>
      </c>
      <c r="U178" s="519">
        <f t="shared" si="139"/>
        <v>17682.689449202058</v>
      </c>
    </row>
    <row r="179" spans="1:21">
      <c r="A179">
        <f>'Input data'!A132</f>
        <v>2032</v>
      </c>
      <c r="C179" s="314">
        <f>'4A SWD Case 3'!BG102</f>
        <v>501.11017851312886</v>
      </c>
      <c r="D179" s="3">
        <f>'4B Biological treatment '!T232</f>
        <v>4.0724203483170971</v>
      </c>
      <c r="E179" s="178">
        <f>'4B Biological treatment '!U232</f>
        <v>20.362101741585484</v>
      </c>
      <c r="F179" s="178">
        <f>'4B Biological treatment '!W232</f>
        <v>1.2217261044951291</v>
      </c>
      <c r="G179" s="952">
        <f>'4C2 Open-burning '!R171</f>
        <v>10.1939635328708</v>
      </c>
      <c r="H179" s="952">
        <f>'4C2 Open-burning '!Z171</f>
        <v>3.4299566368193717</v>
      </c>
      <c r="I179" s="952">
        <f>'4C2 Open-burning '!AH171</f>
        <v>4.7750785507512924E-2</v>
      </c>
      <c r="J179" s="987">
        <f>'4D Wastewater treatment and dis'!AV208</f>
        <v>224.03392990775248</v>
      </c>
      <c r="K179" s="770">
        <f>'4D Wastewater treatment and dis'!AW208</f>
        <v>3.5311634562664973</v>
      </c>
      <c r="L179" s="771">
        <f t="shared" si="140"/>
        <v>10523.313748775707</v>
      </c>
      <c r="M179" s="772">
        <f t="shared" si="131"/>
        <v>85.520827314659044</v>
      </c>
      <c r="N179" s="771">
        <f t="shared" si="132"/>
        <v>806.33922896678519</v>
      </c>
      <c r="O179" s="773">
        <f t="shared" si="133"/>
        <v>97.02579641340661</v>
      </c>
      <c r="P179" s="771">
        <f t="shared" si="134"/>
        <v>5799.3731995054168</v>
      </c>
      <c r="Q179" s="519">
        <f t="shared" si="135"/>
        <v>10523.313748775707</v>
      </c>
      <c r="R179" s="521">
        <f t="shared" si="136"/>
        <v>891.86005628144426</v>
      </c>
      <c r="S179" s="518">
        <f t="shared" si="137"/>
        <v>97.02579641340661</v>
      </c>
      <c r="T179" s="519">
        <f t="shared" si="138"/>
        <v>5799.3731995054168</v>
      </c>
      <c r="U179" s="519">
        <f t="shared" si="139"/>
        <v>17311.572800975977</v>
      </c>
    </row>
    <row r="180" spans="1:21">
      <c r="A180">
        <f>'Input data'!A133</f>
        <v>2033</v>
      </c>
      <c r="C180" s="314">
        <f>'4A SWD Case 3'!BG103</f>
        <v>481.30510200503619</v>
      </c>
      <c r="D180" s="3">
        <f>'4B Biological treatment '!T233</f>
        <v>4.1074244418269013</v>
      </c>
      <c r="E180" s="178">
        <f>'4B Biological treatment '!U233</f>
        <v>20.537122209134502</v>
      </c>
      <c r="F180" s="178">
        <f>'4B Biological treatment '!W233</f>
        <v>1.2322273325480702</v>
      </c>
      <c r="G180" s="952">
        <f>'4C2 Open-burning '!R172</f>
        <v>10.159140937478856</v>
      </c>
      <c r="H180" s="952">
        <f>'4C2 Open-burning '!Z172</f>
        <v>3.4182398995767151</v>
      </c>
      <c r="I180" s="952">
        <f>'4C2 Open-burning '!AH172</f>
        <v>4.758766874944196E-2</v>
      </c>
      <c r="J180" s="987">
        <f>'4D Wastewater treatment and dis'!AV209</f>
        <v>226.37350704017067</v>
      </c>
      <c r="K180" s="770">
        <f>'4D Wastewater treatment and dis'!AW209</f>
        <v>3.5680392512700192</v>
      </c>
      <c r="L180" s="771">
        <f t="shared" si="140"/>
        <v>10107.40714210576</v>
      </c>
      <c r="M180" s="772">
        <f t="shared" si="131"/>
        <v>86.255913278364929</v>
      </c>
      <c r="N180" s="771">
        <f t="shared" si="132"/>
        <v>813.27003948172626</v>
      </c>
      <c r="O180" s="773">
        <f t="shared" si="133"/>
        <v>96.694356140916881</v>
      </c>
      <c r="P180" s="771">
        <f t="shared" si="134"/>
        <v>5859.9358157372899</v>
      </c>
      <c r="Q180" s="519">
        <f t="shared" si="135"/>
        <v>10107.40714210576</v>
      </c>
      <c r="R180" s="521">
        <f t="shared" si="136"/>
        <v>899.52595276009117</v>
      </c>
      <c r="S180" s="518">
        <f t="shared" si="137"/>
        <v>96.694356140916881</v>
      </c>
      <c r="T180" s="519">
        <f t="shared" si="138"/>
        <v>5859.9358157372899</v>
      </c>
      <c r="U180" s="519">
        <f t="shared" si="139"/>
        <v>16963.563266744059</v>
      </c>
    </row>
    <row r="181" spans="1:21">
      <c r="A181">
        <f>'Input data'!A134</f>
        <v>2034</v>
      </c>
      <c r="C181" s="314">
        <f>'4A SWD Case 3'!BG104</f>
        <v>462.48006389765879</v>
      </c>
      <c r="D181" s="3">
        <f>'4B Biological treatment '!T234</f>
        <v>4.145597084308112</v>
      </c>
      <c r="E181" s="178">
        <f>'4B Biological treatment '!U234</f>
        <v>20.727985421540559</v>
      </c>
      <c r="F181" s="178">
        <f>'4B Biological treatment '!W234</f>
        <v>1.2436791252924335</v>
      </c>
      <c r="G181" s="952">
        <f>'4C2 Open-burning '!R173</f>
        <v>10.125990400822563</v>
      </c>
      <c r="H181" s="952">
        <f>'4C2 Open-burning '!Z173</f>
        <v>3.4070857589079031</v>
      </c>
      <c r="I181" s="952">
        <f>'4C2 Open-burning '!AH173</f>
        <v>4.7432384285236329E-2</v>
      </c>
      <c r="J181" s="987">
        <f>'4D Wastewater treatment and dis'!AV210</f>
        <v>228.66201585416007</v>
      </c>
      <c r="K181" s="770">
        <f>'4D Wastewater treatment and dis'!AW210</f>
        <v>3.604110120966546</v>
      </c>
      <c r="L181" s="771">
        <f t="shared" si="140"/>
        <v>9712.0813418508351</v>
      </c>
      <c r="M181" s="772">
        <f t="shared" si="131"/>
        <v>87.057538770470359</v>
      </c>
      <c r="N181" s="771">
        <f t="shared" si="132"/>
        <v>820.82822269300618</v>
      </c>
      <c r="O181" s="773">
        <f t="shared" si="133"/>
        <v>96.378830466311783</v>
      </c>
      <c r="P181" s="771">
        <f t="shared" si="134"/>
        <v>5919.1764704369907</v>
      </c>
      <c r="Q181" s="519">
        <f t="shared" si="135"/>
        <v>9712.0813418508351</v>
      </c>
      <c r="R181" s="521">
        <f t="shared" si="136"/>
        <v>907.88576146347657</v>
      </c>
      <c r="S181" s="518">
        <f t="shared" si="137"/>
        <v>96.378830466311783</v>
      </c>
      <c r="T181" s="519">
        <f t="shared" si="138"/>
        <v>5919.1764704369907</v>
      </c>
      <c r="U181" s="519">
        <f t="shared" si="139"/>
        <v>16635.522404217612</v>
      </c>
    </row>
    <row r="182" spans="1:21">
      <c r="A182">
        <f>'Input data'!A135</f>
        <v>2035</v>
      </c>
      <c r="C182" s="314">
        <f>'4A SWD Case 3'!BG105</f>
        <v>444.58674795173857</v>
      </c>
      <c r="D182" s="3">
        <f>'4B Biological treatment '!T235</f>
        <v>4.1760603883516829</v>
      </c>
      <c r="E182" s="178">
        <f>'4B Biological treatment '!U235</f>
        <v>20.880301941758411</v>
      </c>
      <c r="F182" s="178">
        <f>'4B Biological treatment '!W235</f>
        <v>1.2528181165055048</v>
      </c>
      <c r="G182" s="952">
        <f>'4C2 Open-burning '!R174</f>
        <v>10.094446054521576</v>
      </c>
      <c r="H182" s="952">
        <f>'4C2 Open-burning '!Z174</f>
        <v>3.3964720521195364</v>
      </c>
      <c r="I182" s="952">
        <f>'4C2 Open-burning '!AH174</f>
        <v>4.7284623572797432E-2</v>
      </c>
      <c r="J182" s="987">
        <f>'4D Wastewater treatment and dis'!AV211</f>
        <v>230.89739651168955</v>
      </c>
      <c r="K182" s="770">
        <f>'4D Wastewater treatment and dis'!AW211</f>
        <v>3.6393435987346821</v>
      </c>
      <c r="L182" s="771">
        <f t="shared" si="140"/>
        <v>9336.3217069865095</v>
      </c>
      <c r="M182" s="772">
        <f t="shared" si="131"/>
        <v>87.697268155385345</v>
      </c>
      <c r="N182" s="771">
        <f t="shared" si="132"/>
        <v>826.85995689363313</v>
      </c>
      <c r="O182" s="773">
        <f t="shared" si="133"/>
        <v>96.07859245659904</v>
      </c>
      <c r="P182" s="771">
        <f t="shared" si="134"/>
        <v>5977.0418423532319</v>
      </c>
      <c r="Q182" s="519">
        <f t="shared" si="135"/>
        <v>9336.3217069865095</v>
      </c>
      <c r="R182" s="521">
        <f t="shared" si="136"/>
        <v>914.55722504901848</v>
      </c>
      <c r="S182" s="518">
        <f t="shared" si="137"/>
        <v>96.07859245659904</v>
      </c>
      <c r="T182" s="519">
        <f t="shared" si="138"/>
        <v>5977.0418423532319</v>
      </c>
      <c r="U182" s="519">
        <f t="shared" si="139"/>
        <v>16323.999366845359</v>
      </c>
    </row>
    <row r="183" spans="1:21">
      <c r="A183">
        <f>'Input data'!A136</f>
        <v>2036</v>
      </c>
      <c r="C183" s="314">
        <f>'4A SWD Case 3'!BG106</f>
        <v>427.57920121230666</v>
      </c>
      <c r="D183" s="3">
        <f>'4B Biological treatment '!T236</f>
        <v>4.2065628371320321</v>
      </c>
      <c r="E183" s="178">
        <f>'4B Biological treatment '!U236</f>
        <v>21.032814185660158</v>
      </c>
      <c r="F183" s="178">
        <f>'4B Biological treatment '!W236</f>
        <v>1.2619688511396094</v>
      </c>
      <c r="G183" s="952">
        <f>'4C2 Open-burning '!R175</f>
        <v>10.064223235545068</v>
      </c>
      <c r="H183" s="952">
        <f>'4C2 Open-burning '!Z175</f>
        <v>3.386302998816805</v>
      </c>
      <c r="I183" s="952">
        <f>'4C2 Open-burning '!AH175</f>
        <v>4.7143053187370193E-2</v>
      </c>
      <c r="J183" s="987">
        <f>'4D Wastewater treatment and dis'!AV212</f>
        <v>233.09403867597584</v>
      </c>
      <c r="K183" s="770">
        <f>'4D Wastewater treatment and dis'!AW212</f>
        <v>3.6739664906342075</v>
      </c>
      <c r="L183" s="771">
        <f t="shared" si="140"/>
        <v>8979.1632254584401</v>
      </c>
      <c r="M183" s="772">
        <f t="shared" si="131"/>
        <v>88.33781957977267</v>
      </c>
      <c r="N183" s="771">
        <f t="shared" si="132"/>
        <v>832.89944175214225</v>
      </c>
      <c r="O183" s="773">
        <f t="shared" si="133"/>
        <v>95.79093269878274</v>
      </c>
      <c r="P183" s="771">
        <f t="shared" si="134"/>
        <v>6033.9044242920972</v>
      </c>
      <c r="Q183" s="519">
        <f t="shared" si="135"/>
        <v>8979.1632254584401</v>
      </c>
      <c r="R183" s="521">
        <f t="shared" si="136"/>
        <v>921.23726133191497</v>
      </c>
      <c r="S183" s="518">
        <f t="shared" si="137"/>
        <v>95.79093269878274</v>
      </c>
      <c r="T183" s="519">
        <f t="shared" si="138"/>
        <v>6033.9044242920972</v>
      </c>
      <c r="U183" s="519">
        <f t="shared" si="139"/>
        <v>16030.095843781235</v>
      </c>
    </row>
    <row r="184" spans="1:21">
      <c r="A184">
        <f>'Input data'!A137</f>
        <v>2037</v>
      </c>
      <c r="C184" s="314">
        <f>'4A SWD Case 3'!BG107</f>
        <v>412.30112983773148</v>
      </c>
      <c r="D184" s="3">
        <f>'4B Biological treatment '!T237</f>
        <v>4.2422519635354483</v>
      </c>
      <c r="E184" s="178">
        <f>'4B Biological treatment '!U237</f>
        <v>21.211259817677238</v>
      </c>
      <c r="F184" s="178">
        <f>'4B Biological treatment '!W237</f>
        <v>1.2726755890606345</v>
      </c>
      <c r="G184" s="952">
        <f>'4C2 Open-burning '!R176</f>
        <v>10.03527415643417</v>
      </c>
      <c r="H184" s="952">
        <f>'4C2 Open-burning '!Z176</f>
        <v>3.3765625199828309</v>
      </c>
      <c r="I184" s="952">
        <f>'4C2 Open-burning '!AH176</f>
        <v>4.7007449281901335E-2</v>
      </c>
      <c r="J184" s="987">
        <f>'4D Wastewater treatment and dis'!AV213</f>
        <v>235.25041077056153</v>
      </c>
      <c r="K184" s="770">
        <f>'4D Wastewater treatment and dis'!AW213</f>
        <v>3.7079546563627162</v>
      </c>
      <c r="L184" s="771">
        <f t="shared" si="140"/>
        <v>8658.3237265923617</v>
      </c>
      <c r="M184" s="772">
        <f t="shared" si="131"/>
        <v>89.087291234244418</v>
      </c>
      <c r="N184" s="771">
        <f t="shared" si="132"/>
        <v>839.96588878001876</v>
      </c>
      <c r="O184" s="773">
        <f t="shared" si="133"/>
        <v>95.515396353463032</v>
      </c>
      <c r="P184" s="771">
        <f t="shared" si="134"/>
        <v>6089.7245696542341</v>
      </c>
      <c r="Q184" s="519">
        <f t="shared" si="135"/>
        <v>8658.3237265923617</v>
      </c>
      <c r="R184" s="521">
        <f t="shared" si="136"/>
        <v>929.05318001426315</v>
      </c>
      <c r="S184" s="518">
        <f t="shared" si="137"/>
        <v>95.515396353463032</v>
      </c>
      <c r="T184" s="519">
        <f t="shared" si="138"/>
        <v>6089.7245696542341</v>
      </c>
      <c r="U184" s="519">
        <f t="shared" si="139"/>
        <v>15772.616872614322</v>
      </c>
    </row>
    <row r="185" spans="1:21">
      <c r="A185">
        <f>'Input data'!A138</f>
        <v>2038</v>
      </c>
      <c r="C185" s="314">
        <f>'4A SWD Case 3'!BG108</f>
        <v>397.67938386143106</v>
      </c>
      <c r="D185" s="3">
        <f>'4B Biological treatment '!T238</f>
        <v>4.2771038275133373</v>
      </c>
      <c r="E185" s="178">
        <f>'4B Biological treatment '!U238</f>
        <v>21.385519137566682</v>
      </c>
      <c r="F185" s="178">
        <f>'4B Biological treatment '!W238</f>
        <v>1.2831311482540011</v>
      </c>
      <c r="G185" s="952">
        <f>'4C2 Open-burning '!R177</f>
        <v>10.007553800291879</v>
      </c>
      <c r="H185" s="952">
        <f>'4C2 Open-burning '!Z177</f>
        <v>3.367235468809981</v>
      </c>
      <c r="I185" s="952">
        <f>'4C2 Open-burning '!AH177</f>
        <v>4.687760098726361E-2</v>
      </c>
      <c r="J185" s="987">
        <f>'4D Wastewater treatment and dis'!AV214</f>
        <v>237.3649979490711</v>
      </c>
      <c r="K185" s="770">
        <f>'4D Wastewater treatment and dis'!AW214</f>
        <v>3.7412842193129237</v>
      </c>
      <c r="L185" s="771">
        <f t="shared" si="140"/>
        <v>8351.2670610900532</v>
      </c>
      <c r="M185" s="772">
        <f t="shared" si="131"/>
        <v>89.819180377780086</v>
      </c>
      <c r="N185" s="771">
        <f t="shared" si="132"/>
        <v>846.86655784764071</v>
      </c>
      <c r="O185" s="773">
        <f t="shared" si="133"/>
        <v>95.251554951353185</v>
      </c>
      <c r="P185" s="771">
        <f t="shared" si="134"/>
        <v>6144.4630649174987</v>
      </c>
      <c r="Q185" s="519">
        <f t="shared" si="135"/>
        <v>8351.2670610900532</v>
      </c>
      <c r="R185" s="521">
        <f t="shared" si="136"/>
        <v>936.68573822542078</v>
      </c>
      <c r="S185" s="518">
        <f t="shared" si="137"/>
        <v>95.251554951353185</v>
      </c>
      <c r="T185" s="519">
        <f t="shared" si="138"/>
        <v>6144.4630649174987</v>
      </c>
      <c r="U185" s="519">
        <f t="shared" si="139"/>
        <v>15527.667419184327</v>
      </c>
    </row>
    <row r="186" spans="1:21">
      <c r="A186">
        <f>'Input data'!A139</f>
        <v>2039</v>
      </c>
      <c r="C186" s="314">
        <f>'4A SWD Case 3'!BG109</f>
        <v>384.22870330196884</v>
      </c>
      <c r="D186" s="3">
        <f>'4B Biological treatment '!T239</f>
        <v>4.3144566052298137</v>
      </c>
      <c r="E186" s="178">
        <f>'4B Biological treatment '!U239</f>
        <v>21.572283026149066</v>
      </c>
      <c r="F186" s="178">
        <f>'4B Biological treatment '!W239</f>
        <v>1.2943369815689438</v>
      </c>
      <c r="G186" s="952">
        <f>'4C2 Open-burning '!R178</f>
        <v>9.9810197518680681</v>
      </c>
      <c r="H186" s="952">
        <f>'4C2 Open-burning '!Z178</f>
        <v>3.3583075738651473</v>
      </c>
      <c r="I186" s="952">
        <f>'4C2 Open-burning '!AH178</f>
        <v>4.6753309621020658E-2</v>
      </c>
      <c r="J186" s="987">
        <f>'4D Wastewater treatment and dis'!AV215</f>
        <v>239.43630384884813</v>
      </c>
      <c r="K186" s="770">
        <f>'4D Wastewater treatment and dis'!AW215</f>
        <v>3.7739315942130265</v>
      </c>
      <c r="L186" s="771">
        <f t="shared" si="140"/>
        <v>8068.802769341346</v>
      </c>
      <c r="M186" s="772">
        <f t="shared" si="131"/>
        <v>90.603588709826084</v>
      </c>
      <c r="N186" s="771">
        <f t="shared" si="132"/>
        <v>854.26240783550293</v>
      </c>
      <c r="O186" s="773">
        <f t="shared" si="133"/>
        <v>94.999004785552572</v>
      </c>
      <c r="P186" s="771">
        <f t="shared" si="134"/>
        <v>6198.0811750318489</v>
      </c>
      <c r="Q186" s="519">
        <f t="shared" si="135"/>
        <v>8068.802769341346</v>
      </c>
      <c r="R186" s="521">
        <f t="shared" si="136"/>
        <v>944.86599654532904</v>
      </c>
      <c r="S186" s="518">
        <f t="shared" si="137"/>
        <v>94.999004785552572</v>
      </c>
      <c r="T186" s="519">
        <f t="shared" si="138"/>
        <v>6198.0811750318489</v>
      </c>
      <c r="U186" s="519">
        <f t="shared" si="139"/>
        <v>15306.748945704076</v>
      </c>
    </row>
    <row r="187" spans="1:21">
      <c r="A187">
        <f>'Input data'!A140</f>
        <v>2040</v>
      </c>
      <c r="C187" s="314">
        <f>'4A SWD Case 3'!BG110</f>
        <v>371.89858870038074</v>
      </c>
      <c r="D187" s="3">
        <f>'4B Biological treatment '!T240</f>
        <v>4.3519355159870168</v>
      </c>
      <c r="E187" s="178">
        <f>'4B Biological treatment '!U240</f>
        <v>21.759677579935079</v>
      </c>
      <c r="F187" s="178">
        <f>'4B Biological treatment '!W240</f>
        <v>1.3055806547961049</v>
      </c>
      <c r="G187" s="952">
        <f>'4C2 Open-burning '!R179</f>
        <v>9.9556320418415236</v>
      </c>
      <c r="H187" s="952">
        <f>'4C2 Open-burning '!Z179</f>
        <v>3.3497653866954162</v>
      </c>
      <c r="I187" s="952">
        <f>'4C2 Open-burning '!AH179</f>
        <v>4.6634387958009463E-2</v>
      </c>
      <c r="J187" s="987">
        <f>'4D Wastewater treatment and dis'!AV216</f>
        <v>241.46285233748353</v>
      </c>
      <c r="K187" s="770">
        <f>'4D Wastewater treatment and dis'!AW216</f>
        <v>3.8058735146550235</v>
      </c>
      <c r="L187" s="771">
        <f t="shared" si="140"/>
        <v>7809.8703627079958</v>
      </c>
      <c r="M187" s="772">
        <f t="shared" si="131"/>
        <v>91.390645835727355</v>
      </c>
      <c r="N187" s="771">
        <f t="shared" si="132"/>
        <v>861.68323216542922</v>
      </c>
      <c r="O187" s="773">
        <f t="shared" si="133"/>
        <v>94.757365429428205</v>
      </c>
      <c r="P187" s="771">
        <f t="shared" si="134"/>
        <v>6250.5406886302117</v>
      </c>
      <c r="Q187" s="519">
        <f t="shared" si="135"/>
        <v>7809.8703627079958</v>
      </c>
      <c r="R187" s="521">
        <f t="shared" si="136"/>
        <v>953.07387800115657</v>
      </c>
      <c r="S187" s="518">
        <f t="shared" si="137"/>
        <v>94.757365429428205</v>
      </c>
      <c r="T187" s="519">
        <f t="shared" si="138"/>
        <v>6250.5406886302117</v>
      </c>
      <c r="U187" s="519">
        <f t="shared" si="139"/>
        <v>15108.242294768792</v>
      </c>
    </row>
    <row r="188" spans="1:21">
      <c r="A188">
        <f>'Input data'!A141</f>
        <v>2041</v>
      </c>
      <c r="C188" s="314">
        <f>'4A SWD Case 3'!BG111</f>
        <v>360.64010258404386</v>
      </c>
      <c r="D188" s="3">
        <f>'4B Biological treatment '!T241</f>
        <v>4.394076999835983</v>
      </c>
      <c r="E188" s="178">
        <f>'4B Biological treatment '!U241</f>
        <v>21.970384999179913</v>
      </c>
      <c r="F188" s="178">
        <f>'4B Biological treatment '!W241</f>
        <v>1.3182230999507949</v>
      </c>
      <c r="G188" s="952">
        <f>'4C2 Open-burning '!R180</f>
        <v>9.9312949766275409</v>
      </c>
      <c r="H188" s="952">
        <f>'4C2 Open-burning '!Z180</f>
        <v>3.3415767093392308</v>
      </c>
      <c r="I188" s="952">
        <f>'4C2 Open-burning '!AH180</f>
        <v>4.6520387748261019E-2</v>
      </c>
      <c r="J188" s="987">
        <f>'4D Wastewater treatment and dis'!AV217</f>
        <v>243.44797282954215</v>
      </c>
      <c r="K188" s="770">
        <f>'4D Wastewater treatment and dis'!AW217</f>
        <v>3.8371624579893204</v>
      </c>
      <c r="L188" s="771">
        <f t="shared" si="140"/>
        <v>7573.4421542649206</v>
      </c>
      <c r="M188" s="772">
        <f t="shared" si="131"/>
        <v>92.275616996555641</v>
      </c>
      <c r="N188" s="771">
        <f t="shared" si="132"/>
        <v>870.02724596752455</v>
      </c>
      <c r="O188" s="773">
        <f t="shared" si="133"/>
        <v>94.525726074712296</v>
      </c>
      <c r="P188" s="771">
        <f t="shared" si="134"/>
        <v>6301.9277913970745</v>
      </c>
      <c r="Q188" s="519">
        <f t="shared" si="135"/>
        <v>7573.4421542649206</v>
      </c>
      <c r="R188" s="521">
        <f t="shared" si="136"/>
        <v>962.30286296408019</v>
      </c>
      <c r="S188" s="518">
        <f t="shared" si="137"/>
        <v>94.525726074712296</v>
      </c>
      <c r="T188" s="519">
        <f t="shared" si="138"/>
        <v>6301.9277913970745</v>
      </c>
      <c r="U188" s="519">
        <f t="shared" si="139"/>
        <v>14932.198534700789</v>
      </c>
    </row>
    <row r="189" spans="1:21">
      <c r="A189">
        <f>'Input data'!A142</f>
        <v>2042</v>
      </c>
      <c r="C189" s="314">
        <f>'4A SWD Case 3'!BG112</f>
        <v>350.1909700318439</v>
      </c>
      <c r="D189" s="3">
        <f>'4B Biological treatment '!T242</f>
        <v>4.4368817695025751</v>
      </c>
      <c r="E189" s="178">
        <f>'4B Biological treatment '!U242</f>
        <v>22.184408847512874</v>
      </c>
      <c r="F189" s="178">
        <f>'4B Biological treatment '!W242</f>
        <v>1.3310645308507723</v>
      </c>
      <c r="G189" s="952">
        <f>'4C2 Open-burning '!R181</f>
        <v>9.9079752127942537</v>
      </c>
      <c r="H189" s="952">
        <f>'4C2 Open-burning '!Z181</f>
        <v>3.3337303227525874</v>
      </c>
      <c r="I189" s="952">
        <f>'4C2 Open-burning '!AH181</f>
        <v>4.6411152803747191E-2</v>
      </c>
      <c r="J189" s="987">
        <f>'4D Wastewater treatment and dis'!AV218</f>
        <v>245.39035148076366</v>
      </c>
      <c r="K189" s="770">
        <f>'4D Wastewater treatment and dis'!AW218</f>
        <v>3.8677777157507212</v>
      </c>
      <c r="L189" s="771">
        <f t="shared" si="140"/>
        <v>7354.0103706687223</v>
      </c>
      <c r="M189" s="772">
        <f t="shared" si="131"/>
        <v>93.174517159554071</v>
      </c>
      <c r="N189" s="771">
        <f t="shared" si="132"/>
        <v>878.50259036150976</v>
      </c>
      <c r="O189" s="773">
        <f t="shared" si="133"/>
        <v>94.30376935976021</v>
      </c>
      <c r="P189" s="771">
        <f t="shared" si="134"/>
        <v>6352.2084729787603</v>
      </c>
      <c r="Q189" s="519">
        <f t="shared" si="135"/>
        <v>7354.0103706687223</v>
      </c>
      <c r="R189" s="521">
        <f t="shared" si="136"/>
        <v>971.67710752106382</v>
      </c>
      <c r="S189" s="518">
        <f t="shared" si="137"/>
        <v>94.30376935976021</v>
      </c>
      <c r="T189" s="519">
        <f t="shared" si="138"/>
        <v>6352.2084729787603</v>
      </c>
      <c r="U189" s="519">
        <f t="shared" si="139"/>
        <v>14772.199720528306</v>
      </c>
    </row>
    <row r="190" spans="1:21">
      <c r="A190">
        <f>'Input data'!A143</f>
        <v>2043</v>
      </c>
      <c r="C190" s="314">
        <f>'4A SWD Case 3'!BG113</f>
        <v>340.51415984978701</v>
      </c>
      <c r="D190" s="3">
        <f>'4B Biological treatment '!T243</f>
        <v>4.480791290629341</v>
      </c>
      <c r="E190" s="178">
        <f>'4B Biological treatment '!U243</f>
        <v>22.403956453146705</v>
      </c>
      <c r="F190" s="178">
        <f>'4B Biological treatment '!W243</f>
        <v>1.3442373871888023</v>
      </c>
      <c r="G190" s="952">
        <f>'4C2 Open-burning '!R182</f>
        <v>9.8856412498174997</v>
      </c>
      <c r="H190" s="952">
        <f>'4C2 Open-burning '!Z182</f>
        <v>3.3262156279735073</v>
      </c>
      <c r="I190" s="952">
        <f>'4C2 Open-burning '!AH182</f>
        <v>4.6306535569028154E-2</v>
      </c>
      <c r="J190" s="987">
        <f>'4D Wastewater treatment and dis'!AV219</f>
        <v>247.28869443502521</v>
      </c>
      <c r="K190" s="770">
        <f>'4D Wastewater treatment and dis'!AW219</f>
        <v>3.8976988945217657</v>
      </c>
      <c r="L190" s="771">
        <f t="shared" si="140"/>
        <v>7150.7973568455272</v>
      </c>
      <c r="M190" s="772">
        <f t="shared" si="131"/>
        <v>94.096617103216161</v>
      </c>
      <c r="N190" s="771">
        <f t="shared" si="132"/>
        <v>887.19667554460943</v>
      </c>
      <c r="O190" s="773">
        <f t="shared" si="133"/>
        <v>94.091195463659886</v>
      </c>
      <c r="P190" s="771">
        <f t="shared" si="134"/>
        <v>6401.3492404372764</v>
      </c>
      <c r="Q190" s="519">
        <f t="shared" si="135"/>
        <v>7150.7973568455272</v>
      </c>
      <c r="R190" s="521">
        <f t="shared" si="136"/>
        <v>981.29329264782564</v>
      </c>
      <c r="S190" s="518">
        <f t="shared" si="137"/>
        <v>94.091195463659886</v>
      </c>
      <c r="T190" s="519">
        <f t="shared" si="138"/>
        <v>6401.3492404372764</v>
      </c>
      <c r="U190" s="519">
        <f t="shared" si="139"/>
        <v>14627.53108539429</v>
      </c>
    </row>
    <row r="191" spans="1:21">
      <c r="A191">
        <f>'Input data'!A144</f>
        <v>2044</v>
      </c>
      <c r="C191" s="314">
        <f>'4A SWD Case 3'!BG114</f>
        <v>331.57447766101325</v>
      </c>
      <c r="D191" s="3">
        <f>'4B Biological treatment '!T244</f>
        <v>4.5264057825135442</v>
      </c>
      <c r="E191" s="178">
        <f>'4B Biological treatment '!U244</f>
        <v>22.632028912567719</v>
      </c>
      <c r="F191" s="178">
        <f>'4B Biological treatment '!W244</f>
        <v>1.3579217347540631</v>
      </c>
      <c r="G191" s="952">
        <f>'4C2 Open-burning '!R183</f>
        <v>9.8642633296948237</v>
      </c>
      <c r="H191" s="952">
        <f>'4C2 Open-burning '!Z183</f>
        <v>3.3190226123452167</v>
      </c>
      <c r="I191" s="952">
        <f>'4C2 Open-burning '!AH183</f>
        <v>4.6206396651022108E-2</v>
      </c>
      <c r="J191" s="987">
        <f>'4D Wastewater treatment and dis'!AV220</f>
        <v>249.1417292491079</v>
      </c>
      <c r="K191" s="770">
        <f>'4D Wastewater treatment and dis'!AW220</f>
        <v>3.9269059383895084</v>
      </c>
      <c r="L191" s="771">
        <f t="shared" si="140"/>
        <v>6963.0640308812781</v>
      </c>
      <c r="M191" s="772">
        <f t="shared" si="131"/>
        <v>95.054521432784426</v>
      </c>
      <c r="N191" s="771">
        <f t="shared" si="132"/>
        <v>896.22834493768164</v>
      </c>
      <c r="O191" s="773">
        <f t="shared" si="133"/>
        <v>93.887721150761223</v>
      </c>
      <c r="P191" s="771">
        <f t="shared" si="134"/>
        <v>6449.3171551320138</v>
      </c>
      <c r="Q191" s="519">
        <f t="shared" si="135"/>
        <v>6963.0640308812781</v>
      </c>
      <c r="R191" s="521">
        <f t="shared" si="136"/>
        <v>991.28286637046608</v>
      </c>
      <c r="S191" s="518">
        <f t="shared" si="137"/>
        <v>93.887721150761223</v>
      </c>
      <c r="T191" s="519">
        <f t="shared" si="138"/>
        <v>6449.3171551320138</v>
      </c>
      <c r="U191" s="519">
        <f t="shared" si="139"/>
        <v>14497.55177353452</v>
      </c>
    </row>
    <row r="192" spans="1:21">
      <c r="A192">
        <f>'Input data'!A145</f>
        <v>2045</v>
      </c>
      <c r="C192" s="314">
        <f>'4A SWD Case 3'!BG115</f>
        <v>323.33858040729092</v>
      </c>
      <c r="D192" s="3">
        <f>'4B Biological treatment '!T245</f>
        <v>4.5739470653302572</v>
      </c>
      <c r="E192" s="178">
        <f>'4B Biological treatment '!U245</f>
        <v>22.869735326651284</v>
      </c>
      <c r="F192" s="178">
        <f>'4B Biological treatment '!W245</f>
        <v>1.3721841195990769</v>
      </c>
      <c r="G192" s="952">
        <f>'4C2 Open-burning '!R184</f>
        <v>9.8438133438837134</v>
      </c>
      <c r="H192" s="952">
        <f>'4C2 Open-burning '!Z184</f>
        <v>3.3121418182037132</v>
      </c>
      <c r="I192" s="952">
        <f>'4C2 Open-burning '!AH184</f>
        <v>4.6110604383083426E-2</v>
      </c>
      <c r="J192" s="987">
        <f>'4D Wastewater treatment and dis'!AV221</f>
        <v>250.94820630354667</v>
      </c>
      <c r="K192" s="770">
        <f>'4D Wastewater treatment and dis'!AW221</f>
        <v>3.9553791511829659</v>
      </c>
      <c r="L192" s="771">
        <f t="shared" si="140"/>
        <v>6790.1101885531098</v>
      </c>
      <c r="M192" s="772">
        <f t="shared" si="131"/>
        <v>96.052888371935396</v>
      </c>
      <c r="N192" s="771">
        <f t="shared" si="132"/>
        <v>905.64151893539088</v>
      </c>
      <c r="O192" s="773">
        <f t="shared" si="133"/>
        <v>93.693078884917554</v>
      </c>
      <c r="P192" s="771">
        <f t="shared" si="134"/>
        <v>6496.079869241199</v>
      </c>
      <c r="Q192" s="519">
        <f t="shared" si="135"/>
        <v>6790.1101885531098</v>
      </c>
      <c r="R192" s="521">
        <f t="shared" si="136"/>
        <v>1001.6944073073263</v>
      </c>
      <c r="S192" s="518">
        <f t="shared" si="137"/>
        <v>93.693078884917554</v>
      </c>
      <c r="T192" s="519">
        <f t="shared" si="138"/>
        <v>6496.079869241199</v>
      </c>
      <c r="U192" s="519">
        <f t="shared" si="139"/>
        <v>14381.577543986554</v>
      </c>
    </row>
    <row r="193" spans="1:21">
      <c r="A193">
        <f>'Input data'!A146</f>
        <v>2046</v>
      </c>
      <c r="C193" s="314">
        <f>'4A SWD Case 3'!BG116</f>
        <v>315.77472923390337</v>
      </c>
      <c r="D193" s="3">
        <f>'4B Biological treatment '!T246</f>
        <v>4.624785204866706</v>
      </c>
      <c r="E193" s="178">
        <f>'4B Biological treatment '!U246</f>
        <v>23.123926024333528</v>
      </c>
      <c r="F193" s="178">
        <f>'4B Biological treatment '!W246</f>
        <v>1.3874355614600116</v>
      </c>
      <c r="G193" s="952">
        <f>'4C2 Open-burning '!R185</f>
        <v>9.8242078659671712</v>
      </c>
      <c r="H193" s="952">
        <f>'4C2 Open-burning '!Z185</f>
        <v>3.3055451751138079</v>
      </c>
      <c r="I193" s="952">
        <f>'4C2 Open-burning '!AH185</f>
        <v>4.6018767977376619E-2</v>
      </c>
      <c r="J193" s="987">
        <f>'4D Wastewater treatment and dis'!AV222</f>
        <v>252.71206376421807</v>
      </c>
      <c r="K193" s="770">
        <f>'4D Wastewater treatment and dis'!AW222</f>
        <v>3.9831806052294589</v>
      </c>
      <c r="L193" s="771">
        <f t="shared" si="140"/>
        <v>6631.269313911971</v>
      </c>
      <c r="M193" s="772">
        <f t="shared" si="131"/>
        <v>97.120489302200824</v>
      </c>
      <c r="N193" s="771">
        <f t="shared" si="132"/>
        <v>915.70747056360767</v>
      </c>
      <c r="O193" s="773">
        <f t="shared" si="133"/>
        <v>93.50647461634388</v>
      </c>
      <c r="P193" s="771">
        <f t="shared" si="134"/>
        <v>6541.7393266697118</v>
      </c>
      <c r="Q193" s="519">
        <f t="shared" si="135"/>
        <v>6631.269313911971</v>
      </c>
      <c r="R193" s="521">
        <f t="shared" si="136"/>
        <v>1012.8279598658085</v>
      </c>
      <c r="S193" s="518">
        <f t="shared" si="137"/>
        <v>93.50647461634388</v>
      </c>
      <c r="T193" s="519">
        <f t="shared" si="138"/>
        <v>6541.7393266697118</v>
      </c>
      <c r="U193" s="519">
        <f t="shared" si="139"/>
        <v>14279.343075063834</v>
      </c>
    </row>
    <row r="194" spans="1:21">
      <c r="A194">
        <f>'Input data'!A147</f>
        <v>2047</v>
      </c>
      <c r="C194" s="314">
        <f>'4A SWD Case 3'!BG117</f>
        <v>308.64368385476723</v>
      </c>
      <c r="D194" s="3">
        <f>'4B Biological treatment '!T247</f>
        <v>4.6563532603704525</v>
      </c>
      <c r="E194" s="178">
        <f>'4B Biological treatment '!U247</f>
        <v>23.281766301852258</v>
      </c>
      <c r="F194" s="178">
        <f>'4B Biological treatment '!W247</f>
        <v>1.3969059781111355</v>
      </c>
      <c r="G194" s="952">
        <f>'4C2 Open-burning '!R186</f>
        <v>9.8054236034744484</v>
      </c>
      <c r="H194" s="952">
        <f>'4C2 Open-burning '!Z186</f>
        <v>3.2992248458722018</v>
      </c>
      <c r="I194" s="952">
        <f>'4C2 Open-burning '!AH186</f>
        <v>4.5930778326804048E-2</v>
      </c>
      <c r="J194" s="987">
        <f>'4D Wastewater treatment and dis'!AV223</f>
        <v>254.43220934683089</v>
      </c>
      <c r="K194" s="770">
        <f>'4D Wastewater treatment and dis'!AW223</f>
        <v>4.0102930842333384</v>
      </c>
      <c r="L194" s="771">
        <f t="shared" si="140"/>
        <v>6481.5173609501117</v>
      </c>
      <c r="M194" s="772">
        <f t="shared" si="131"/>
        <v>97.783418467779498</v>
      </c>
      <c r="N194" s="771">
        <f t="shared" si="132"/>
        <v>921.95794555334942</v>
      </c>
      <c r="O194" s="773">
        <f t="shared" si="133"/>
        <v>93.327686648099942</v>
      </c>
      <c r="P194" s="771">
        <f t="shared" si="134"/>
        <v>6586.2672523957835</v>
      </c>
      <c r="Q194" s="519">
        <f t="shared" si="135"/>
        <v>6481.5173609501117</v>
      </c>
      <c r="R194" s="521">
        <f t="shared" si="136"/>
        <v>1019.7413640211289</v>
      </c>
      <c r="S194" s="518">
        <f t="shared" si="137"/>
        <v>93.327686648099942</v>
      </c>
      <c r="T194" s="519">
        <f t="shared" si="138"/>
        <v>6586.2672523957835</v>
      </c>
      <c r="U194" s="519">
        <f t="shared" si="139"/>
        <v>14180.853664015125</v>
      </c>
    </row>
    <row r="195" spans="1:21">
      <c r="A195">
        <f>'Input data'!A148</f>
        <v>2048</v>
      </c>
      <c r="C195" s="314">
        <f>'4A SWD Case 3'!BG118</f>
        <v>301.91473789480585</v>
      </c>
      <c r="D195" s="3">
        <f>'4B Biological treatment '!T248</f>
        <v>4.6857618312286196</v>
      </c>
      <c r="E195" s="178">
        <f>'4B Biological treatment '!U248</f>
        <v>23.428809156143096</v>
      </c>
      <c r="F195" s="178">
        <f>'4B Biological treatment '!W248</f>
        <v>1.4057285493685856</v>
      </c>
      <c r="G195" s="952">
        <f>'4C2 Open-burning '!R187</f>
        <v>9.78743850485853</v>
      </c>
      <c r="H195" s="952">
        <f>'4C2 Open-burning '!Z187</f>
        <v>3.2931734108084401</v>
      </c>
      <c r="I195" s="952">
        <f>'4C2 Open-burning '!AH187</f>
        <v>4.584653213702998E-2</v>
      </c>
      <c r="J195" s="987">
        <f>'4D Wastewater treatment and dis'!AV224</f>
        <v>256.10757196318667</v>
      </c>
      <c r="K195" s="770">
        <f>'4D Wastewater treatment and dis'!AW224</f>
        <v>4.0366997059861536</v>
      </c>
      <c r="L195" s="771">
        <f t="shared" si="140"/>
        <v>6340.209495790923</v>
      </c>
      <c r="M195" s="772">
        <f t="shared" si="131"/>
        <v>98.400998455801016</v>
      </c>
      <c r="N195" s="771">
        <f t="shared" si="132"/>
        <v>927.78084258326658</v>
      </c>
      <c r="O195" s="773">
        <f t="shared" si="133"/>
        <v>93.156505094315065</v>
      </c>
      <c r="P195" s="771">
        <f t="shared" si="134"/>
        <v>6629.6359200826273</v>
      </c>
      <c r="Q195" s="519">
        <f t="shared" si="135"/>
        <v>6340.209495790923</v>
      </c>
      <c r="R195" s="521">
        <f t="shared" si="136"/>
        <v>1026.1818410390676</v>
      </c>
      <c r="S195" s="518">
        <f t="shared" si="137"/>
        <v>93.156505094315065</v>
      </c>
      <c r="T195" s="519">
        <f t="shared" si="138"/>
        <v>6629.6359200826273</v>
      </c>
      <c r="U195" s="519">
        <f t="shared" si="139"/>
        <v>14089.183762006935</v>
      </c>
    </row>
    <row r="196" spans="1:21">
      <c r="A196">
        <f>'Input data'!A149</f>
        <v>2049</v>
      </c>
      <c r="C196" s="314">
        <f>'4A SWD Case 3'!BG119</f>
        <v>295.5668013904106</v>
      </c>
      <c r="D196" s="3">
        <f>'4B Biological treatment '!T249</f>
        <v>4.7150638414144481</v>
      </c>
      <c r="E196" s="178">
        <f>'4B Biological treatment '!U249</f>
        <v>23.575319207072237</v>
      </c>
      <c r="F196" s="178">
        <f>'4B Biological treatment '!W249</f>
        <v>1.4145191524243343</v>
      </c>
      <c r="G196" s="952">
        <f>'4C2 Open-burning '!R188</f>
        <v>9.770231699628761</v>
      </c>
      <c r="H196" s="952">
        <f>'4C2 Open-burning '!Z188</f>
        <v>3.2873838476413759</v>
      </c>
      <c r="I196" s="952">
        <f>'4C2 Open-burning '!AH188</f>
        <v>4.5765931646048544E-2</v>
      </c>
      <c r="J196" s="987">
        <f>'4D Wastewater treatment and dis'!AV225</f>
        <v>257.73710282612279</v>
      </c>
      <c r="K196" s="770">
        <f>'4D Wastewater treatment and dis'!AW225</f>
        <v>4.0623839397824701</v>
      </c>
      <c r="L196" s="771">
        <f t="shared" si="140"/>
        <v>6206.9028291986224</v>
      </c>
      <c r="M196" s="772">
        <f t="shared" si="131"/>
        <v>99.016340669703411</v>
      </c>
      <c r="N196" s="771">
        <f t="shared" si="132"/>
        <v>933.58264060006059</v>
      </c>
      <c r="O196" s="773">
        <f t="shared" si="133"/>
        <v>92.992731310372719</v>
      </c>
      <c r="P196" s="771">
        <f t="shared" si="134"/>
        <v>6671.8181806811444</v>
      </c>
      <c r="Q196" s="519">
        <f t="shared" si="135"/>
        <v>6206.9028291986224</v>
      </c>
      <c r="R196" s="521">
        <f t="shared" si="136"/>
        <v>1032.598981269764</v>
      </c>
      <c r="S196" s="518">
        <f t="shared" si="137"/>
        <v>92.992731310372719</v>
      </c>
      <c r="T196" s="519">
        <f t="shared" si="138"/>
        <v>6671.8181806811444</v>
      </c>
      <c r="U196" s="519">
        <f t="shared" si="139"/>
        <v>14004.312722459903</v>
      </c>
    </row>
    <row r="197" spans="1:21">
      <c r="A197">
        <f>'Input data'!A150</f>
        <v>2050</v>
      </c>
      <c r="C197" s="314">
        <f>'4A SWD Case 3'!BG120</f>
        <v>289.58075007079321</v>
      </c>
      <c r="D197" s="3">
        <f>'4B Biological treatment '!T250</f>
        <v>4.7437134393206453</v>
      </c>
      <c r="E197" s="178">
        <f>'4B Biological treatment '!U250</f>
        <v>23.718567196603225</v>
      </c>
      <c r="F197" s="178">
        <f>'4B Biological treatment '!W250</f>
        <v>1.4231140317961932</v>
      </c>
      <c r="G197" s="952">
        <f>'4C2 Open-burning '!R189</f>
        <v>9.7537834425971788</v>
      </c>
      <c r="H197" s="952">
        <f>'4C2 Open-burning '!Z189</f>
        <v>3.2818495127197651</v>
      </c>
      <c r="I197" s="952">
        <f>'4C2 Open-burning '!AH189</f>
        <v>4.5688884363021195E-2</v>
      </c>
      <c r="J197" s="987">
        <f>'4D Wastewater treatment and dis'!AV226</f>
        <v>259.3197765377094</v>
      </c>
      <c r="K197" s="770">
        <f>'4D Wastewater treatment and dis'!AW226</f>
        <v>4.0873296235717493</v>
      </c>
      <c r="L197" s="771">
        <f t="shared" si="140"/>
        <v>6081.1957514866572</v>
      </c>
      <c r="M197" s="772">
        <f t="shared" si="131"/>
        <v>99.617982225733556</v>
      </c>
      <c r="N197" s="771">
        <f t="shared" si="132"/>
        <v>939.25526098548767</v>
      </c>
      <c r="O197" s="773">
        <f t="shared" si="133"/>
        <v>92.836177362248833</v>
      </c>
      <c r="P197" s="771">
        <f t="shared" si="134"/>
        <v>6712.7874905991393</v>
      </c>
      <c r="Q197" s="471">
        <f t="shared" si="135"/>
        <v>6081.1957514866572</v>
      </c>
      <c r="R197" s="517">
        <f t="shared" si="136"/>
        <v>1038.8732432112213</v>
      </c>
      <c r="S197" s="514">
        <f t="shared" si="137"/>
        <v>92.836177362248833</v>
      </c>
      <c r="T197" s="471">
        <f t="shared" si="138"/>
        <v>6712.7874905991393</v>
      </c>
      <c r="U197" s="471">
        <f t="shared" si="139"/>
        <v>13925.692662659267</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820.5169947820342</v>
      </c>
      <c r="D199" s="3">
        <f>'4B Biological treatment '!T252</f>
        <v>0.67299813826043153</v>
      </c>
      <c r="E199" s="178">
        <f>'4B Biological treatment '!U252</f>
        <v>18.624978520236688</v>
      </c>
      <c r="F199" s="178">
        <f>'4B Biological treatment '!W252</f>
        <v>1.1174987112142012</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17230.856890422718</v>
      </c>
      <c r="M199" s="772">
        <f t="shared" ref="M199:M231" si="146">D199*$B$3</f>
        <v>14.132960903469062</v>
      </c>
      <c r="N199" s="771">
        <f t="shared" ref="N199:N231" si="147">E199*$B$3+F199*$C$3</f>
        <v>737.5491494013728</v>
      </c>
      <c r="O199" s="773">
        <f t="shared" ref="O199:O231" si="148">G199+H199*$B$3+I199*$C$3</f>
        <v>313.30333811016669</v>
      </c>
      <c r="P199" s="771">
        <f t="shared" ref="P199:P231" si="149">J199*$B$3+K199*$C$3</f>
        <v>3778.1317878798554</v>
      </c>
      <c r="Q199" s="471">
        <f t="shared" si="141"/>
        <v>17230.856890422718</v>
      </c>
      <c r="R199" s="517">
        <f t="shared" si="142"/>
        <v>751.6821103048419</v>
      </c>
      <c r="S199" s="514">
        <f t="shared" si="143"/>
        <v>313.30333811016669</v>
      </c>
      <c r="T199" s="471">
        <f t="shared" si="144"/>
        <v>3778.1317878798554</v>
      </c>
      <c r="U199" s="471">
        <f t="shared" si="145"/>
        <v>22073.974126717581</v>
      </c>
    </row>
    <row r="200" spans="1:21">
      <c r="A200">
        <f>'Input data'!A119</f>
        <v>2019</v>
      </c>
      <c r="C200" s="314">
        <f>'4A SWD Case 3'!BN89</f>
        <v>801.90031185312534</v>
      </c>
      <c r="D200" s="3">
        <f>'4B Biological treatment '!T253</f>
        <v>1.2710114381603663</v>
      </c>
      <c r="E200" s="178">
        <f>'4B Biological treatment '!U253</f>
        <v>19.93864219968502</v>
      </c>
      <c r="F200" s="178">
        <f>'4B Biological treatment '!W253</f>
        <v>1.1963185319811012</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16839.906548915631</v>
      </c>
      <c r="M200" s="772">
        <f t="shared" si="146"/>
        <v>26.691240201367691</v>
      </c>
      <c r="N200" s="771">
        <f t="shared" si="147"/>
        <v>789.57023110752675</v>
      </c>
      <c r="O200" s="773">
        <f t="shared" si="148"/>
        <v>307.81392004196488</v>
      </c>
      <c r="P200" s="771">
        <f t="shared" si="149"/>
        <v>3922.0560748079342</v>
      </c>
      <c r="Q200" s="519">
        <f t="shared" si="141"/>
        <v>16839.906548915631</v>
      </c>
      <c r="R200" s="521">
        <f t="shared" si="142"/>
        <v>816.26147130889444</v>
      </c>
      <c r="S200" s="518">
        <f t="shared" si="143"/>
        <v>307.81392004196488</v>
      </c>
      <c r="T200" s="519">
        <f t="shared" si="144"/>
        <v>3922.0560748079342</v>
      </c>
      <c r="U200" s="519">
        <f t="shared" si="145"/>
        <v>21886.038015074424</v>
      </c>
    </row>
    <row r="201" spans="1:21">
      <c r="A201">
        <f>'Input data'!A120</f>
        <v>2020</v>
      </c>
      <c r="C201" s="314">
        <f>'4A SWD Case 3'!BN90</f>
        <v>782.05038813495901</v>
      </c>
      <c r="D201" s="3">
        <f>'4B Biological treatment '!T254</f>
        <v>1.8786794169768795</v>
      </c>
      <c r="E201" s="178">
        <f>'4B Biological treatment '!U254</f>
        <v>19.320728266759907</v>
      </c>
      <c r="F201" s="178">
        <f>'4B Biological treatment '!W254</f>
        <v>1.1592436960055945</v>
      </c>
      <c r="G201" s="952">
        <f>'4C2 Open-burning '!R159</f>
        <v>31.474098064411589</v>
      </c>
      <c r="H201" s="952">
        <f>'4C2 Open-burning '!Z159</f>
        <v>10.590070407435556</v>
      </c>
      <c r="I201" s="952">
        <f>'4C2 Open-burning '!AH159</f>
        <v>0.14743165412255493</v>
      </c>
      <c r="J201" s="987">
        <f>'4D Wastewater treatment and dis'!AV196</f>
        <v>149.45911234524058</v>
      </c>
      <c r="K201" s="770">
        <f>'4D Wastewater treatment and dis'!AW196</f>
        <v>2.9866449441145018</v>
      </c>
      <c r="L201" s="771">
        <f t="shared" si="150"/>
        <v>16423.058150834138</v>
      </c>
      <c r="M201" s="772">
        <f t="shared" si="146"/>
        <v>39.452267756514466</v>
      </c>
      <c r="N201" s="771">
        <f t="shared" si="147"/>
        <v>765.10083936369233</v>
      </c>
      <c r="O201" s="773">
        <f t="shared" si="148"/>
        <v>299.5693893985503</v>
      </c>
      <c r="P201" s="771">
        <f t="shared" si="149"/>
        <v>4064.5012919255478</v>
      </c>
      <c r="Q201" s="519">
        <f t="shared" si="141"/>
        <v>16423.058150834138</v>
      </c>
      <c r="R201" s="521">
        <f t="shared" si="142"/>
        <v>804.55310712020685</v>
      </c>
      <c r="S201" s="518">
        <f t="shared" si="143"/>
        <v>299.5693893985503</v>
      </c>
      <c r="T201" s="519">
        <f t="shared" si="144"/>
        <v>4064.5012919255478</v>
      </c>
      <c r="U201" s="519">
        <f t="shared" si="145"/>
        <v>21591.681939278445</v>
      </c>
    </row>
    <row r="202" spans="1:21">
      <c r="A202">
        <f>'Input data'!A121</f>
        <v>2021</v>
      </c>
      <c r="C202" s="314">
        <f>'4A SWD Case 3'!BN91</f>
        <v>760.92527414565541</v>
      </c>
      <c r="D202" s="3">
        <f>'4B Biological treatment '!T255</f>
        <v>2.899556390409697</v>
      </c>
      <c r="E202" s="178">
        <f>'4B Biological treatment '!U255</f>
        <v>20.576076350119727</v>
      </c>
      <c r="F202" s="178">
        <f>'4B Biological treatment '!W255</f>
        <v>1.2345645810071835</v>
      </c>
      <c r="G202" s="952">
        <f>'4C2 Open-burning '!R160</f>
        <v>28.90780951051277</v>
      </c>
      <c r="H202" s="952">
        <f>'4C2 Open-burning '!Z160</f>
        <v>9.7265928769288372</v>
      </c>
      <c r="I202" s="952">
        <f>'4C2 Open-burning '!AH160</f>
        <v>0.13541058950990786</v>
      </c>
      <c r="J202" s="987">
        <f>'4D Wastewater treatment and dis'!AV197</f>
        <v>155.88802560710414</v>
      </c>
      <c r="K202" s="770">
        <f>'4D Wastewater treatment and dis'!AW197</f>
        <v>3.0338615645529843</v>
      </c>
      <c r="L202" s="771">
        <f t="shared" si="150"/>
        <v>15979.430757058764</v>
      </c>
      <c r="M202" s="772">
        <f t="shared" si="146"/>
        <v>60.890684198603637</v>
      </c>
      <c r="N202" s="771">
        <f t="shared" si="147"/>
        <v>814.81262346474114</v>
      </c>
      <c r="O202" s="773">
        <f t="shared" si="148"/>
        <v>275.14354267408982</v>
      </c>
      <c r="P202" s="771">
        <f t="shared" si="149"/>
        <v>4214.1456227606122</v>
      </c>
      <c r="Q202" s="519">
        <f t="shared" si="141"/>
        <v>15979.430757058764</v>
      </c>
      <c r="R202" s="521">
        <f t="shared" si="142"/>
        <v>875.70330766334473</v>
      </c>
      <c r="S202" s="518">
        <f t="shared" si="143"/>
        <v>275.14354267408982</v>
      </c>
      <c r="T202" s="519">
        <f t="shared" si="144"/>
        <v>4214.1456227606122</v>
      </c>
      <c r="U202" s="519">
        <f t="shared" si="145"/>
        <v>21344.423230156812</v>
      </c>
    </row>
    <row r="203" spans="1:21">
      <c r="A203">
        <f>'Input data'!A122</f>
        <v>2022</v>
      </c>
      <c r="C203" s="314">
        <f>'4A SWD Case 3'!BN92</f>
        <v>735.07585700629136</v>
      </c>
      <c r="D203" s="3">
        <f>'4B Biological treatment '!T256</f>
        <v>3.8345530058712241</v>
      </c>
      <c r="E203" s="178">
        <f>'4B Biological treatment '!U256</f>
        <v>19.172765029356118</v>
      </c>
      <c r="F203" s="178">
        <f>'4B Biological treatment '!W256</f>
        <v>1.150365901761367</v>
      </c>
      <c r="G203" s="952">
        <f>'4C2 Open-burning '!R161</f>
        <v>24.012757033164188</v>
      </c>
      <c r="H203" s="952">
        <f>'4C2 Open-burning '!Z161</f>
        <v>8.0795575821564434</v>
      </c>
      <c r="I203" s="952">
        <f>'4C2 Open-burning '!AH161</f>
        <v>0.11248107832025324</v>
      </c>
      <c r="J203" s="987">
        <f>'4D Wastewater treatment and dis'!AV198</f>
        <v>162.53677945517521</v>
      </c>
      <c r="K203" s="770">
        <f>'4D Wastewater treatment and dis'!AW198</f>
        <v>3.0828473994736778</v>
      </c>
      <c r="L203" s="771">
        <f t="shared" si="150"/>
        <v>15436.592997132118</v>
      </c>
      <c r="M203" s="772">
        <f t="shared" si="146"/>
        <v>80.525613123295699</v>
      </c>
      <c r="N203" s="771">
        <f t="shared" si="147"/>
        <v>759.24149516250225</v>
      </c>
      <c r="O203" s="773">
        <f t="shared" si="148"/>
        <v>228.55260053772801</v>
      </c>
      <c r="P203" s="771">
        <f t="shared" si="149"/>
        <v>4368.9550623955192</v>
      </c>
      <c r="Q203" s="519">
        <f t="shared" si="141"/>
        <v>15436.592997132118</v>
      </c>
      <c r="R203" s="521">
        <f t="shared" si="142"/>
        <v>839.76710828579792</v>
      </c>
      <c r="S203" s="518">
        <f t="shared" si="143"/>
        <v>228.55260053772801</v>
      </c>
      <c r="T203" s="519">
        <f t="shared" si="144"/>
        <v>4368.9550623955192</v>
      </c>
      <c r="U203" s="519">
        <f t="shared" si="145"/>
        <v>20873.867768351163</v>
      </c>
    </row>
    <row r="204" spans="1:21">
      <c r="A204">
        <f>'Input data'!A123</f>
        <v>2023</v>
      </c>
      <c r="C204" s="314">
        <f>'4A SWD Case 3'!BN93</f>
        <v>707.50090468047586</v>
      </c>
      <c r="D204" s="3">
        <f>'4B Biological treatment '!T257</f>
        <v>3.8569981629981296</v>
      </c>
      <c r="E204" s="178">
        <f>'4B Biological treatment '!U257</f>
        <v>19.284990814990646</v>
      </c>
      <c r="F204" s="178">
        <f>'4B Biological treatment '!W257</f>
        <v>1.1570994488994386</v>
      </c>
      <c r="G204" s="952">
        <f>'4C2 Open-burning '!R162</f>
        <v>22.736363068150862</v>
      </c>
      <c r="H204" s="952">
        <f>'4C2 Open-burning '!Z162</f>
        <v>7.650090090206259</v>
      </c>
      <c r="I204" s="952">
        <f>'4C2 Open-burning '!AH162</f>
        <v>0.10650216597179291</v>
      </c>
      <c r="J204" s="987">
        <f>'4D Wastewater treatment and dis'!AV199</f>
        <v>169.3519823715817</v>
      </c>
      <c r="K204" s="770">
        <f>'4D Wastewater treatment and dis'!AW199</f>
        <v>3.132483295366991</v>
      </c>
      <c r="L204" s="771">
        <f t="shared" si="150"/>
        <v>14857.518998289994</v>
      </c>
      <c r="M204" s="772">
        <f t="shared" si="146"/>
        <v>80.996961422960723</v>
      </c>
      <c r="N204" s="771">
        <f t="shared" si="147"/>
        <v>763.6856362736296</v>
      </c>
      <c r="O204" s="773">
        <f t="shared" si="148"/>
        <v>216.40392641373811</v>
      </c>
      <c r="P204" s="771">
        <f t="shared" si="149"/>
        <v>4527.4614513669821</v>
      </c>
      <c r="Q204" s="519">
        <f t="shared" si="141"/>
        <v>14857.518998289994</v>
      </c>
      <c r="R204" s="521">
        <f t="shared" si="142"/>
        <v>844.68259769659028</v>
      </c>
      <c r="S204" s="518">
        <f t="shared" si="143"/>
        <v>216.40392641373811</v>
      </c>
      <c r="T204" s="519">
        <f t="shared" si="144"/>
        <v>4527.4614513669821</v>
      </c>
      <c r="U204" s="519">
        <f t="shared" si="145"/>
        <v>20446.066973767302</v>
      </c>
    </row>
    <row r="205" spans="1:21">
      <c r="A205">
        <f>'Input data'!A124</f>
        <v>2024</v>
      </c>
      <c r="C205" s="314">
        <f>'4A SWD Case 3'!BN94</f>
        <v>681.06036249580302</v>
      </c>
      <c r="D205" s="3">
        <f>'4B Biological treatment '!T258</f>
        <v>3.8810852243621072</v>
      </c>
      <c r="E205" s="178">
        <f>'4B Biological treatment '!U258</f>
        <v>19.405426121810535</v>
      </c>
      <c r="F205" s="178">
        <f>'4B Biological treatment '!W258</f>
        <v>1.1643255673086321</v>
      </c>
      <c r="G205" s="952">
        <f>'4C2 Open-burning '!R163</f>
        <v>21.443198533790639</v>
      </c>
      <c r="H205" s="952">
        <f>'4C2 Open-burning '!Z163</f>
        <v>7.2149798151080748</v>
      </c>
      <c r="I205" s="952">
        <f>'4C2 Open-burning '!AH163</f>
        <v>0.10044469655795363</v>
      </c>
      <c r="J205" s="987">
        <f>'4D Wastewater treatment and dis'!AV200</f>
        <v>176.34450925430923</v>
      </c>
      <c r="K205" s="770">
        <f>'4D Wastewater treatment and dis'!AW200</f>
        <v>3.1829183622350183</v>
      </c>
      <c r="L205" s="771">
        <f t="shared" si="150"/>
        <v>14302.267612411863</v>
      </c>
      <c r="M205" s="772">
        <f t="shared" si="146"/>
        <v>81.502789711604251</v>
      </c>
      <c r="N205" s="771">
        <f t="shared" si="147"/>
        <v>768.45487442369722</v>
      </c>
      <c r="O205" s="773">
        <f t="shared" si="148"/>
        <v>204.09563058402586</v>
      </c>
      <c r="P205" s="771">
        <f t="shared" si="149"/>
        <v>4689.9393866333494</v>
      </c>
      <c r="Q205" s="519">
        <f t="shared" si="141"/>
        <v>14302.267612411863</v>
      </c>
      <c r="R205" s="521">
        <f t="shared" si="142"/>
        <v>849.95766413530146</v>
      </c>
      <c r="S205" s="518">
        <f t="shared" si="143"/>
        <v>204.09563058402586</v>
      </c>
      <c r="T205" s="519">
        <f t="shared" si="144"/>
        <v>4689.9393866333494</v>
      </c>
      <c r="U205" s="519">
        <f t="shared" si="145"/>
        <v>20046.260293764539</v>
      </c>
    </row>
    <row r="206" spans="1:21">
      <c r="A206">
        <f>'Input data'!A125</f>
        <v>2025</v>
      </c>
      <c r="C206" s="314">
        <f>'4A SWD Case 3'!BN95</f>
        <v>655.67199577269707</v>
      </c>
      <c r="D206" s="3">
        <f>'4B Biological treatment '!T259</f>
        <v>3.9038826841200143</v>
      </c>
      <c r="E206" s="178">
        <f>'4B Biological treatment '!U259</f>
        <v>19.51941342060007</v>
      </c>
      <c r="F206" s="178">
        <f>'4B Biological treatment '!W259</f>
        <v>1.1711648052360042</v>
      </c>
      <c r="G206" s="952">
        <f>'4C2 Open-burning '!R164</f>
        <v>20.132501109312408</v>
      </c>
      <c r="H206" s="952">
        <f>'4C2 Open-burning '!Z164</f>
        <v>6.7739702592611444</v>
      </c>
      <c r="I206" s="952">
        <f>'4C2 Open-burning '!AH164</f>
        <v>9.4305099199213233E-2</v>
      </c>
      <c r="J206" s="987">
        <f>'4D Wastewater treatment and dis'!AV201</f>
        <v>183.51830345634633</v>
      </c>
      <c r="K206" s="770">
        <f>'4D Wastewater treatment and dis'!AW201</f>
        <v>3.2341654672625948</v>
      </c>
      <c r="L206" s="771">
        <f t="shared" si="150"/>
        <v>13769.111911226639</v>
      </c>
      <c r="M206" s="772">
        <f t="shared" si="146"/>
        <v>81.981536366520302</v>
      </c>
      <c r="N206" s="771">
        <f t="shared" si="147"/>
        <v>772.96877145576286</v>
      </c>
      <c r="O206" s="773">
        <f t="shared" si="148"/>
        <v>191.62045730555255</v>
      </c>
      <c r="P206" s="771">
        <f t="shared" si="149"/>
        <v>4856.4756674346772</v>
      </c>
      <c r="Q206" s="519">
        <f t="shared" si="141"/>
        <v>13769.111911226639</v>
      </c>
      <c r="R206" s="521">
        <f t="shared" si="142"/>
        <v>854.95030782228321</v>
      </c>
      <c r="S206" s="518">
        <f t="shared" si="143"/>
        <v>191.62045730555255</v>
      </c>
      <c r="T206" s="519">
        <f t="shared" si="144"/>
        <v>4856.4756674346772</v>
      </c>
      <c r="U206" s="519">
        <f t="shared" si="145"/>
        <v>19672.158343789153</v>
      </c>
    </row>
    <row r="207" spans="1:21">
      <c r="A207">
        <f>'Input data'!A126</f>
        <v>2026</v>
      </c>
      <c r="C207" s="314">
        <f>'4A SWD Case 3'!BN96</f>
        <v>631.25707083902319</v>
      </c>
      <c r="D207" s="3">
        <f>'4B Biological treatment '!T260</f>
        <v>3.9236964450524088</v>
      </c>
      <c r="E207" s="178">
        <f>'4B Biological treatment '!U260</f>
        <v>19.618482225262042</v>
      </c>
      <c r="F207" s="178">
        <f>'4B Biological treatment '!W260</f>
        <v>1.1771089335157223</v>
      </c>
      <c r="G207" s="952">
        <f>'4C2 Open-burning '!R165</f>
        <v>18.809454737731077</v>
      </c>
      <c r="H207" s="952">
        <f>'4C2 Open-burning '!Z165</f>
        <v>6.3288056607816365</v>
      </c>
      <c r="I207" s="952">
        <f>'4C2 Open-burning '!AH165</f>
        <v>8.810765663409531E-2</v>
      </c>
      <c r="J207" s="987">
        <f>'4D Wastewater treatment and dis'!AV202</f>
        <v>190.70241786128247</v>
      </c>
      <c r="K207" s="770">
        <f>'4D Wastewater treatment and dis'!AW202</f>
        <v>3.2832252909215254</v>
      </c>
      <c r="L207" s="771">
        <f t="shared" si="150"/>
        <v>13256.398487619486</v>
      </c>
      <c r="M207" s="772">
        <f t="shared" si="146"/>
        <v>82.397625346100583</v>
      </c>
      <c r="N207" s="771">
        <f t="shared" si="147"/>
        <v>776.89189612037671</v>
      </c>
      <c r="O207" s="773">
        <f t="shared" si="148"/>
        <v>179.02774717071497</v>
      </c>
      <c r="P207" s="771">
        <f t="shared" si="149"/>
        <v>5022.5506152726048</v>
      </c>
      <c r="Q207" s="519">
        <f t="shared" si="141"/>
        <v>13256.398487619486</v>
      </c>
      <c r="R207" s="521">
        <f t="shared" si="142"/>
        <v>859.28952146647725</v>
      </c>
      <c r="S207" s="518">
        <f t="shared" si="143"/>
        <v>179.02774717071497</v>
      </c>
      <c r="T207" s="519">
        <f t="shared" si="144"/>
        <v>5022.5506152726048</v>
      </c>
      <c r="U207" s="519">
        <f t="shared" si="145"/>
        <v>19317.266371529284</v>
      </c>
    </row>
    <row r="208" spans="1:21">
      <c r="A208">
        <f>'Input data'!A127</f>
        <v>2027</v>
      </c>
      <c r="C208" s="314">
        <f>'4A SWD Case 3'!BN97</f>
        <v>607.73811163644848</v>
      </c>
      <c r="D208" s="3">
        <f>'4B Biological treatment '!T261</f>
        <v>3.9433688499908826</v>
      </c>
      <c r="E208" s="178">
        <f>'4B Biological treatment '!U261</f>
        <v>19.716844249954413</v>
      </c>
      <c r="F208" s="178">
        <f>'4B Biological treatment '!W261</f>
        <v>1.1830106549972648</v>
      </c>
      <c r="G208" s="952">
        <f>'4C2 Open-burning '!R166</f>
        <v>17.471857887699493</v>
      </c>
      <c r="H208" s="952">
        <f>'4C2 Open-burning '!Z166</f>
        <v>5.8787452717719368</v>
      </c>
      <c r="I208" s="952">
        <f>'4C2 Open-burning '!AH166</f>
        <v>8.1842056401621677E-2</v>
      </c>
      <c r="J208" s="987">
        <f>'4D Wastewater treatment and dis'!AV203</f>
        <v>197.8805345060766</v>
      </c>
      <c r="K208" s="770">
        <f>'4D Wastewater treatment and dis'!AW203</f>
        <v>3.3299712250896238</v>
      </c>
      <c r="L208" s="771">
        <f t="shared" si="150"/>
        <v>12762.500344365419</v>
      </c>
      <c r="M208" s="772">
        <f t="shared" si="146"/>
        <v>82.810745849808541</v>
      </c>
      <c r="N208" s="771">
        <f t="shared" si="147"/>
        <v>780.78703229819473</v>
      </c>
      <c r="O208" s="773">
        <f t="shared" si="148"/>
        <v>166.29654607941288</v>
      </c>
      <c r="P208" s="771">
        <f t="shared" si="149"/>
        <v>5187.7823044053921</v>
      </c>
      <c r="Q208" s="519">
        <f t="shared" si="141"/>
        <v>12762.500344365419</v>
      </c>
      <c r="R208" s="521">
        <f t="shared" si="142"/>
        <v>863.59777814800327</v>
      </c>
      <c r="S208" s="518">
        <f t="shared" si="143"/>
        <v>166.29654607941288</v>
      </c>
      <c r="T208" s="519">
        <f t="shared" si="144"/>
        <v>5187.7823044053921</v>
      </c>
      <c r="U208" s="519">
        <f t="shared" si="145"/>
        <v>18980.176972998226</v>
      </c>
    </row>
    <row r="209" spans="1:21">
      <c r="A209">
        <f>'Input data'!A128</f>
        <v>2028</v>
      </c>
      <c r="C209" s="314">
        <f>'4A SWD Case 3'!BN98</f>
        <v>585.08807860036757</v>
      </c>
      <c r="D209" s="3">
        <f>'4B Biological treatment '!T262</f>
        <v>3.9634761964491112</v>
      </c>
      <c r="E209" s="178">
        <f>'4B Biological treatment '!U262</f>
        <v>19.817380982245552</v>
      </c>
      <c r="F209" s="178">
        <f>'4B Biological treatment '!W262</f>
        <v>1.1890428589347333</v>
      </c>
      <c r="G209" s="952">
        <f>'4C2 Open-burning '!R167</f>
        <v>16.117504712260246</v>
      </c>
      <c r="H209" s="952">
        <f>'4C2 Open-burning '!Z167</f>
        <v>5.423046892263705</v>
      </c>
      <c r="I209" s="952">
        <f>'4C2 Open-burning '!AH167</f>
        <v>7.5497965825538763E-2</v>
      </c>
      <c r="J209" s="987">
        <f>'4D Wastewater treatment and dis'!AV204</f>
        <v>205.03592570635027</v>
      </c>
      <c r="K209" s="770">
        <f>'4D Wastewater treatment and dis'!AW204</f>
        <v>3.3742810888374657</v>
      </c>
      <c r="L209" s="771">
        <f t="shared" si="150"/>
        <v>12286.849650607719</v>
      </c>
      <c r="M209" s="772">
        <f t="shared" si="146"/>
        <v>83.233000125431332</v>
      </c>
      <c r="N209" s="771">
        <f t="shared" si="147"/>
        <v>784.76828689692388</v>
      </c>
      <c r="O209" s="773">
        <f t="shared" si="148"/>
        <v>153.40585885571505</v>
      </c>
      <c r="P209" s="771">
        <f t="shared" si="149"/>
        <v>5351.7815773729699</v>
      </c>
      <c r="Q209" s="519">
        <f t="shared" si="141"/>
        <v>12286.849650607719</v>
      </c>
      <c r="R209" s="521">
        <f t="shared" si="142"/>
        <v>868.0012870223552</v>
      </c>
      <c r="S209" s="518">
        <f t="shared" si="143"/>
        <v>153.40585885571505</v>
      </c>
      <c r="T209" s="519">
        <f t="shared" si="144"/>
        <v>5351.7815773729699</v>
      </c>
      <c r="U209" s="519">
        <f t="shared" si="145"/>
        <v>18660.038373858759</v>
      </c>
    </row>
    <row r="210" spans="1:21">
      <c r="A210">
        <f>'Input data'!A129</f>
        <v>2029</v>
      </c>
      <c r="C210" s="314">
        <f>'4A SWD Case 3'!BN99</f>
        <v>563.24297299719035</v>
      </c>
      <c r="D210" s="3">
        <f>'4B Biological treatment '!T263</f>
        <v>3.9901859551772052</v>
      </c>
      <c r="E210" s="178">
        <f>'4B Biological treatment '!U263</f>
        <v>19.950929775886024</v>
      </c>
      <c r="F210" s="178">
        <f>'4B Biological treatment '!W263</f>
        <v>1.1970557865531615</v>
      </c>
      <c r="G210" s="952">
        <f>'4C2 Open-burning '!R168</f>
        <v>14.744168560360768</v>
      </c>
      <c r="H210" s="952">
        <f>'4C2 Open-burning '!Z168</f>
        <v>4.9609613223475026</v>
      </c>
      <c r="I210" s="952">
        <f>'4C2 Open-burning '!AH168</f>
        <v>6.9064954778598378E-2</v>
      </c>
      <c r="J210" s="987">
        <f>'4D Wastewater treatment and dis'!AV205</f>
        <v>212.15151642125332</v>
      </c>
      <c r="K210" s="770">
        <f>'4D Wastewater treatment and dis'!AW205</f>
        <v>3.4160376549203448</v>
      </c>
      <c r="L210" s="771">
        <f t="shared" si="150"/>
        <v>11828.102432940997</v>
      </c>
      <c r="M210" s="772">
        <f t="shared" si="146"/>
        <v>83.793905058721307</v>
      </c>
      <c r="N210" s="771">
        <f t="shared" si="147"/>
        <v>790.05681912508658</v>
      </c>
      <c r="O210" s="773">
        <f t="shared" si="148"/>
        <v>140.33449231102381</v>
      </c>
      <c r="P210" s="771">
        <f t="shared" si="149"/>
        <v>5514.1535178716267</v>
      </c>
      <c r="Q210" s="519">
        <f t="shared" si="141"/>
        <v>11828.102432940997</v>
      </c>
      <c r="R210" s="521">
        <f t="shared" si="142"/>
        <v>873.85072418380787</v>
      </c>
      <c r="S210" s="518">
        <f t="shared" si="143"/>
        <v>140.33449231102381</v>
      </c>
      <c r="T210" s="519">
        <f t="shared" si="144"/>
        <v>5514.1535178716267</v>
      </c>
      <c r="U210" s="519">
        <f t="shared" si="145"/>
        <v>18356.441167307454</v>
      </c>
    </row>
    <row r="211" spans="1:21">
      <c r="A211">
        <f>'Input data'!A130</f>
        <v>2030</v>
      </c>
      <c r="C211" s="314">
        <f>'4A SWD Case 3'!BN100</f>
        <v>541.97409524253555</v>
      </c>
      <c r="D211" s="3">
        <f>'4B Biological treatment '!T264</f>
        <v>4.0142142994360155</v>
      </c>
      <c r="E211" s="178">
        <f>'4B Biological treatment '!U264</f>
        <v>20.071071497180078</v>
      </c>
      <c r="F211" s="178">
        <f>'4B Biological treatment '!W264</f>
        <v>1.2042642898308045</v>
      </c>
      <c r="G211" s="952">
        <f>'4C2 Open-burning '!R169</f>
        <v>13.349585440445585</v>
      </c>
      <c r="H211" s="952">
        <f>'4C2 Open-burning '!Z169</f>
        <v>4.491726798177857</v>
      </c>
      <c r="I211" s="952">
        <f>'4C2 Open-burning '!AH169</f>
        <v>6.2532418222357194E-2</v>
      </c>
      <c r="J211" s="987">
        <f>'4D Wastewater treatment and dis'!AV206</f>
        <v>219.2099499261966</v>
      </c>
      <c r="K211" s="770">
        <f>'4D Wastewater treatment and dis'!AW206</f>
        <v>3.4551291616770792</v>
      </c>
      <c r="L211" s="771">
        <f t="shared" si="150"/>
        <v>11381.456000093247</v>
      </c>
      <c r="M211" s="772">
        <f t="shared" si="146"/>
        <v>84.298500288156319</v>
      </c>
      <c r="N211" s="771">
        <f t="shared" si="147"/>
        <v>794.81443128833098</v>
      </c>
      <c r="O211" s="773">
        <f t="shared" si="148"/>
        <v>127.06089785111131</v>
      </c>
      <c r="P211" s="771">
        <f t="shared" si="149"/>
        <v>5674.4989885700234</v>
      </c>
      <c r="Q211" s="519">
        <f t="shared" si="141"/>
        <v>11381.456000093247</v>
      </c>
      <c r="R211" s="521">
        <f t="shared" si="142"/>
        <v>879.11293157648731</v>
      </c>
      <c r="S211" s="518">
        <f t="shared" si="143"/>
        <v>127.06089785111131</v>
      </c>
      <c r="T211" s="519">
        <f t="shared" si="144"/>
        <v>5674.4989885700234</v>
      </c>
      <c r="U211" s="519">
        <f t="shared" si="145"/>
        <v>18062.128818090867</v>
      </c>
    </row>
    <row r="212" spans="1:21">
      <c r="A212">
        <f>'Input data'!A131</f>
        <v>2031</v>
      </c>
      <c r="C212" s="314">
        <f>'4A SWD Case 3'!BN101</f>
        <v>521.3249962726095</v>
      </c>
      <c r="D212" s="3">
        <f>'4B Biological treatment '!T265</f>
        <v>4.0426573001203296</v>
      </c>
      <c r="E212" s="178">
        <f>'4B Biological treatment '!U265</f>
        <v>20.213286500601647</v>
      </c>
      <c r="F212" s="178">
        <f>'4B Biological treatment '!W265</f>
        <v>1.2127971900360988</v>
      </c>
      <c r="G212" s="952">
        <f>'4C2 Open-burning '!R170</f>
        <v>11.765107989669922</v>
      </c>
      <c r="H212" s="952">
        <f>'4C2 Open-burning '!Z170</f>
        <v>3.9585986453593502</v>
      </c>
      <c r="I212" s="952">
        <f>'4C2 Open-burning '!AH170</f>
        <v>5.5110374514871767E-2</v>
      </c>
      <c r="J212" s="987">
        <f>'4D Wastewater treatment and dis'!AV207</f>
        <v>221.6453728861629</v>
      </c>
      <c r="K212" s="770">
        <f>'4D Wastewater treatment and dis'!AW207</f>
        <v>3.493515653224704</v>
      </c>
      <c r="L212" s="771">
        <f t="shared" si="150"/>
        <v>10947.824921724799</v>
      </c>
      <c r="M212" s="772">
        <f t="shared" si="146"/>
        <v>84.895803302526929</v>
      </c>
      <c r="N212" s="771">
        <f t="shared" si="147"/>
        <v>800.44614542382521</v>
      </c>
      <c r="O212" s="773">
        <f t="shared" si="148"/>
        <v>111.97989564182652</v>
      </c>
      <c r="P212" s="771">
        <f t="shared" si="149"/>
        <v>5737.542683109079</v>
      </c>
      <c r="Q212" s="519">
        <f t="shared" si="141"/>
        <v>10947.824921724799</v>
      </c>
      <c r="R212" s="521">
        <f t="shared" si="142"/>
        <v>885.34194872635214</v>
      </c>
      <c r="S212" s="518">
        <f t="shared" si="143"/>
        <v>111.97989564182652</v>
      </c>
      <c r="T212" s="519">
        <f t="shared" si="144"/>
        <v>5737.542683109079</v>
      </c>
      <c r="U212" s="519">
        <f t="shared" si="145"/>
        <v>17682.689449202058</v>
      </c>
    </row>
    <row r="213" spans="1:21">
      <c r="A213">
        <f>'Input data'!A132</f>
        <v>2032</v>
      </c>
      <c r="C213" s="314">
        <f>'4A SWD Case 3'!BN102</f>
        <v>501.11017851312886</v>
      </c>
      <c r="D213" s="3">
        <f>'4B Biological treatment '!T266</f>
        <v>4.0724203483170971</v>
      </c>
      <c r="E213" s="178">
        <f>'4B Biological treatment '!U266</f>
        <v>20.362101741585484</v>
      </c>
      <c r="F213" s="178">
        <f>'4B Biological treatment '!W266</f>
        <v>1.2217261044951291</v>
      </c>
      <c r="G213" s="952">
        <f>'4C2 Open-burning '!R171</f>
        <v>10.1939635328708</v>
      </c>
      <c r="H213" s="952">
        <f>'4C2 Open-burning '!Z171</f>
        <v>3.4299566368193717</v>
      </c>
      <c r="I213" s="952">
        <f>'4C2 Open-burning '!AH171</f>
        <v>4.7750785507512924E-2</v>
      </c>
      <c r="J213" s="987">
        <f>'4D Wastewater treatment and dis'!AV208</f>
        <v>224.03392990775248</v>
      </c>
      <c r="K213" s="770">
        <f>'4D Wastewater treatment and dis'!AW208</f>
        <v>3.5311634562664973</v>
      </c>
      <c r="L213" s="771">
        <f t="shared" si="150"/>
        <v>10523.313748775707</v>
      </c>
      <c r="M213" s="772">
        <f t="shared" si="146"/>
        <v>85.520827314659044</v>
      </c>
      <c r="N213" s="771">
        <f t="shared" si="147"/>
        <v>806.33922896678519</v>
      </c>
      <c r="O213" s="773">
        <f t="shared" si="148"/>
        <v>97.02579641340661</v>
      </c>
      <c r="P213" s="771">
        <f t="shared" si="149"/>
        <v>5799.3731995054168</v>
      </c>
      <c r="Q213" s="519">
        <f t="shared" si="141"/>
        <v>10523.313748775707</v>
      </c>
      <c r="R213" s="521">
        <f t="shared" si="142"/>
        <v>891.86005628144426</v>
      </c>
      <c r="S213" s="518">
        <f t="shared" si="143"/>
        <v>97.02579641340661</v>
      </c>
      <c r="T213" s="519">
        <f t="shared" si="144"/>
        <v>5799.3731995054168</v>
      </c>
      <c r="U213" s="519">
        <f t="shared" si="145"/>
        <v>17311.572800975977</v>
      </c>
    </row>
    <row r="214" spans="1:21">
      <c r="A214">
        <f>'Input data'!A133</f>
        <v>2033</v>
      </c>
      <c r="C214" s="314">
        <f>'4A SWD Case 3'!BN103</f>
        <v>481.30510200503619</v>
      </c>
      <c r="D214" s="3">
        <f>'4B Biological treatment '!T267</f>
        <v>4.1074244418269013</v>
      </c>
      <c r="E214" s="178">
        <f>'4B Biological treatment '!U267</f>
        <v>20.537122209134502</v>
      </c>
      <c r="F214" s="178">
        <f>'4B Biological treatment '!W267</f>
        <v>1.2322273325480702</v>
      </c>
      <c r="G214" s="952">
        <f>'4C2 Open-burning '!R172</f>
        <v>10.159140937478856</v>
      </c>
      <c r="H214" s="952">
        <f>'4C2 Open-burning '!Z172</f>
        <v>3.4182398995767151</v>
      </c>
      <c r="I214" s="952">
        <f>'4C2 Open-burning '!AH172</f>
        <v>4.758766874944196E-2</v>
      </c>
      <c r="J214" s="987">
        <f>'4D Wastewater treatment and dis'!AV209</f>
        <v>226.37350704017067</v>
      </c>
      <c r="K214" s="770">
        <f>'4D Wastewater treatment and dis'!AW209</f>
        <v>3.5680392512700192</v>
      </c>
      <c r="L214" s="771">
        <f t="shared" si="150"/>
        <v>10107.40714210576</v>
      </c>
      <c r="M214" s="772">
        <f t="shared" si="146"/>
        <v>86.255913278364929</v>
      </c>
      <c r="N214" s="771">
        <f t="shared" si="147"/>
        <v>813.27003948172626</v>
      </c>
      <c r="O214" s="773">
        <f t="shared" si="148"/>
        <v>96.694356140916881</v>
      </c>
      <c r="P214" s="771">
        <f t="shared" si="149"/>
        <v>5859.9358157372899</v>
      </c>
      <c r="Q214" s="519">
        <f t="shared" si="141"/>
        <v>10107.40714210576</v>
      </c>
      <c r="R214" s="521">
        <f t="shared" si="142"/>
        <v>899.52595276009117</v>
      </c>
      <c r="S214" s="518">
        <f t="shared" si="143"/>
        <v>96.694356140916881</v>
      </c>
      <c r="T214" s="519">
        <f t="shared" si="144"/>
        <v>5859.9358157372899</v>
      </c>
      <c r="U214" s="519">
        <f t="shared" si="145"/>
        <v>16963.563266744059</v>
      </c>
    </row>
    <row r="215" spans="1:21">
      <c r="A215">
        <f>'Input data'!A134</f>
        <v>2034</v>
      </c>
      <c r="C215" s="314">
        <f>'4A SWD Case 3'!BN104</f>
        <v>462.48006389765879</v>
      </c>
      <c r="D215" s="3">
        <f>'4B Biological treatment '!T268</f>
        <v>4.145597084308112</v>
      </c>
      <c r="E215" s="178">
        <f>'4B Biological treatment '!U268</f>
        <v>20.727985421540559</v>
      </c>
      <c r="F215" s="178">
        <f>'4B Biological treatment '!W268</f>
        <v>1.2436791252924335</v>
      </c>
      <c r="G215" s="952">
        <f>'4C2 Open-burning '!R173</f>
        <v>10.125990400822563</v>
      </c>
      <c r="H215" s="952">
        <f>'4C2 Open-burning '!Z173</f>
        <v>3.4070857589079031</v>
      </c>
      <c r="I215" s="952">
        <f>'4C2 Open-burning '!AH173</f>
        <v>4.7432384285236329E-2</v>
      </c>
      <c r="J215" s="987">
        <f>'4D Wastewater treatment and dis'!AV210</f>
        <v>228.66201585416007</v>
      </c>
      <c r="K215" s="770">
        <f>'4D Wastewater treatment and dis'!AW210</f>
        <v>3.604110120966546</v>
      </c>
      <c r="L215" s="771">
        <f t="shared" si="150"/>
        <v>9712.0813418508351</v>
      </c>
      <c r="M215" s="772">
        <f t="shared" si="146"/>
        <v>87.057538770470359</v>
      </c>
      <c r="N215" s="771">
        <f t="shared" si="147"/>
        <v>820.82822269300618</v>
      </c>
      <c r="O215" s="773">
        <f t="shared" si="148"/>
        <v>96.378830466311783</v>
      </c>
      <c r="P215" s="771">
        <f t="shared" si="149"/>
        <v>5919.1764704369907</v>
      </c>
      <c r="Q215" s="519">
        <f t="shared" si="141"/>
        <v>9712.0813418508351</v>
      </c>
      <c r="R215" s="521">
        <f t="shared" si="142"/>
        <v>907.88576146347657</v>
      </c>
      <c r="S215" s="518">
        <f t="shared" si="143"/>
        <v>96.378830466311783</v>
      </c>
      <c r="T215" s="519">
        <f t="shared" si="144"/>
        <v>5919.1764704369907</v>
      </c>
      <c r="U215" s="519">
        <f t="shared" si="145"/>
        <v>16635.522404217612</v>
      </c>
    </row>
    <row r="216" spans="1:21">
      <c r="A216">
        <f>'Input data'!A135</f>
        <v>2035</v>
      </c>
      <c r="C216" s="314">
        <f>'4A SWD Case 3'!BN105</f>
        <v>444.58674795173857</v>
      </c>
      <c r="D216" s="3">
        <f>'4B Biological treatment '!T269</f>
        <v>4.1760603883516829</v>
      </c>
      <c r="E216" s="178">
        <f>'4B Biological treatment '!U269</f>
        <v>20.880301941758411</v>
      </c>
      <c r="F216" s="178">
        <f>'4B Biological treatment '!W269</f>
        <v>1.2528181165055048</v>
      </c>
      <c r="G216" s="952">
        <f>'4C2 Open-burning '!R174</f>
        <v>10.094446054521576</v>
      </c>
      <c r="H216" s="952">
        <f>'4C2 Open-burning '!Z174</f>
        <v>3.3964720521195364</v>
      </c>
      <c r="I216" s="952">
        <f>'4C2 Open-burning '!AH174</f>
        <v>4.7284623572797432E-2</v>
      </c>
      <c r="J216" s="987">
        <f>'4D Wastewater treatment and dis'!AV211</f>
        <v>230.89739651168955</v>
      </c>
      <c r="K216" s="770">
        <f>'4D Wastewater treatment and dis'!AW211</f>
        <v>3.6393435987346821</v>
      </c>
      <c r="L216" s="771">
        <f t="shared" si="150"/>
        <v>9336.3217069865095</v>
      </c>
      <c r="M216" s="772">
        <f t="shared" si="146"/>
        <v>87.697268155385345</v>
      </c>
      <c r="N216" s="771">
        <f t="shared" si="147"/>
        <v>826.85995689363313</v>
      </c>
      <c r="O216" s="773">
        <f t="shared" si="148"/>
        <v>96.07859245659904</v>
      </c>
      <c r="P216" s="771">
        <f t="shared" si="149"/>
        <v>5977.0418423532319</v>
      </c>
      <c r="Q216" s="519">
        <f t="shared" si="141"/>
        <v>9336.3217069865095</v>
      </c>
      <c r="R216" s="521">
        <f t="shared" si="142"/>
        <v>914.55722504901848</v>
      </c>
      <c r="S216" s="518">
        <f t="shared" si="143"/>
        <v>96.07859245659904</v>
      </c>
      <c r="T216" s="519">
        <f t="shared" si="144"/>
        <v>5977.0418423532319</v>
      </c>
      <c r="U216" s="519">
        <f t="shared" si="145"/>
        <v>16323.999366845359</v>
      </c>
    </row>
    <row r="217" spans="1:21">
      <c r="A217">
        <f>'Input data'!A136</f>
        <v>2036</v>
      </c>
      <c r="C217" s="314">
        <f>'4A SWD Case 3'!BN106</f>
        <v>427.57920121230666</v>
      </c>
      <c r="D217" s="3">
        <f>'4B Biological treatment '!T270</f>
        <v>4.2065628371320321</v>
      </c>
      <c r="E217" s="178">
        <f>'4B Biological treatment '!U270</f>
        <v>21.032814185660158</v>
      </c>
      <c r="F217" s="178">
        <f>'4B Biological treatment '!W270</f>
        <v>1.2619688511396094</v>
      </c>
      <c r="G217" s="952">
        <f>'4C2 Open-burning '!R175</f>
        <v>10.064223235545068</v>
      </c>
      <c r="H217" s="952">
        <f>'4C2 Open-burning '!Z175</f>
        <v>3.386302998816805</v>
      </c>
      <c r="I217" s="952">
        <f>'4C2 Open-burning '!AH175</f>
        <v>4.7143053187370193E-2</v>
      </c>
      <c r="J217" s="987">
        <f>'4D Wastewater treatment and dis'!AV212</f>
        <v>233.09403867597584</v>
      </c>
      <c r="K217" s="770">
        <f>'4D Wastewater treatment and dis'!AW212</f>
        <v>3.6739664906342075</v>
      </c>
      <c r="L217" s="771">
        <f t="shared" si="150"/>
        <v>8979.1632254584401</v>
      </c>
      <c r="M217" s="772">
        <f t="shared" si="146"/>
        <v>88.33781957977267</v>
      </c>
      <c r="N217" s="771">
        <f t="shared" si="147"/>
        <v>832.89944175214225</v>
      </c>
      <c r="O217" s="773">
        <f t="shared" si="148"/>
        <v>95.79093269878274</v>
      </c>
      <c r="P217" s="771">
        <f t="shared" si="149"/>
        <v>6033.9044242920972</v>
      </c>
      <c r="Q217" s="519">
        <f t="shared" si="141"/>
        <v>8979.1632254584401</v>
      </c>
      <c r="R217" s="521">
        <f t="shared" si="142"/>
        <v>921.23726133191497</v>
      </c>
      <c r="S217" s="518">
        <f t="shared" si="143"/>
        <v>95.79093269878274</v>
      </c>
      <c r="T217" s="519">
        <f t="shared" si="144"/>
        <v>6033.9044242920972</v>
      </c>
      <c r="U217" s="519">
        <f t="shared" si="145"/>
        <v>16030.095843781235</v>
      </c>
    </row>
    <row r="218" spans="1:21">
      <c r="A218">
        <f>'Input data'!A137</f>
        <v>2037</v>
      </c>
      <c r="C218" s="314">
        <f>'4A SWD Case 3'!BN107</f>
        <v>412.30112983773148</v>
      </c>
      <c r="D218" s="3">
        <f>'4B Biological treatment '!T271</f>
        <v>4.2422519635354483</v>
      </c>
      <c r="E218" s="178">
        <f>'4B Biological treatment '!U271</f>
        <v>21.211259817677238</v>
      </c>
      <c r="F218" s="178">
        <f>'4B Biological treatment '!W271</f>
        <v>1.2726755890606345</v>
      </c>
      <c r="G218" s="952">
        <f>'4C2 Open-burning '!R176</f>
        <v>10.03527415643417</v>
      </c>
      <c r="H218" s="952">
        <f>'4C2 Open-burning '!Z176</f>
        <v>3.3765625199828309</v>
      </c>
      <c r="I218" s="952">
        <f>'4C2 Open-burning '!AH176</f>
        <v>4.7007449281901335E-2</v>
      </c>
      <c r="J218" s="987">
        <f>'4D Wastewater treatment and dis'!AV213</f>
        <v>235.25041077056153</v>
      </c>
      <c r="K218" s="770">
        <f>'4D Wastewater treatment and dis'!AW213</f>
        <v>3.7079546563627162</v>
      </c>
      <c r="L218" s="771">
        <f t="shared" si="150"/>
        <v>8658.3237265923617</v>
      </c>
      <c r="M218" s="772">
        <f t="shared" si="146"/>
        <v>89.087291234244418</v>
      </c>
      <c r="N218" s="771">
        <f t="shared" si="147"/>
        <v>839.96588878001876</v>
      </c>
      <c r="O218" s="773">
        <f t="shared" si="148"/>
        <v>95.515396353463032</v>
      </c>
      <c r="P218" s="771">
        <f t="shared" si="149"/>
        <v>6089.7245696542341</v>
      </c>
      <c r="Q218" s="519">
        <f t="shared" si="141"/>
        <v>8658.3237265923617</v>
      </c>
      <c r="R218" s="521">
        <f t="shared" si="142"/>
        <v>929.05318001426315</v>
      </c>
      <c r="S218" s="518">
        <f t="shared" si="143"/>
        <v>95.515396353463032</v>
      </c>
      <c r="T218" s="519">
        <f t="shared" si="144"/>
        <v>6089.7245696542341</v>
      </c>
      <c r="U218" s="519">
        <f t="shared" si="145"/>
        <v>15772.616872614322</v>
      </c>
    </row>
    <row r="219" spans="1:21">
      <c r="A219">
        <f>'Input data'!A138</f>
        <v>2038</v>
      </c>
      <c r="C219" s="314">
        <f>'4A SWD Case 3'!BN108</f>
        <v>397.67938386143106</v>
      </c>
      <c r="D219" s="3">
        <f>'4B Biological treatment '!T272</f>
        <v>4.2771038275133373</v>
      </c>
      <c r="E219" s="178">
        <f>'4B Biological treatment '!U272</f>
        <v>21.385519137566682</v>
      </c>
      <c r="F219" s="178">
        <f>'4B Biological treatment '!W272</f>
        <v>1.2831311482540011</v>
      </c>
      <c r="G219" s="952">
        <f>'4C2 Open-burning '!R177</f>
        <v>10.007553800291879</v>
      </c>
      <c r="H219" s="952">
        <f>'4C2 Open-burning '!Z177</f>
        <v>3.367235468809981</v>
      </c>
      <c r="I219" s="952">
        <f>'4C2 Open-burning '!AH177</f>
        <v>4.687760098726361E-2</v>
      </c>
      <c r="J219" s="987">
        <f>'4D Wastewater treatment and dis'!AV214</f>
        <v>237.3649979490711</v>
      </c>
      <c r="K219" s="770">
        <f>'4D Wastewater treatment and dis'!AW214</f>
        <v>3.7412842193129237</v>
      </c>
      <c r="L219" s="771">
        <f t="shared" si="150"/>
        <v>8351.2670610900532</v>
      </c>
      <c r="M219" s="772">
        <f t="shared" si="146"/>
        <v>89.819180377780086</v>
      </c>
      <c r="N219" s="771">
        <f t="shared" si="147"/>
        <v>846.86655784764071</v>
      </c>
      <c r="O219" s="773">
        <f t="shared" si="148"/>
        <v>95.251554951353185</v>
      </c>
      <c r="P219" s="771">
        <f t="shared" si="149"/>
        <v>6144.4630649174987</v>
      </c>
      <c r="Q219" s="519">
        <f t="shared" si="141"/>
        <v>8351.2670610900532</v>
      </c>
      <c r="R219" s="521">
        <f t="shared" si="142"/>
        <v>936.68573822542078</v>
      </c>
      <c r="S219" s="518">
        <f t="shared" si="143"/>
        <v>95.251554951353185</v>
      </c>
      <c r="T219" s="519">
        <f t="shared" si="144"/>
        <v>6144.4630649174987</v>
      </c>
      <c r="U219" s="519">
        <f t="shared" si="145"/>
        <v>15527.667419184327</v>
      </c>
    </row>
    <row r="220" spans="1:21">
      <c r="A220">
        <f>'Input data'!A139</f>
        <v>2039</v>
      </c>
      <c r="C220" s="314">
        <f>'4A SWD Case 3'!BN109</f>
        <v>384.22870330196884</v>
      </c>
      <c r="D220" s="3">
        <f>'4B Biological treatment '!T273</f>
        <v>4.3144566052298137</v>
      </c>
      <c r="E220" s="178">
        <f>'4B Biological treatment '!U273</f>
        <v>21.572283026149066</v>
      </c>
      <c r="F220" s="178">
        <f>'4B Biological treatment '!W273</f>
        <v>1.2943369815689438</v>
      </c>
      <c r="G220" s="952">
        <f>'4C2 Open-burning '!R178</f>
        <v>9.9810197518680681</v>
      </c>
      <c r="H220" s="952">
        <f>'4C2 Open-burning '!Z178</f>
        <v>3.3583075738651473</v>
      </c>
      <c r="I220" s="952">
        <f>'4C2 Open-burning '!AH178</f>
        <v>4.6753309621020658E-2</v>
      </c>
      <c r="J220" s="987">
        <f>'4D Wastewater treatment and dis'!AV215</f>
        <v>239.43630384884813</v>
      </c>
      <c r="K220" s="770">
        <f>'4D Wastewater treatment and dis'!AW215</f>
        <v>3.7739315942130265</v>
      </c>
      <c r="L220" s="771">
        <f t="shared" si="150"/>
        <v>8068.802769341346</v>
      </c>
      <c r="M220" s="772">
        <f t="shared" si="146"/>
        <v>90.603588709826084</v>
      </c>
      <c r="N220" s="771">
        <f t="shared" si="147"/>
        <v>854.26240783550293</v>
      </c>
      <c r="O220" s="773">
        <f t="shared" si="148"/>
        <v>94.999004785552572</v>
      </c>
      <c r="P220" s="771">
        <f t="shared" si="149"/>
        <v>6198.0811750318489</v>
      </c>
      <c r="Q220" s="519">
        <f t="shared" si="141"/>
        <v>8068.802769341346</v>
      </c>
      <c r="R220" s="521">
        <f t="shared" si="142"/>
        <v>944.86599654532904</v>
      </c>
      <c r="S220" s="518">
        <f t="shared" si="143"/>
        <v>94.999004785552572</v>
      </c>
      <c r="T220" s="519">
        <f t="shared" si="144"/>
        <v>6198.0811750318489</v>
      </c>
      <c r="U220" s="519">
        <f t="shared" si="145"/>
        <v>15306.748945704076</v>
      </c>
    </row>
    <row r="221" spans="1:21">
      <c r="A221">
        <f>'Input data'!A140</f>
        <v>2040</v>
      </c>
      <c r="C221" s="314">
        <f>'4A SWD Case 3'!BN110</f>
        <v>371.89858870038074</v>
      </c>
      <c r="D221" s="3">
        <f>'4B Biological treatment '!T274</f>
        <v>4.3519355159870168</v>
      </c>
      <c r="E221" s="178">
        <f>'4B Biological treatment '!U274</f>
        <v>21.759677579935079</v>
      </c>
      <c r="F221" s="178">
        <f>'4B Biological treatment '!W274</f>
        <v>1.3055806547961049</v>
      </c>
      <c r="G221" s="952">
        <f>'4C2 Open-burning '!R179</f>
        <v>9.9556320418415236</v>
      </c>
      <c r="H221" s="952">
        <f>'4C2 Open-burning '!Z179</f>
        <v>3.3497653866954162</v>
      </c>
      <c r="I221" s="952">
        <f>'4C2 Open-burning '!AH179</f>
        <v>4.6634387958009463E-2</v>
      </c>
      <c r="J221" s="987">
        <f>'4D Wastewater treatment and dis'!AV216</f>
        <v>241.46285233748353</v>
      </c>
      <c r="K221" s="770">
        <f>'4D Wastewater treatment and dis'!AW216</f>
        <v>3.8058735146550235</v>
      </c>
      <c r="L221" s="771">
        <f t="shared" si="150"/>
        <v>7809.8703627079958</v>
      </c>
      <c r="M221" s="772">
        <f t="shared" si="146"/>
        <v>91.390645835727355</v>
      </c>
      <c r="N221" s="771">
        <f t="shared" si="147"/>
        <v>861.68323216542922</v>
      </c>
      <c r="O221" s="773">
        <f t="shared" si="148"/>
        <v>94.757365429428205</v>
      </c>
      <c r="P221" s="771">
        <f t="shared" si="149"/>
        <v>6250.5406886302117</v>
      </c>
      <c r="Q221" s="519">
        <f t="shared" si="141"/>
        <v>7809.8703627079958</v>
      </c>
      <c r="R221" s="521">
        <f t="shared" si="142"/>
        <v>953.07387800115657</v>
      </c>
      <c r="S221" s="518">
        <f t="shared" si="143"/>
        <v>94.757365429428205</v>
      </c>
      <c r="T221" s="519">
        <f t="shared" si="144"/>
        <v>6250.5406886302117</v>
      </c>
      <c r="U221" s="519">
        <f t="shared" si="145"/>
        <v>15108.242294768792</v>
      </c>
    </row>
    <row r="222" spans="1:21">
      <c r="A222">
        <f>'Input data'!A141</f>
        <v>2041</v>
      </c>
      <c r="C222" s="314">
        <f>'4A SWD Case 3'!BN111</f>
        <v>360.64010258404386</v>
      </c>
      <c r="D222" s="3">
        <f>'4B Biological treatment '!T275</f>
        <v>4.394076999835983</v>
      </c>
      <c r="E222" s="178">
        <f>'4B Biological treatment '!U275</f>
        <v>21.970384999179913</v>
      </c>
      <c r="F222" s="178">
        <f>'4B Biological treatment '!W275</f>
        <v>1.3182230999507949</v>
      </c>
      <c r="G222" s="952">
        <f>'4C2 Open-burning '!R180</f>
        <v>9.9312949766275409</v>
      </c>
      <c r="H222" s="952">
        <f>'4C2 Open-burning '!Z180</f>
        <v>3.3415767093392308</v>
      </c>
      <c r="I222" s="952">
        <f>'4C2 Open-burning '!AH180</f>
        <v>4.6520387748261019E-2</v>
      </c>
      <c r="J222" s="987">
        <f>'4D Wastewater treatment and dis'!AV217</f>
        <v>243.44797282954215</v>
      </c>
      <c r="K222" s="770">
        <f>'4D Wastewater treatment and dis'!AW217</f>
        <v>3.8371624579893204</v>
      </c>
      <c r="L222" s="771">
        <f t="shared" si="150"/>
        <v>7573.4421542649206</v>
      </c>
      <c r="M222" s="772">
        <f t="shared" si="146"/>
        <v>92.275616996555641</v>
      </c>
      <c r="N222" s="771">
        <f t="shared" si="147"/>
        <v>870.02724596752455</v>
      </c>
      <c r="O222" s="773">
        <f t="shared" si="148"/>
        <v>94.525726074712296</v>
      </c>
      <c r="P222" s="771">
        <f t="shared" si="149"/>
        <v>6301.9277913970745</v>
      </c>
      <c r="Q222" s="519">
        <f t="shared" si="141"/>
        <v>7573.4421542649206</v>
      </c>
      <c r="R222" s="521">
        <f t="shared" si="142"/>
        <v>962.30286296408019</v>
      </c>
      <c r="S222" s="518">
        <f t="shared" si="143"/>
        <v>94.525726074712296</v>
      </c>
      <c r="T222" s="519">
        <f t="shared" si="144"/>
        <v>6301.9277913970745</v>
      </c>
      <c r="U222" s="519">
        <f t="shared" si="145"/>
        <v>14932.198534700789</v>
      </c>
    </row>
    <row r="223" spans="1:21">
      <c r="A223">
        <f>'Input data'!A142</f>
        <v>2042</v>
      </c>
      <c r="C223" s="314">
        <f>'4A SWD Case 3'!BN112</f>
        <v>350.1909700318439</v>
      </c>
      <c r="D223" s="3">
        <f>'4B Biological treatment '!T276</f>
        <v>4.4368817695025751</v>
      </c>
      <c r="E223" s="178">
        <f>'4B Biological treatment '!U276</f>
        <v>22.184408847512874</v>
      </c>
      <c r="F223" s="178">
        <f>'4B Biological treatment '!W276</f>
        <v>1.3310645308507723</v>
      </c>
      <c r="G223" s="952">
        <f>'4C2 Open-burning '!R181</f>
        <v>9.9079752127942537</v>
      </c>
      <c r="H223" s="952">
        <f>'4C2 Open-burning '!Z181</f>
        <v>3.3337303227525874</v>
      </c>
      <c r="I223" s="952">
        <f>'4C2 Open-burning '!AH181</f>
        <v>4.6411152803747191E-2</v>
      </c>
      <c r="J223" s="987">
        <f>'4D Wastewater treatment and dis'!AV218</f>
        <v>245.39035148076366</v>
      </c>
      <c r="K223" s="770">
        <f>'4D Wastewater treatment and dis'!AW218</f>
        <v>3.8677777157507212</v>
      </c>
      <c r="L223" s="771">
        <f t="shared" si="150"/>
        <v>7354.0103706687223</v>
      </c>
      <c r="M223" s="772">
        <f t="shared" si="146"/>
        <v>93.174517159554071</v>
      </c>
      <c r="N223" s="771">
        <f t="shared" si="147"/>
        <v>878.50259036150976</v>
      </c>
      <c r="O223" s="773">
        <f t="shared" si="148"/>
        <v>94.30376935976021</v>
      </c>
      <c r="P223" s="771">
        <f t="shared" si="149"/>
        <v>6352.2084729787603</v>
      </c>
      <c r="Q223" s="519">
        <f t="shared" si="141"/>
        <v>7354.0103706687223</v>
      </c>
      <c r="R223" s="521">
        <f t="shared" si="142"/>
        <v>971.67710752106382</v>
      </c>
      <c r="S223" s="518">
        <f t="shared" si="143"/>
        <v>94.30376935976021</v>
      </c>
      <c r="T223" s="519">
        <f t="shared" si="144"/>
        <v>6352.2084729787603</v>
      </c>
      <c r="U223" s="519">
        <f t="shared" si="145"/>
        <v>14772.199720528306</v>
      </c>
    </row>
    <row r="224" spans="1:21">
      <c r="A224">
        <f>'Input data'!A143</f>
        <v>2043</v>
      </c>
      <c r="C224" s="314">
        <f>'4A SWD Case 3'!BN113</f>
        <v>340.51415984978701</v>
      </c>
      <c r="D224" s="3">
        <f>'4B Biological treatment '!T277</f>
        <v>4.480791290629341</v>
      </c>
      <c r="E224" s="178">
        <f>'4B Biological treatment '!U277</f>
        <v>22.403956453146705</v>
      </c>
      <c r="F224" s="178">
        <f>'4B Biological treatment '!W277</f>
        <v>1.3442373871888023</v>
      </c>
      <c r="G224" s="952">
        <f>'4C2 Open-burning '!R182</f>
        <v>9.8856412498174997</v>
      </c>
      <c r="H224" s="952">
        <f>'4C2 Open-burning '!Z182</f>
        <v>3.3262156279735073</v>
      </c>
      <c r="I224" s="952">
        <f>'4C2 Open-burning '!AH182</f>
        <v>4.6306535569028154E-2</v>
      </c>
      <c r="J224" s="987">
        <f>'4D Wastewater treatment and dis'!AV219</f>
        <v>247.28869443502521</v>
      </c>
      <c r="K224" s="770">
        <f>'4D Wastewater treatment and dis'!AW219</f>
        <v>3.8976988945217657</v>
      </c>
      <c r="L224" s="771">
        <f t="shared" si="150"/>
        <v>7150.7973568455272</v>
      </c>
      <c r="M224" s="772">
        <f t="shared" si="146"/>
        <v>94.096617103216161</v>
      </c>
      <c r="N224" s="771">
        <f t="shared" si="147"/>
        <v>887.19667554460943</v>
      </c>
      <c r="O224" s="773">
        <f t="shared" si="148"/>
        <v>94.091195463659886</v>
      </c>
      <c r="P224" s="771">
        <f t="shared" si="149"/>
        <v>6401.3492404372764</v>
      </c>
      <c r="Q224" s="519">
        <f t="shared" si="141"/>
        <v>7150.7973568455272</v>
      </c>
      <c r="R224" s="521">
        <f t="shared" si="142"/>
        <v>981.29329264782564</v>
      </c>
      <c r="S224" s="518">
        <f t="shared" si="143"/>
        <v>94.091195463659886</v>
      </c>
      <c r="T224" s="519">
        <f t="shared" si="144"/>
        <v>6401.3492404372764</v>
      </c>
      <c r="U224" s="519">
        <f t="shared" si="145"/>
        <v>14627.53108539429</v>
      </c>
    </row>
    <row r="225" spans="1:21">
      <c r="A225">
        <f>'Input data'!A144</f>
        <v>2044</v>
      </c>
      <c r="C225" s="314">
        <f>'4A SWD Case 3'!BN114</f>
        <v>331.57447766101325</v>
      </c>
      <c r="D225" s="3">
        <f>'4B Biological treatment '!T278</f>
        <v>4.5264057825135442</v>
      </c>
      <c r="E225" s="178">
        <f>'4B Biological treatment '!U278</f>
        <v>22.632028912567719</v>
      </c>
      <c r="F225" s="178">
        <f>'4B Biological treatment '!W278</f>
        <v>1.3579217347540631</v>
      </c>
      <c r="G225" s="952">
        <f>'4C2 Open-burning '!R183</f>
        <v>9.8642633296948237</v>
      </c>
      <c r="H225" s="952">
        <f>'4C2 Open-burning '!Z183</f>
        <v>3.3190226123452167</v>
      </c>
      <c r="I225" s="952">
        <f>'4C2 Open-burning '!AH183</f>
        <v>4.6206396651022108E-2</v>
      </c>
      <c r="J225" s="987">
        <f>'4D Wastewater treatment and dis'!AV220</f>
        <v>249.1417292491079</v>
      </c>
      <c r="K225" s="770">
        <f>'4D Wastewater treatment and dis'!AW220</f>
        <v>3.9269059383895084</v>
      </c>
      <c r="L225" s="771">
        <f t="shared" si="150"/>
        <v>6963.0640308812781</v>
      </c>
      <c r="M225" s="772">
        <f t="shared" si="146"/>
        <v>95.054521432784426</v>
      </c>
      <c r="N225" s="771">
        <f t="shared" si="147"/>
        <v>896.22834493768164</v>
      </c>
      <c r="O225" s="773">
        <f t="shared" si="148"/>
        <v>93.887721150761223</v>
      </c>
      <c r="P225" s="771">
        <f t="shared" si="149"/>
        <v>6449.3171551320138</v>
      </c>
      <c r="Q225" s="519">
        <f t="shared" si="141"/>
        <v>6963.0640308812781</v>
      </c>
      <c r="R225" s="521">
        <f t="shared" si="142"/>
        <v>991.28286637046608</v>
      </c>
      <c r="S225" s="518">
        <f t="shared" si="143"/>
        <v>93.887721150761223</v>
      </c>
      <c r="T225" s="519">
        <f t="shared" si="144"/>
        <v>6449.3171551320138</v>
      </c>
      <c r="U225" s="519">
        <f t="shared" si="145"/>
        <v>14497.55177353452</v>
      </c>
    </row>
    <row r="226" spans="1:21">
      <c r="A226">
        <f>'Input data'!A145</f>
        <v>2045</v>
      </c>
      <c r="C226" s="314">
        <f>'4A SWD Case 3'!BN115</f>
        <v>323.33858040729092</v>
      </c>
      <c r="D226" s="3">
        <f>'4B Biological treatment '!T279</f>
        <v>4.5739470653302572</v>
      </c>
      <c r="E226" s="178">
        <f>'4B Biological treatment '!U279</f>
        <v>22.869735326651284</v>
      </c>
      <c r="F226" s="178">
        <f>'4B Biological treatment '!W279</f>
        <v>1.3721841195990769</v>
      </c>
      <c r="G226" s="952">
        <f>'4C2 Open-burning '!R184</f>
        <v>9.8438133438837134</v>
      </c>
      <c r="H226" s="952">
        <f>'4C2 Open-burning '!Z184</f>
        <v>3.3121418182037132</v>
      </c>
      <c r="I226" s="952">
        <f>'4C2 Open-burning '!AH184</f>
        <v>4.6110604383083426E-2</v>
      </c>
      <c r="J226" s="987">
        <f>'4D Wastewater treatment and dis'!AV221</f>
        <v>250.94820630354667</v>
      </c>
      <c r="K226" s="770">
        <f>'4D Wastewater treatment and dis'!AW221</f>
        <v>3.9553791511829659</v>
      </c>
      <c r="L226" s="771">
        <f t="shared" si="150"/>
        <v>6790.1101885531098</v>
      </c>
      <c r="M226" s="772">
        <f t="shared" si="146"/>
        <v>96.052888371935396</v>
      </c>
      <c r="N226" s="771">
        <f t="shared" si="147"/>
        <v>905.64151893539088</v>
      </c>
      <c r="O226" s="773">
        <f t="shared" si="148"/>
        <v>93.693078884917554</v>
      </c>
      <c r="P226" s="771">
        <f t="shared" si="149"/>
        <v>6496.079869241199</v>
      </c>
      <c r="Q226" s="519">
        <f t="shared" si="141"/>
        <v>6790.1101885531098</v>
      </c>
      <c r="R226" s="521">
        <f t="shared" si="142"/>
        <v>1001.6944073073263</v>
      </c>
      <c r="S226" s="518">
        <f t="shared" si="143"/>
        <v>93.693078884917554</v>
      </c>
      <c r="T226" s="519">
        <f t="shared" si="144"/>
        <v>6496.079869241199</v>
      </c>
      <c r="U226" s="519">
        <f t="shared" si="145"/>
        <v>14381.577543986554</v>
      </c>
    </row>
    <row r="227" spans="1:21">
      <c r="A227">
        <f>'Input data'!A146</f>
        <v>2046</v>
      </c>
      <c r="C227" s="314">
        <f>'4A SWD Case 3'!BN116</f>
        <v>315.77472923390337</v>
      </c>
      <c r="D227" s="3">
        <f>'4B Biological treatment '!T280</f>
        <v>4.624785204866706</v>
      </c>
      <c r="E227" s="178">
        <f>'4B Biological treatment '!U280</f>
        <v>23.123926024333528</v>
      </c>
      <c r="F227" s="178">
        <f>'4B Biological treatment '!W280</f>
        <v>1.3874355614600116</v>
      </c>
      <c r="G227" s="952">
        <f>'4C2 Open-burning '!R185</f>
        <v>9.8242078659671712</v>
      </c>
      <c r="H227" s="952">
        <f>'4C2 Open-burning '!Z185</f>
        <v>3.3055451751138079</v>
      </c>
      <c r="I227" s="952">
        <f>'4C2 Open-burning '!AH185</f>
        <v>4.6018767977376619E-2</v>
      </c>
      <c r="J227" s="987">
        <f>'4D Wastewater treatment and dis'!AV222</f>
        <v>252.71206376421807</v>
      </c>
      <c r="K227" s="770">
        <f>'4D Wastewater treatment and dis'!AW222</f>
        <v>3.9831806052294589</v>
      </c>
      <c r="L227" s="771">
        <f t="shared" si="150"/>
        <v>6631.269313911971</v>
      </c>
      <c r="M227" s="772">
        <f t="shared" si="146"/>
        <v>97.120489302200824</v>
      </c>
      <c r="N227" s="771">
        <f t="shared" si="147"/>
        <v>915.70747056360767</v>
      </c>
      <c r="O227" s="773">
        <f t="shared" si="148"/>
        <v>93.50647461634388</v>
      </c>
      <c r="P227" s="771">
        <f t="shared" si="149"/>
        <v>6541.7393266697118</v>
      </c>
      <c r="Q227" s="519">
        <f t="shared" si="141"/>
        <v>6631.269313911971</v>
      </c>
      <c r="R227" s="521">
        <f t="shared" si="142"/>
        <v>1012.8279598658085</v>
      </c>
      <c r="S227" s="518">
        <f t="shared" si="143"/>
        <v>93.50647461634388</v>
      </c>
      <c r="T227" s="519">
        <f t="shared" si="144"/>
        <v>6541.7393266697118</v>
      </c>
      <c r="U227" s="519">
        <f t="shared" si="145"/>
        <v>14279.343075063834</v>
      </c>
    </row>
    <row r="228" spans="1:21">
      <c r="A228">
        <f>'Input data'!A147</f>
        <v>2047</v>
      </c>
      <c r="C228" s="314">
        <f>'4A SWD Case 3'!BN117</f>
        <v>308.64368385476723</v>
      </c>
      <c r="D228" s="3">
        <f>'4B Biological treatment '!T281</f>
        <v>4.6563532603704525</v>
      </c>
      <c r="E228" s="178">
        <f>'4B Biological treatment '!U281</f>
        <v>23.281766301852258</v>
      </c>
      <c r="F228" s="178">
        <f>'4B Biological treatment '!W281</f>
        <v>1.3969059781111355</v>
      </c>
      <c r="G228" s="952">
        <f>'4C2 Open-burning '!R186</f>
        <v>9.8054236034744484</v>
      </c>
      <c r="H228" s="952">
        <f>'4C2 Open-burning '!Z186</f>
        <v>3.2992248458722018</v>
      </c>
      <c r="I228" s="952">
        <f>'4C2 Open-burning '!AH186</f>
        <v>4.5930778326804048E-2</v>
      </c>
      <c r="J228" s="987">
        <f>'4D Wastewater treatment and dis'!AV223</f>
        <v>254.43220934683089</v>
      </c>
      <c r="K228" s="770">
        <f>'4D Wastewater treatment and dis'!AW223</f>
        <v>4.0102930842333384</v>
      </c>
      <c r="L228" s="771">
        <f t="shared" si="150"/>
        <v>6481.5173609501117</v>
      </c>
      <c r="M228" s="772">
        <f t="shared" si="146"/>
        <v>97.783418467779498</v>
      </c>
      <c r="N228" s="771">
        <f t="shared" si="147"/>
        <v>921.95794555334942</v>
      </c>
      <c r="O228" s="773">
        <f t="shared" si="148"/>
        <v>93.327686648099942</v>
      </c>
      <c r="P228" s="771">
        <f t="shared" si="149"/>
        <v>6586.2672523957835</v>
      </c>
      <c r="Q228" s="519">
        <f t="shared" si="141"/>
        <v>6481.5173609501117</v>
      </c>
      <c r="R228" s="521">
        <f t="shared" si="142"/>
        <v>1019.7413640211289</v>
      </c>
      <c r="S228" s="518">
        <f t="shared" si="143"/>
        <v>93.327686648099942</v>
      </c>
      <c r="T228" s="519">
        <f t="shared" si="144"/>
        <v>6586.2672523957835</v>
      </c>
      <c r="U228" s="519">
        <f t="shared" si="145"/>
        <v>14180.853664015125</v>
      </c>
    </row>
    <row r="229" spans="1:21">
      <c r="A229">
        <f>'Input data'!A148</f>
        <v>2048</v>
      </c>
      <c r="C229" s="314">
        <f>'4A SWD Case 3'!BN118</f>
        <v>301.91473789480585</v>
      </c>
      <c r="D229" s="3">
        <f>'4B Biological treatment '!T282</f>
        <v>4.6857618312286196</v>
      </c>
      <c r="E229" s="178">
        <f>'4B Biological treatment '!U282</f>
        <v>23.428809156143096</v>
      </c>
      <c r="F229" s="178">
        <f>'4B Biological treatment '!W282</f>
        <v>1.4057285493685856</v>
      </c>
      <c r="G229" s="952">
        <f>'4C2 Open-burning '!R187</f>
        <v>9.78743850485853</v>
      </c>
      <c r="H229" s="952">
        <f>'4C2 Open-burning '!Z187</f>
        <v>3.2931734108084401</v>
      </c>
      <c r="I229" s="952">
        <f>'4C2 Open-burning '!AH187</f>
        <v>4.584653213702998E-2</v>
      </c>
      <c r="J229" s="987">
        <f>'4D Wastewater treatment and dis'!AV224</f>
        <v>256.10757196318667</v>
      </c>
      <c r="K229" s="770">
        <f>'4D Wastewater treatment and dis'!AW224</f>
        <v>4.0366997059861536</v>
      </c>
      <c r="L229" s="771">
        <f t="shared" si="150"/>
        <v>6340.209495790923</v>
      </c>
      <c r="M229" s="772">
        <f t="shared" si="146"/>
        <v>98.400998455801016</v>
      </c>
      <c r="N229" s="771">
        <f t="shared" si="147"/>
        <v>927.78084258326658</v>
      </c>
      <c r="O229" s="773">
        <f t="shared" si="148"/>
        <v>93.156505094315065</v>
      </c>
      <c r="P229" s="771">
        <f t="shared" si="149"/>
        <v>6629.6359200826273</v>
      </c>
      <c r="Q229" s="519">
        <f t="shared" si="141"/>
        <v>6340.209495790923</v>
      </c>
      <c r="R229" s="521">
        <f t="shared" si="142"/>
        <v>1026.1818410390676</v>
      </c>
      <c r="S229" s="518">
        <f t="shared" si="143"/>
        <v>93.156505094315065</v>
      </c>
      <c r="T229" s="519">
        <f t="shared" si="144"/>
        <v>6629.6359200826273</v>
      </c>
      <c r="U229" s="519">
        <f t="shared" si="145"/>
        <v>14089.183762006935</v>
      </c>
    </row>
    <row r="230" spans="1:21">
      <c r="A230">
        <f>'Input data'!A149</f>
        <v>2049</v>
      </c>
      <c r="C230" s="314">
        <f>'4A SWD Case 3'!BN119</f>
        <v>295.5668013904106</v>
      </c>
      <c r="D230" s="3">
        <f>'4B Biological treatment '!T283</f>
        <v>4.7150638414144481</v>
      </c>
      <c r="E230" s="178">
        <f>'4B Biological treatment '!U283</f>
        <v>23.575319207072237</v>
      </c>
      <c r="F230" s="178">
        <f>'4B Biological treatment '!W283</f>
        <v>1.4145191524243343</v>
      </c>
      <c r="G230" s="952">
        <f>'4C2 Open-burning '!R188</f>
        <v>9.770231699628761</v>
      </c>
      <c r="H230" s="952">
        <f>'4C2 Open-burning '!Z188</f>
        <v>3.2873838476413759</v>
      </c>
      <c r="I230" s="952">
        <f>'4C2 Open-burning '!AH188</f>
        <v>4.5765931646048544E-2</v>
      </c>
      <c r="J230" s="987">
        <f>'4D Wastewater treatment and dis'!AV225</f>
        <v>257.73710282612279</v>
      </c>
      <c r="K230" s="770">
        <f>'4D Wastewater treatment and dis'!AW225</f>
        <v>4.0623839397824701</v>
      </c>
      <c r="L230" s="771">
        <f t="shared" si="150"/>
        <v>6206.9028291986224</v>
      </c>
      <c r="M230" s="772">
        <f t="shared" si="146"/>
        <v>99.016340669703411</v>
      </c>
      <c r="N230" s="771">
        <f t="shared" si="147"/>
        <v>933.58264060006059</v>
      </c>
      <c r="O230" s="773">
        <f t="shared" si="148"/>
        <v>92.992731310372719</v>
      </c>
      <c r="P230" s="771">
        <f t="shared" si="149"/>
        <v>6671.8181806811444</v>
      </c>
      <c r="Q230" s="519">
        <f t="shared" si="141"/>
        <v>6206.9028291986224</v>
      </c>
      <c r="R230" s="521">
        <f t="shared" si="142"/>
        <v>1032.598981269764</v>
      </c>
      <c r="S230" s="518">
        <f t="shared" si="143"/>
        <v>92.992731310372719</v>
      </c>
      <c r="T230" s="519">
        <f t="shared" si="144"/>
        <v>6671.8181806811444</v>
      </c>
      <c r="U230" s="519">
        <f t="shared" si="145"/>
        <v>14004.312722459903</v>
      </c>
    </row>
    <row r="231" spans="1:21">
      <c r="A231">
        <f>'Input data'!A150</f>
        <v>2050</v>
      </c>
      <c r="C231" s="314">
        <f>'4A SWD Case 3'!BN120</f>
        <v>289.58075007079321</v>
      </c>
      <c r="D231" s="3">
        <f>'4B Biological treatment '!T284</f>
        <v>4.7437134393206453</v>
      </c>
      <c r="E231" s="178">
        <f>'4B Biological treatment '!U284</f>
        <v>23.718567196603225</v>
      </c>
      <c r="F231" s="178">
        <f>'4B Biological treatment '!W284</f>
        <v>1.4231140317961932</v>
      </c>
      <c r="G231" s="952">
        <f>'4C2 Open-burning '!R189</f>
        <v>9.7537834425971788</v>
      </c>
      <c r="H231" s="952">
        <f>'4C2 Open-burning '!Z189</f>
        <v>3.2818495127197651</v>
      </c>
      <c r="I231" s="952">
        <f>'4C2 Open-burning '!AH189</f>
        <v>4.5688884363021195E-2</v>
      </c>
      <c r="J231" s="987">
        <f>'4D Wastewater treatment and dis'!AV226</f>
        <v>259.3197765377094</v>
      </c>
      <c r="K231" s="770">
        <f>'4D Wastewater treatment and dis'!AW226</f>
        <v>4.0873296235717493</v>
      </c>
      <c r="L231" s="771">
        <f t="shared" si="150"/>
        <v>6081.1957514866572</v>
      </c>
      <c r="M231" s="772">
        <f t="shared" si="146"/>
        <v>99.617982225733556</v>
      </c>
      <c r="N231" s="771">
        <f t="shared" si="147"/>
        <v>939.25526098548767</v>
      </c>
      <c r="O231" s="773">
        <f t="shared" si="148"/>
        <v>92.836177362248833</v>
      </c>
      <c r="P231" s="771">
        <f t="shared" si="149"/>
        <v>6712.7874905991393</v>
      </c>
      <c r="Q231" s="471">
        <f t="shared" si="141"/>
        <v>6081.1957514866572</v>
      </c>
      <c r="R231" s="517">
        <f t="shared" si="142"/>
        <v>1038.8732432112213</v>
      </c>
      <c r="S231" s="514">
        <f t="shared" si="143"/>
        <v>92.836177362248833</v>
      </c>
      <c r="T231" s="471">
        <f t="shared" si="144"/>
        <v>6712.7874905991393</v>
      </c>
      <c r="U231" s="471">
        <f t="shared" si="145"/>
        <v>13925.692662659267</v>
      </c>
    </row>
    <row r="232" spans="1:21">
      <c r="E232" s="515"/>
    </row>
    <row r="233" spans="1:21">
      <c r="E233" s="515"/>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810</v>
      </c>
    </row>
    <row r="4" spans="63:152" ht="31.5">
      <c r="DU4" s="1109" t="s">
        <v>628</v>
      </c>
      <c r="EV4" s="1684"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8" t="s">
        <v>743</v>
      </c>
      <c r="C1" s="1779"/>
      <c r="D1" s="1779"/>
      <c r="E1" s="1779"/>
      <c r="F1" s="1780"/>
      <c r="H1" s="1778" t="s">
        <v>744</v>
      </c>
      <c r="I1" s="1779"/>
      <c r="J1" s="1779"/>
      <c r="K1" s="1779"/>
      <c r="L1" s="1780"/>
      <c r="M1" s="1772" t="s">
        <v>747</v>
      </c>
    </row>
    <row r="2" spans="1:13">
      <c r="B2" s="1767" t="s">
        <v>518</v>
      </c>
      <c r="C2" s="1768"/>
      <c r="D2" s="1768"/>
      <c r="E2" s="1768"/>
      <c r="F2" s="1769"/>
      <c r="H2" s="1767" t="s">
        <v>518</v>
      </c>
      <c r="I2" s="1768"/>
      <c r="J2" s="1768"/>
      <c r="K2" s="1768"/>
      <c r="L2" s="1769"/>
      <c r="M2" s="1773"/>
    </row>
    <row r="3" spans="1:13">
      <c r="B3" s="509" t="s">
        <v>187</v>
      </c>
      <c r="C3" s="512" t="s">
        <v>194</v>
      </c>
      <c r="D3" s="512" t="s">
        <v>513</v>
      </c>
      <c r="E3" s="512" t="s">
        <v>517</v>
      </c>
      <c r="F3" s="513">
        <v>4</v>
      </c>
      <c r="H3" s="509" t="s">
        <v>187</v>
      </c>
      <c r="I3" s="512" t="s">
        <v>194</v>
      </c>
      <c r="J3" s="512" t="s">
        <v>513</v>
      </c>
      <c r="K3" s="512" t="s">
        <v>517</v>
      </c>
      <c r="L3" s="513">
        <v>4</v>
      </c>
      <c r="M3" s="1773"/>
    </row>
    <row r="4" spans="1:13" ht="75">
      <c r="B4" s="509" t="s">
        <v>233</v>
      </c>
      <c r="C4" s="512" t="s">
        <v>512</v>
      </c>
      <c r="D4" s="512" t="s">
        <v>38</v>
      </c>
      <c r="E4" s="512" t="s">
        <v>193</v>
      </c>
      <c r="F4" s="513" t="s">
        <v>627</v>
      </c>
      <c r="H4" s="509" t="s">
        <v>233</v>
      </c>
      <c r="I4" s="512" t="s">
        <v>512</v>
      </c>
      <c r="J4" s="512" t="s">
        <v>38</v>
      </c>
      <c r="K4" s="512" t="s">
        <v>193</v>
      </c>
      <c r="L4" s="513" t="s">
        <v>627</v>
      </c>
      <c r="M4" s="1773"/>
    </row>
    <row r="5" spans="1:13" ht="15.75" thickBot="1">
      <c r="B5" s="1764" t="s">
        <v>515</v>
      </c>
      <c r="C5" s="1765"/>
      <c r="D5" s="1765"/>
      <c r="E5" s="1765"/>
      <c r="F5" s="1766"/>
      <c r="H5" s="1764" t="s">
        <v>515</v>
      </c>
      <c r="I5" s="1765"/>
      <c r="J5" s="1765"/>
      <c r="K5" s="1765"/>
      <c r="L5" s="1766"/>
      <c r="M5" s="1774"/>
    </row>
    <row r="7" spans="1:13">
      <c r="A7" s="413">
        <v>2000</v>
      </c>
      <c r="B7" s="471">
        <f>'Output data (results)'!Q10</f>
        <v>15699.590857197203</v>
      </c>
      <c r="C7" s="471">
        <f>'Output data (results)'!R10</f>
        <v>317.6894945273184</v>
      </c>
      <c r="D7" s="471">
        <f>'Output data (results)'!S10</f>
        <v>252.83335953932928</v>
      </c>
      <c r="E7" s="471">
        <f>'Output data (results)'!T10</f>
        <v>2831.8730929925982</v>
      </c>
      <c r="F7" s="471">
        <f>'Output data (results)'!U10</f>
        <v>19101.986804256449</v>
      </c>
      <c r="H7" s="471">
        <v>10533.924430337305</v>
      </c>
      <c r="I7" s="471">
        <v>0</v>
      </c>
      <c r="J7" s="471">
        <v>280.4959266912</v>
      </c>
      <c r="K7" s="471">
        <v>2743.4280331618288</v>
      </c>
      <c r="L7" s="471">
        <v>13557.848390190333</v>
      </c>
      <c r="M7" s="1412">
        <f>(F7-L7)/L7</f>
        <v>0.40892465046869314</v>
      </c>
    </row>
    <row r="8" spans="1:13">
      <c r="A8" s="53">
        <v>2001</v>
      </c>
      <c r="B8" s="519">
        <f>'Output data (results)'!Q11</f>
        <v>16195.23027442346</v>
      </c>
      <c r="C8" s="519">
        <f>'Output data (results)'!R11</f>
        <v>325.32074120309005</v>
      </c>
      <c r="D8" s="519">
        <f>'Output data (results)'!S11</f>
        <v>258.06241311161995</v>
      </c>
      <c r="E8" s="519">
        <f>'Output data (results)'!T11</f>
        <v>2890.4413774158538</v>
      </c>
      <c r="F8" s="519">
        <f>'Output data (results)'!U11</f>
        <v>19669.054806154025</v>
      </c>
      <c r="H8" s="519">
        <v>10964.910265635064</v>
      </c>
      <c r="I8" s="519">
        <v>0</v>
      </c>
      <c r="J8" s="519">
        <v>286.29709244776791</v>
      </c>
      <c r="K8" s="519">
        <v>2800.1671129385845</v>
      </c>
      <c r="L8" s="519">
        <v>14051.374471021418</v>
      </c>
      <c r="M8" s="1412">
        <f t="shared" ref="M8:M24" si="0">(F8-L8)/L8</f>
        <v>0.39979578842753938</v>
      </c>
    </row>
    <row r="9" spans="1:13">
      <c r="A9" s="53">
        <v>2002</v>
      </c>
      <c r="B9" s="519">
        <f>'Output data (results)'!Q12</f>
        <v>16696.515596720052</v>
      </c>
      <c r="C9" s="519">
        <f>'Output data (results)'!R12</f>
        <v>333.8224538634463</v>
      </c>
      <c r="D9" s="519">
        <f>'Output data (results)'!S12</f>
        <v>261.64230363418824</v>
      </c>
      <c r="E9" s="519">
        <f>'Output data (results)'!T12</f>
        <v>2930.5381259825444</v>
      </c>
      <c r="F9" s="519">
        <f>'Output data (results)'!U12</f>
        <v>20222.51848020023</v>
      </c>
      <c r="H9" s="519">
        <v>11393.849070741173</v>
      </c>
      <c r="I9" s="519">
        <v>0</v>
      </c>
      <c r="J9" s="519">
        <v>290.26865977341839</v>
      </c>
      <c r="K9" s="519">
        <v>2839.0115598626717</v>
      </c>
      <c r="L9" s="519">
        <v>14523.129290377263</v>
      </c>
      <c r="M9" s="1412">
        <f t="shared" si="0"/>
        <v>0.39243534061211371</v>
      </c>
    </row>
    <row r="10" spans="1:13">
      <c r="A10" s="53">
        <v>2003</v>
      </c>
      <c r="B10" s="519">
        <f>'Output data (results)'!Q13</f>
        <v>17206.223024529128</v>
      </c>
      <c r="C10" s="519">
        <f>'Output data (results)'!R13</f>
        <v>341.08063599266143</v>
      </c>
      <c r="D10" s="519">
        <f>'Output data (results)'!S13</f>
        <v>264.99234564808432</v>
      </c>
      <c r="E10" s="519">
        <f>'Output data (results)'!T13</f>
        <v>2968.0604444646974</v>
      </c>
      <c r="F10" s="519">
        <f>'Output data (results)'!U13</f>
        <v>20780.356450634568</v>
      </c>
      <c r="H10" s="519">
        <v>11815.503726588919</v>
      </c>
      <c r="I10" s="519">
        <v>0</v>
      </c>
      <c r="J10" s="519">
        <v>293.98523080207673</v>
      </c>
      <c r="K10" s="519">
        <v>2875.3619813020655</v>
      </c>
      <c r="L10" s="519">
        <v>14984.85093869306</v>
      </c>
      <c r="M10" s="1412">
        <f t="shared" si="0"/>
        <v>0.3867576351378092</v>
      </c>
    </row>
    <row r="11" spans="1:13">
      <c r="A11" s="53">
        <v>2004</v>
      </c>
      <c r="B11" s="519">
        <f>'Output data (results)'!Q14</f>
        <v>17653.011273218937</v>
      </c>
      <c r="C11" s="519">
        <f>'Output data (results)'!R14</f>
        <v>351.33417334640478</v>
      </c>
      <c r="D11" s="519">
        <f>'Output data (results)'!S14</f>
        <v>268.1470164296091</v>
      </c>
      <c r="E11" s="519">
        <f>'Output data (results)'!T14</f>
        <v>3003.3944973749908</v>
      </c>
      <c r="F11" s="519">
        <f>'Output data (results)'!U14</f>
        <v>21275.886960369939</v>
      </c>
      <c r="H11" s="519">
        <v>12229.217124216619</v>
      </c>
      <c r="I11" s="519">
        <v>0</v>
      </c>
      <c r="J11" s="519">
        <v>297.485054978292</v>
      </c>
      <c r="K11" s="519">
        <v>2909.5924810794709</v>
      </c>
      <c r="L11" s="519">
        <v>15436.294660274381</v>
      </c>
      <c r="M11" s="1412">
        <f t="shared" si="0"/>
        <v>0.37830272281105559</v>
      </c>
    </row>
    <row r="12" spans="1:13">
      <c r="A12" s="53">
        <v>2005</v>
      </c>
      <c r="B12" s="519">
        <f>'Output data (results)'!Q15</f>
        <v>18046.724983933738</v>
      </c>
      <c r="C12" s="519">
        <f>'Output data (results)'!R15</f>
        <v>363.30579004481376</v>
      </c>
      <c r="D12" s="519">
        <f>'Output data (results)'!S15</f>
        <v>271.20974780766511</v>
      </c>
      <c r="E12" s="519">
        <f>'Output data (results)'!T15</f>
        <v>3037.6987782514689</v>
      </c>
      <c r="F12" s="519">
        <f>'Output data (results)'!U15</f>
        <v>21718.939300037688</v>
      </c>
      <c r="H12" s="519">
        <v>12635.361530682268</v>
      </c>
      <c r="I12" s="519">
        <v>0</v>
      </c>
      <c r="J12" s="519">
        <v>300.88288063571031</v>
      </c>
      <c r="K12" s="519">
        <v>2942.8253706630003</v>
      </c>
      <c r="L12" s="519">
        <v>15879.069781980979</v>
      </c>
      <c r="M12" s="1412">
        <f t="shared" si="0"/>
        <v>0.36777151295623067</v>
      </c>
    </row>
    <row r="13" spans="1:13">
      <c r="A13" s="53">
        <v>2006</v>
      </c>
      <c r="B13" s="519">
        <f>'Output data (results)'!Q16</f>
        <v>18390.195075359468</v>
      </c>
      <c r="C13" s="519">
        <f>'Output data (results)'!R16</f>
        <v>376.47550160082596</v>
      </c>
      <c r="D13" s="519">
        <f>'Output data (results)'!S16</f>
        <v>274.27247918572107</v>
      </c>
      <c r="E13" s="519">
        <f>'Output data (results)'!T16</f>
        <v>3072.0030591279478</v>
      </c>
      <c r="F13" s="519">
        <f>'Output data (results)'!U16</f>
        <v>22112.946115273964</v>
      </c>
      <c r="H13" s="519">
        <v>13034.366247930175</v>
      </c>
      <c r="I13" s="519">
        <v>0</v>
      </c>
      <c r="J13" s="519">
        <v>304.28070629312867</v>
      </c>
      <c r="K13" s="519">
        <v>2976.0582602465283</v>
      </c>
      <c r="L13" s="519">
        <v>16314.705214469832</v>
      </c>
      <c r="M13" s="1412">
        <f t="shared" si="0"/>
        <v>0.35539967315263282</v>
      </c>
    </row>
    <row r="14" spans="1:13">
      <c r="A14" s="53">
        <v>2007</v>
      </c>
      <c r="B14" s="519">
        <f>'Output data (results)'!Q17</f>
        <v>18683.341889219231</v>
      </c>
      <c r="C14" s="519">
        <f>'Output data (results)'!R17</f>
        <v>389.73702491738641</v>
      </c>
      <c r="D14" s="519">
        <f>'Output data (results)'!S17</f>
        <v>277.29498707475938</v>
      </c>
      <c r="E14" s="519">
        <f>'Output data (results)'!T17</f>
        <v>3105.8568147396318</v>
      </c>
      <c r="F14" s="519">
        <f>'Output data (results)'!U17</f>
        <v>22456.230715951009</v>
      </c>
      <c r="H14" s="519">
        <v>13426.83686526205</v>
      </c>
      <c r="I14" s="519">
        <v>0</v>
      </c>
      <c r="J14" s="519">
        <v>307.63390759857356</v>
      </c>
      <c r="K14" s="519">
        <v>3008.8546953702357</v>
      </c>
      <c r="L14" s="519">
        <v>16743.325468230862</v>
      </c>
      <c r="M14" s="1412">
        <f t="shared" si="0"/>
        <v>0.34120493318725331</v>
      </c>
    </row>
    <row r="15" spans="1:13">
      <c r="A15" s="53">
        <v>2008</v>
      </c>
      <c r="B15" s="519">
        <f>'Output data (results)'!Q18</f>
        <v>18922.774617419884</v>
      </c>
      <c r="C15" s="519">
        <f>'Output data (results)'!R18</f>
        <v>398.75625295109984</v>
      </c>
      <c r="D15" s="519">
        <f>'Output data (results)'!S18</f>
        <v>280.37495709096584</v>
      </c>
      <c r="E15" s="519">
        <f>'Output data (results)'!T18</f>
        <v>3140.3541778724511</v>
      </c>
      <c r="F15" s="519">
        <f>'Output data (results)'!U18</f>
        <v>22742.260005334403</v>
      </c>
      <c r="H15" s="519">
        <v>13813.037752763516</v>
      </c>
      <c r="I15" s="519">
        <v>0</v>
      </c>
      <c r="J15" s="519">
        <v>311.05085797826627</v>
      </c>
      <c r="K15" s="519">
        <v>3042.274636865116</v>
      </c>
      <c r="L15" s="519">
        <v>17166.363247606896</v>
      </c>
      <c r="M15" s="1412">
        <f t="shared" si="0"/>
        <v>0.32481526094380087</v>
      </c>
    </row>
    <row r="16" spans="1:13">
      <c r="A16" s="53">
        <v>2009</v>
      </c>
      <c r="B16" s="519">
        <f>'Output data (results)'!Q19</f>
        <v>19097.901734560917</v>
      </c>
      <c r="C16" s="519">
        <f>'Output data (results)'!R19</f>
        <v>396.97179035172871</v>
      </c>
      <c r="D16" s="519">
        <f>'Output data (results)'!S19</f>
        <v>283.40321119272096</v>
      </c>
      <c r="E16" s="519">
        <f>'Output data (results)'!T19</f>
        <v>3174.2722942362484</v>
      </c>
      <c r="F16" s="519">
        <f>'Output data (results)'!U19</f>
        <v>22952.549030341619</v>
      </c>
      <c r="H16" s="519">
        <v>14192.753023342679</v>
      </c>
      <c r="I16" s="519">
        <v>0</v>
      </c>
      <c r="J16" s="519">
        <v>314.41043419113589</v>
      </c>
      <c r="K16" s="519">
        <v>3075.1334226259405</v>
      </c>
      <c r="L16" s="519">
        <v>17582.296880159753</v>
      </c>
      <c r="M16" s="1412">
        <f t="shared" si="0"/>
        <v>0.30543518783611123</v>
      </c>
    </row>
    <row r="17" spans="1:13">
      <c r="A17" s="53">
        <v>2010</v>
      </c>
      <c r="B17" s="519">
        <f>'Output data (results)'!Q20</f>
        <v>19193.274593841717</v>
      </c>
      <c r="C17" s="519">
        <f>'Output data (results)'!R20</f>
        <v>456.79851130612758</v>
      </c>
      <c r="D17" s="519">
        <f>'Output data (results)'!S20</f>
        <v>289.10958635758124</v>
      </c>
      <c r="E17" s="519">
        <f>'Output data (results)'!T20</f>
        <v>3209.670707898656</v>
      </c>
      <c r="F17" s="519">
        <f>'Output data (results)'!U20</f>
        <v>23148.853399404081</v>
      </c>
      <c r="H17" s="519">
        <v>14563.494113324392</v>
      </c>
      <c r="I17" s="519">
        <v>0</v>
      </c>
      <c r="J17" s="519">
        <v>317.91663327477596</v>
      </c>
      <c r="K17" s="519">
        <v>3109.4262730404635</v>
      </c>
      <c r="L17" s="519">
        <v>17990.837019639632</v>
      </c>
      <c r="M17" s="1412">
        <f t="shared" si="0"/>
        <v>0.28670241268561986</v>
      </c>
    </row>
    <row r="18" spans="1:13">
      <c r="A18" s="53">
        <v>2011</v>
      </c>
      <c r="B18" s="519">
        <f>'Output data (results)'!Q21</f>
        <v>19170.808594730344</v>
      </c>
      <c r="C18" s="519">
        <f>'Output data (results)'!R21</f>
        <v>487.61891597202572</v>
      </c>
      <c r="D18" s="519">
        <f>'Output data (results)'!S21</f>
        <v>301.9056170360725</v>
      </c>
      <c r="E18" s="519">
        <f>'Output data (results)'!T21</f>
        <v>3332.0204976663595</v>
      </c>
      <c r="F18" s="519">
        <f>'Output data (results)'!U21</f>
        <v>23292.353625404801</v>
      </c>
      <c r="H18" s="519">
        <v>14935.214484849848</v>
      </c>
      <c r="I18" s="519">
        <v>0</v>
      </c>
      <c r="J18" s="519">
        <v>330.03533228932076</v>
      </c>
      <c r="K18" s="519">
        <v>3227.9548342004782</v>
      </c>
      <c r="L18" s="519">
        <v>18493.204651339649</v>
      </c>
      <c r="M18" s="1412">
        <f t="shared" si="0"/>
        <v>0.25950877982186293</v>
      </c>
    </row>
    <row r="19" spans="1:13">
      <c r="A19" s="53">
        <v>2012</v>
      </c>
      <c r="B19" s="519">
        <f>'Output data (results)'!Q22</f>
        <v>19051.284639763846</v>
      </c>
      <c r="C19" s="519">
        <f>'Output data (results)'!R22</f>
        <v>538.64744356540064</v>
      </c>
      <c r="D19" s="519">
        <f>'Output data (results)'!S22</f>
        <v>306.05640080876935</v>
      </c>
      <c r="E19" s="519">
        <f>'Output data (results)'!T22</f>
        <v>3367.704214952827</v>
      </c>
      <c r="F19" s="519">
        <f>'Output data (results)'!U22</f>
        <v>23263.692699090843</v>
      </c>
      <c r="H19" s="519">
        <v>15332.055571910652</v>
      </c>
      <c r="I19" s="519">
        <v>0</v>
      </c>
      <c r="J19" s="519">
        <v>337.75534518075358</v>
      </c>
      <c r="K19" s="519">
        <v>3303.4614557495461</v>
      </c>
      <c r="L19" s="519">
        <v>18973.272372840955</v>
      </c>
      <c r="M19" s="1412">
        <f t="shared" si="0"/>
        <v>0.22612969665640573</v>
      </c>
    </row>
    <row r="20" spans="1:13">
      <c r="A20" s="53">
        <v>2013</v>
      </c>
      <c r="B20" s="519">
        <f>'Output data (results)'!Q23</f>
        <v>18819.509349126125</v>
      </c>
      <c r="C20" s="519">
        <f>'Output data (results)'!R23</f>
        <v>589.15519434167379</v>
      </c>
      <c r="D20" s="519">
        <f>'Output data (results)'!S23</f>
        <v>310.6538874859516</v>
      </c>
      <c r="E20" s="519">
        <f>'Output data (results)'!T23</f>
        <v>3417.8382529883984</v>
      </c>
      <c r="F20" s="519">
        <f>'Output data (results)'!U23</f>
        <v>23137.15668394215</v>
      </c>
      <c r="H20" s="519">
        <v>15737.951382982099</v>
      </c>
      <c r="I20" s="519">
        <v>0</v>
      </c>
      <c r="J20" s="519">
        <v>339.09407573996157</v>
      </c>
      <c r="K20" s="519">
        <v>3316.555089544182</v>
      </c>
      <c r="L20" s="519">
        <v>19393.600548266244</v>
      </c>
      <c r="M20" s="1412">
        <f t="shared" si="0"/>
        <v>0.19303048582232318</v>
      </c>
    </row>
    <row r="21" spans="1:13">
      <c r="A21" s="53">
        <v>2014</v>
      </c>
      <c r="B21" s="519">
        <f>'Output data (results)'!Q24</f>
        <v>18556.493934212805</v>
      </c>
      <c r="C21" s="519">
        <f>'Output data (results)'!R24</f>
        <v>635.23910612615396</v>
      </c>
      <c r="D21" s="519">
        <f>'Output data (results)'!S24</f>
        <v>314.51894299876597</v>
      </c>
      <c r="E21" s="519">
        <f>'Output data (results)'!T24</f>
        <v>3469.8404041167237</v>
      </c>
      <c r="F21" s="519">
        <f>'Output data (results)'!U24</f>
        <v>22976.09238745445</v>
      </c>
      <c r="H21" s="519">
        <v>16159.429496771412</v>
      </c>
      <c r="I21" s="519">
        <v>0</v>
      </c>
      <c r="J21" s="519">
        <v>344.61474556983836</v>
      </c>
      <c r="K21" s="519">
        <v>3370.550741287776</v>
      </c>
      <c r="L21" s="519">
        <v>19874.594983629024</v>
      </c>
      <c r="M21" s="1412">
        <f t="shared" si="0"/>
        <v>0.156053363924154</v>
      </c>
    </row>
    <row r="22" spans="1:13">
      <c r="A22" s="53">
        <v>2015</v>
      </c>
      <c r="B22" s="519">
        <f>'Output data (results)'!Q25</f>
        <v>18263.974243063207</v>
      </c>
      <c r="C22" s="519">
        <f>'Output data (results)'!R25</f>
        <v>677.38176547650767</v>
      </c>
      <c r="D22" s="519">
        <f>'Output data (results)'!S25</f>
        <v>317.61605794264813</v>
      </c>
      <c r="E22" s="519">
        <f>'Output data (results)'!T25</f>
        <v>3523.7828087751991</v>
      </c>
      <c r="F22" s="519">
        <f>'Output data (results)'!U25</f>
        <v>22782.75487525756</v>
      </c>
      <c r="H22" s="519">
        <v>16573.286536721545</v>
      </c>
      <c r="I22" s="519">
        <v>0</v>
      </c>
      <c r="J22" s="519">
        <v>350.33941243730874</v>
      </c>
      <c r="K22" s="519">
        <v>3426.5416134191241</v>
      </c>
      <c r="L22" s="519">
        <v>20350.167562577979</v>
      </c>
      <c r="M22" s="1412">
        <f t="shared" si="0"/>
        <v>0.11953647581521037</v>
      </c>
    </row>
    <row r="23" spans="1:13">
      <c r="A23" s="53">
        <v>2016</v>
      </c>
      <c r="B23" s="519">
        <f>'Output data (results)'!Q26</f>
        <v>17944.000999950382</v>
      </c>
      <c r="C23" s="519">
        <f>'Output data (results)'!R26</f>
        <v>715.43001879258736</v>
      </c>
      <c r="D23" s="519">
        <f>'Output data (results)'!S26</f>
        <v>319.90690368827416</v>
      </c>
      <c r="E23" s="519">
        <f>'Output data (results)'!T26</f>
        <v>3579.7412011442502</v>
      </c>
      <c r="F23" s="519">
        <f>'Output data (results)'!U26</f>
        <v>22559.079123575495</v>
      </c>
      <c r="H23" s="519">
        <v>16975.940539472325</v>
      </c>
      <c r="I23" s="519">
        <v>0</v>
      </c>
      <c r="J23" s="519">
        <v>354.44485281887989</v>
      </c>
      <c r="K23" s="519">
        <v>3466.6954237226737</v>
      </c>
      <c r="L23" s="519">
        <v>20797.08081601388</v>
      </c>
      <c r="M23" s="1412">
        <f t="shared" si="0"/>
        <v>8.4723347625060202E-2</v>
      </c>
    </row>
    <row r="24" spans="1:13">
      <c r="A24" s="413">
        <v>2017</v>
      </c>
      <c r="B24" s="471">
        <f>'Output data (results)'!Q27</f>
        <v>17598.553672728915</v>
      </c>
      <c r="C24" s="471">
        <f>'Output data (results)'!R27</f>
        <v>751.39711693352467</v>
      </c>
      <c r="D24" s="471">
        <f>'Output data (results)'!S27</f>
        <v>321.35014174830235</v>
      </c>
      <c r="E24" s="471">
        <f>'Output data (results)'!T27</f>
        <v>3637.7950868788384</v>
      </c>
      <c r="F24" s="471">
        <f>'Output data (results)'!U27</f>
        <v>22309.09601828958</v>
      </c>
      <c r="H24" s="471">
        <v>17365.956871268652</v>
      </c>
      <c r="I24" s="471">
        <v>0</v>
      </c>
      <c r="J24" s="471">
        <v>360.18226950119993</v>
      </c>
      <c r="K24" s="471">
        <v>3522.810997128257</v>
      </c>
      <c r="L24" s="471">
        <v>21248.950137898111</v>
      </c>
      <c r="M24" s="1412">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6" customWidth="1"/>
    <col min="7" max="7" width="11.85546875" style="1226" customWidth="1"/>
    <col min="8" max="8" width="13.85546875" style="1226" customWidth="1"/>
    <col min="9" max="9" width="11.42578125" style="1226" bestFit="1" customWidth="1"/>
    <col min="10" max="10" width="16.42578125" customWidth="1"/>
    <col min="11" max="11" width="10.140625" customWidth="1"/>
    <col min="12" max="12" width="25.28515625" customWidth="1"/>
    <col min="13" max="13" width="17.28515625" customWidth="1"/>
    <col min="14" max="14" width="15.5703125" style="1226" customWidth="1"/>
    <col min="15" max="15" width="11.85546875" style="1226" customWidth="1"/>
    <col min="16" max="16" width="13.85546875" style="1226" customWidth="1"/>
    <col min="17" max="17" width="12.42578125" style="1226"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5" t="s">
        <v>483</v>
      </c>
      <c r="B2" s="410"/>
    </row>
    <row r="3" spans="1:54" ht="31.9" customHeight="1" thickBot="1">
      <c r="B3" s="1789"/>
      <c r="C3" s="1789"/>
      <c r="E3" s="1227"/>
      <c r="J3" s="1227"/>
      <c r="K3" s="1227"/>
      <c r="M3" s="1227"/>
      <c r="R3" s="1227"/>
      <c r="S3" s="1227"/>
      <c r="T3" s="1227"/>
      <c r="U3" s="1227"/>
      <c r="V3" s="1227"/>
      <c r="W3" s="1227"/>
      <c r="X3" s="1227"/>
      <c r="AL3" s="545" t="s">
        <v>522</v>
      </c>
    </row>
    <row r="4" spans="1:54" ht="50.45" customHeight="1" thickBot="1">
      <c r="A4" s="1787" t="s">
        <v>217</v>
      </c>
      <c r="B4" s="524" t="s">
        <v>354</v>
      </c>
      <c r="C4" s="1352" t="s">
        <v>484</v>
      </c>
      <c r="D4" s="1790" t="s">
        <v>481</v>
      </c>
      <c r="E4" s="1791"/>
      <c r="F4" s="1791"/>
      <c r="G4" s="1791"/>
      <c r="H4" s="1791"/>
      <c r="I4" s="1791"/>
      <c r="J4" s="1791"/>
      <c r="K4" s="1792"/>
      <c r="L4" s="1790" t="s">
        <v>730</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9"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6"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28" t="s">
        <v>491</v>
      </c>
      <c r="AI5" s="1229"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3" t="s">
        <v>731</v>
      </c>
      <c r="BA5" s="1154" t="s">
        <v>732</v>
      </c>
      <c r="BB5" s="1155" t="s">
        <v>733</v>
      </c>
    </row>
    <row r="6" spans="1:54" ht="15.6" customHeight="1">
      <c r="A6" s="632">
        <f>'Input data'!A50</f>
        <v>1950</v>
      </c>
      <c r="B6" s="1649">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28.06789123869763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1">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0">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28.06789123869763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1">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0">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28.06789123869763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1">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0">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28.06789123869763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1">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0">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28.06789123869763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1">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0">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28.06789123869763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1">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0">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28.06789123869763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1">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0">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28.06789123869763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1">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0">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28.06789123869763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1">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0">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28.06789123869763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1">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0">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28.06789123869763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1">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0">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28.06789123869763</v>
      </c>
      <c r="AB17" s="236">
        <f>'Input data'!L61</f>
        <v>16829.35262096622</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1">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14887.864982248273</v>
      </c>
      <c r="AT17" s="775">
        <f t="shared" si="12"/>
        <v>1169.4822604950132</v>
      </c>
      <c r="AU17" s="775">
        <f t="shared" si="13"/>
        <v>325.98566735873112</v>
      </c>
      <c r="AV17" s="419">
        <f t="shared" si="14"/>
        <v>0</v>
      </c>
      <c r="AW17" s="775">
        <f t="shared" si="15"/>
        <v>446.01971086420332</v>
      </c>
      <c r="AX17" s="530">
        <f t="shared" si="16"/>
        <v>16829.35262096622</v>
      </c>
      <c r="AZ17" s="684">
        <f t="shared" si="22"/>
        <v>21.256545797372222</v>
      </c>
      <c r="BA17" s="417">
        <f t="shared" si="17"/>
        <v>0.13299085848410139</v>
      </c>
      <c r="BB17" s="205">
        <f>'Input data'!D61/10^6</f>
        <v>0</v>
      </c>
    </row>
    <row r="18" spans="1:54">
      <c r="A18" s="542">
        <f>'Input data'!A62</f>
        <v>1962</v>
      </c>
      <c r="B18" s="1230">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28.06789123869763</v>
      </c>
      <c r="AB18" s="236">
        <f>'Input data'!L62</f>
        <v>17869.050351534835</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1">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15807.619876193017</v>
      </c>
      <c r="AT18" s="775">
        <f t="shared" si="12"/>
        <v>1241.7315073651589</v>
      </c>
      <c r="AU18" s="775">
        <f t="shared" si="13"/>
        <v>346.12468079460916</v>
      </c>
      <c r="AV18" s="419">
        <f t="shared" si="14"/>
        <v>0</v>
      </c>
      <c r="AW18" s="775">
        <f t="shared" si="15"/>
        <v>473.57428718205091</v>
      </c>
      <c r="AX18" s="530">
        <f t="shared" si="16"/>
        <v>17869.050351534835</v>
      </c>
      <c r="AZ18" s="684">
        <f t="shared" si="22"/>
        <v>22.415549527662836</v>
      </c>
      <c r="BA18" s="417">
        <f t="shared" si="17"/>
        <v>0.13252988988297007</v>
      </c>
      <c r="BB18" s="205">
        <f>'Input data'!D62/10^6</f>
        <v>0</v>
      </c>
    </row>
    <row r="19" spans="1:54">
      <c r="A19" s="542">
        <f>'Input data'!A63</f>
        <v>1963</v>
      </c>
      <c r="B19" s="1230">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28.06789123869763</v>
      </c>
      <c r="AB19" s="236">
        <f>'Input data'!L63</f>
        <v>19186.644932813691</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1">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16973.212556388185</v>
      </c>
      <c r="AT19" s="775">
        <f t="shared" si="12"/>
        <v>1333.291980547609</v>
      </c>
      <c r="AU19" s="775">
        <f t="shared" si="13"/>
        <v>371.64657450972084</v>
      </c>
      <c r="AV19" s="419">
        <f t="shared" si="14"/>
        <v>0</v>
      </c>
      <c r="AW19" s="775">
        <f t="shared" si="15"/>
        <v>508.49382136817917</v>
      </c>
      <c r="AX19" s="530">
        <f t="shared" si="16"/>
        <v>19186.644932813691</v>
      </c>
      <c r="AZ19" s="684">
        <f t="shared" si="22"/>
        <v>23.852450108663692</v>
      </c>
      <c r="BA19" s="417">
        <f t="shared" si="17"/>
        <v>0.1319190857652229</v>
      </c>
      <c r="BB19" s="205">
        <f>'Input data'!D63/10^6</f>
        <v>0</v>
      </c>
    </row>
    <row r="20" spans="1:54">
      <c r="A20" s="542">
        <f>'Input data'!A64</f>
        <v>1964</v>
      </c>
      <c r="B20" s="1230">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28.06789123869763</v>
      </c>
      <c r="AB20" s="236">
        <f>'Input data'!L64</f>
        <v>20710.02265008535</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1">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18320.848575580698</v>
      </c>
      <c r="AT20" s="775">
        <f t="shared" si="12"/>
        <v>1439.1524528133752</v>
      </c>
      <c r="AU20" s="775">
        <f t="shared" si="13"/>
        <v>401.15450110611005</v>
      </c>
      <c r="AV20" s="419">
        <f t="shared" si="14"/>
        <v>0</v>
      </c>
      <c r="AW20" s="775">
        <f t="shared" si="15"/>
        <v>548.86712058516741</v>
      </c>
      <c r="AX20" s="530">
        <f t="shared" si="16"/>
        <v>20710.02265008535</v>
      </c>
      <c r="AZ20" s="684">
        <f t="shared" si="22"/>
        <v>25.495133825657348</v>
      </c>
      <c r="BA20" s="417">
        <f t="shared" si="17"/>
        <v>0.13124843087709409</v>
      </c>
      <c r="BB20" s="205">
        <f>'Input data'!D64/10^6</f>
        <v>0</v>
      </c>
    </row>
    <row r="21" spans="1:54">
      <c r="A21" s="542">
        <f>'Input data'!A65</f>
        <v>1965</v>
      </c>
      <c r="B21" s="1230">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28.06789123869763</v>
      </c>
      <c r="AB21" s="236">
        <f>'Input data'!L65</f>
        <v>21978.047804167603</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1">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19442.590315340341</v>
      </c>
      <c r="AT21" s="775">
        <f t="shared" si="12"/>
        <v>1527.2683154350423</v>
      </c>
      <c r="AU21" s="775">
        <f t="shared" si="13"/>
        <v>425.71623175558227</v>
      </c>
      <c r="AV21" s="419">
        <f t="shared" si="14"/>
        <v>0</v>
      </c>
      <c r="AW21" s="775">
        <f t="shared" si="15"/>
        <v>582.47294163663889</v>
      </c>
      <c r="AX21" s="530">
        <f t="shared" si="16"/>
        <v>21978.047804167603</v>
      </c>
      <c r="AZ21" s="684">
        <f t="shared" si="22"/>
        <v>26.882464979461606</v>
      </c>
      <c r="BA21" s="417">
        <f t="shared" si="17"/>
        <v>0.1308042594521214</v>
      </c>
      <c r="BB21" s="205">
        <f>'Input data'!D65/10^6</f>
        <v>0</v>
      </c>
    </row>
    <row r="22" spans="1:54">
      <c r="A22" s="542">
        <f>'Input data'!A66</f>
        <v>1966</v>
      </c>
      <c r="B22" s="1230">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28.06789123869763</v>
      </c>
      <c r="AB22" s="236">
        <f>'Input data'!L66</f>
        <v>22953.50131678519</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1">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20305.512408625036</v>
      </c>
      <c r="AT22" s="775">
        <f t="shared" si="12"/>
        <v>1595.0531913382677</v>
      </c>
      <c r="AU22" s="775">
        <f t="shared" si="13"/>
        <v>444.61083046355122</v>
      </c>
      <c r="AV22" s="419">
        <f t="shared" si="14"/>
        <v>0</v>
      </c>
      <c r="AW22" s="775">
        <f t="shared" si="15"/>
        <v>608.32488635833602</v>
      </c>
      <c r="AX22" s="530">
        <f t="shared" si="16"/>
        <v>22953.501316785194</v>
      </c>
      <c r="AZ22" s="684">
        <f t="shared" si="22"/>
        <v>28.012025147145192</v>
      </c>
      <c r="BA22" s="417">
        <f t="shared" si="17"/>
        <v>0.13064723649961199</v>
      </c>
      <c r="BB22" s="205">
        <f>'Input data'!D66/10^6</f>
        <v>0</v>
      </c>
    </row>
    <row r="23" spans="1:54">
      <c r="A23" s="542">
        <f>'Input data'!A67</f>
        <v>1967</v>
      </c>
      <c r="B23" s="1230">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28.06789123869763</v>
      </c>
      <c r="AB23" s="236">
        <f>'Input data'!L67</f>
        <v>24605.367470166071</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1">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21766.814029320914</v>
      </c>
      <c r="AT23" s="775">
        <f t="shared" si="12"/>
        <v>1709.8424055522703</v>
      </c>
      <c r="AU23" s="775">
        <f t="shared" si="13"/>
        <v>476.60758651977147</v>
      </c>
      <c r="AV23" s="419">
        <f t="shared" si="14"/>
        <v>0</v>
      </c>
      <c r="AW23" s="775">
        <f t="shared" si="15"/>
        <v>652.1034487731157</v>
      </c>
      <c r="AX23" s="530">
        <f t="shared" si="16"/>
        <v>24605.367470166071</v>
      </c>
      <c r="AZ23" s="684">
        <f t="shared" si="22"/>
        <v>29.819626339767673</v>
      </c>
      <c r="BA23" s="417">
        <f t="shared" si="17"/>
        <v>0.13016277167729648</v>
      </c>
      <c r="BB23" s="205">
        <f>'Input data'!D67/10^6</f>
        <v>0</v>
      </c>
    </row>
    <row r="24" spans="1:54">
      <c r="A24" s="542">
        <f>'Input data'!A68</f>
        <v>1968</v>
      </c>
      <c r="B24" s="1230">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28.06789123869763</v>
      </c>
      <c r="AB24" s="236">
        <f>'Input data'!L68</f>
        <v>25627.337829321325</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1">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22670.886637794767</v>
      </c>
      <c r="AT24" s="775">
        <f t="shared" si="12"/>
        <v>1780.8597662732536</v>
      </c>
      <c r="AU24" s="775">
        <f t="shared" si="13"/>
        <v>496.40321960520743</v>
      </c>
      <c r="AV24" s="419">
        <f t="shared" si="14"/>
        <v>0</v>
      </c>
      <c r="AW24" s="775">
        <f t="shared" si="15"/>
        <v>679.18820564809766</v>
      </c>
      <c r="AX24" s="530">
        <f t="shared" si="16"/>
        <v>25627.337829321325</v>
      </c>
      <c r="AZ24" s="684">
        <f t="shared" si="22"/>
        <v>30.998465076698125</v>
      </c>
      <c r="BA24" s="417">
        <f t="shared" si="17"/>
        <v>0.13002826530374947</v>
      </c>
      <c r="BB24" s="205">
        <f>'Input data'!D68/10^6</f>
        <v>0</v>
      </c>
    </row>
    <row r="25" spans="1:54">
      <c r="A25" s="542">
        <f>'Input data'!A69</f>
        <v>1969</v>
      </c>
      <c r="B25" s="1230">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28.06789123869763</v>
      </c>
      <c r="AB25" s="236">
        <f>'Input data'!L69</f>
        <v>26835.879670948296</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1">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23740.007249191585</v>
      </c>
      <c r="AT25" s="775">
        <f t="shared" si="12"/>
        <v>1864.8420962345335</v>
      </c>
      <c r="AU25" s="775">
        <f t="shared" si="13"/>
        <v>519.81275457941126</v>
      </c>
      <c r="AV25" s="419">
        <f t="shared" si="14"/>
        <v>0</v>
      </c>
      <c r="AW25" s="775">
        <f t="shared" si="15"/>
        <v>711.21757094276859</v>
      </c>
      <c r="AX25" s="530">
        <f t="shared" si="16"/>
        <v>26835.879670948299</v>
      </c>
      <c r="AZ25" s="684">
        <f t="shared" si="22"/>
        <v>32.365008634633902</v>
      </c>
      <c r="BA25" s="417">
        <f t="shared" si="17"/>
        <v>0.12982224914340312</v>
      </c>
      <c r="BB25" s="205">
        <f>'Input data'!D69/10^6</f>
        <v>0</v>
      </c>
    </row>
    <row r="26" spans="1:54">
      <c r="A26" s="542">
        <f>'Input data'!A70</f>
        <v>1970</v>
      </c>
      <c r="B26" s="1230">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28.06789123869763</v>
      </c>
      <c r="AB26" s="236">
        <f>'Input data'!L70</f>
        <v>28244.407546137089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1">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24986.042869327033</v>
      </c>
      <c r="AT26" s="775">
        <f t="shared" si="12"/>
        <v>1962.7215809981878</v>
      </c>
      <c r="AU26" s="775">
        <f t="shared" si="13"/>
        <v>547.09603217945198</v>
      </c>
      <c r="AV26" s="419">
        <f t="shared" si="14"/>
        <v>0</v>
      </c>
      <c r="AW26" s="775">
        <f t="shared" si="15"/>
        <v>748.54706363241712</v>
      </c>
      <c r="AX26" s="530">
        <f t="shared" si="16"/>
        <v>28244.407546137089</v>
      </c>
      <c r="AZ26" s="684">
        <f t="shared" si="22"/>
        <v>33.932671564665085</v>
      </c>
      <c r="BA26" s="417">
        <f t="shared" si="17"/>
        <v>0.12955117524826223</v>
      </c>
      <c r="BB26" s="205">
        <f>'Input data'!D70/10^6</f>
        <v>0</v>
      </c>
    </row>
    <row r="27" spans="1:54">
      <c r="A27" s="542">
        <f>'Input data'!A71</f>
        <v>1971</v>
      </c>
      <c r="B27" s="1230">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28.06789123869763</v>
      </c>
      <c r="AB27" s="236">
        <f>'Input data'!L71</f>
        <v>29452.977392882538</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1">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26055.188255082801</v>
      </c>
      <c r="AT27" s="775">
        <f t="shared" si="12"/>
        <v>2046.7058570527015</v>
      </c>
      <c r="AU27" s="775">
        <f t="shared" si="13"/>
        <v>570.50610961464304</v>
      </c>
      <c r="AV27" s="419">
        <f t="shared" si="14"/>
        <v>0</v>
      </c>
      <c r="AW27" s="775">
        <f t="shared" si="15"/>
        <v>780.57717113239607</v>
      </c>
      <c r="AX27" s="530">
        <f t="shared" si="16"/>
        <v>29452.977392882542</v>
      </c>
      <c r="AZ27" s="684">
        <f t="shared" si="22"/>
        <v>41.356191861482536</v>
      </c>
      <c r="BA27" s="417">
        <f t="shared" si="17"/>
        <v>0.13972350381954612</v>
      </c>
      <c r="BB27" s="205">
        <f>'Input data'!D71/10^6</f>
        <v>0</v>
      </c>
    </row>
    <row r="28" spans="1:54">
      <c r="A28" s="542">
        <f>'Input data'!A72</f>
        <v>1972</v>
      </c>
      <c r="B28" s="1230">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28.06789123869763</v>
      </c>
      <c r="AB28" s="236">
        <f>'Input data'!L72</f>
        <v>29940.354082724269</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1">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26486.339620038998</v>
      </c>
      <c r="AT28" s="775">
        <f t="shared" si="12"/>
        <v>2080.5739686661332</v>
      </c>
      <c r="AU28" s="775">
        <f t="shared" si="13"/>
        <v>579.94662815813194</v>
      </c>
      <c r="AV28" s="419">
        <f t="shared" si="14"/>
        <v>0</v>
      </c>
      <c r="AW28" s="775">
        <f t="shared" si="15"/>
        <v>793.4938658610065</v>
      </c>
      <c r="AX28" s="530">
        <f t="shared" si="16"/>
        <v>29940.354082724272</v>
      </c>
      <c r="AZ28" s="684">
        <f t="shared" si="22"/>
        <v>42.119530164524271</v>
      </c>
      <c r="BA28" s="417">
        <f t="shared" si="17"/>
        <v>0.13983654746476915</v>
      </c>
      <c r="BB28" s="205">
        <f>'Input data'!D72/10^6</f>
        <v>0</v>
      </c>
    </row>
    <row r="29" spans="1:54">
      <c r="A29" s="542">
        <f>'Input data'!A73</f>
        <v>1973</v>
      </c>
      <c r="B29" s="1230">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28.06789123869763</v>
      </c>
      <c r="AB29" s="236">
        <f>'Input data'!L73</f>
        <v>31309.226415992067</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1">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27697.294487681203</v>
      </c>
      <c r="AT29" s="775">
        <f t="shared" si="12"/>
        <v>2175.6977649697847</v>
      </c>
      <c r="AU29" s="775">
        <f t="shared" si="13"/>
        <v>606.46177530248997</v>
      </c>
      <c r="AV29" s="419">
        <f t="shared" si="14"/>
        <v>0</v>
      </c>
      <c r="AW29" s="775">
        <f t="shared" si="15"/>
        <v>829.77238803859086</v>
      </c>
      <c r="AX29" s="530">
        <f t="shared" si="16"/>
        <v>31309.226415992067</v>
      </c>
      <c r="AZ29" s="684">
        <f t="shared" si="22"/>
        <v>43.767523976792077</v>
      </c>
      <c r="BA29" s="417">
        <f t="shared" si="17"/>
        <v>0.13945480314827324</v>
      </c>
      <c r="BB29" s="205">
        <f>'Input data'!D73/10^6</f>
        <v>0</v>
      </c>
    </row>
    <row r="30" spans="1:54">
      <c r="A30" s="542">
        <f>'Input data'!A74</f>
        <v>1974</v>
      </c>
      <c r="B30" s="1230">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28.06789123869763</v>
      </c>
      <c r="AB30" s="236">
        <f>'Input data'!L74</f>
        <v>33222.550293591143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1">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29389.891238046956</v>
      </c>
      <c r="AT30" s="775">
        <f t="shared" si="12"/>
        <v>2308.6558402938476</v>
      </c>
      <c r="AU30" s="775">
        <f t="shared" si="13"/>
        <v>643.52298467637263</v>
      </c>
      <c r="AV30" s="419">
        <f t="shared" si="14"/>
        <v>0</v>
      </c>
      <c r="AW30" s="775">
        <f t="shared" si="15"/>
        <v>880.48023057396949</v>
      </c>
      <c r="AX30" s="530">
        <f t="shared" si="16"/>
        <v>33222.550293591143</v>
      </c>
      <c r="AZ30" s="684">
        <f t="shared" si="22"/>
        <v>45.962075910591139</v>
      </c>
      <c r="BA30" s="417">
        <f t="shared" si="17"/>
        <v>0.13882236719151098</v>
      </c>
      <c r="BB30" s="205">
        <f>'Input data'!D74/10^6</f>
        <v>0</v>
      </c>
    </row>
    <row r="31" spans="1:54">
      <c r="A31" s="542">
        <f>'Input data'!A75</f>
        <v>1975</v>
      </c>
      <c r="B31" s="1230">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28.06789123869763</v>
      </c>
      <c r="AB31" s="236">
        <f>'Input data'!L75</f>
        <v>33785.821416896746</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1">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29888.181613264711</v>
      </c>
      <c r="AT31" s="775">
        <f t="shared" si="12"/>
        <v>2347.7979036513143</v>
      </c>
      <c r="AU31" s="775">
        <f t="shared" si="13"/>
        <v>654.43358338864425</v>
      </c>
      <c r="AV31" s="419">
        <f t="shared" si="14"/>
        <v>0</v>
      </c>
      <c r="AW31" s="775">
        <f t="shared" si="15"/>
        <v>895.40831659208141</v>
      </c>
      <c r="AX31" s="530">
        <f t="shared" si="16"/>
        <v>33785.821416896753</v>
      </c>
      <c r="AZ31" s="684">
        <f t="shared" si="22"/>
        <v>46.808681667296753</v>
      </c>
      <c r="BA31" s="417">
        <f t="shared" si="17"/>
        <v>0.13891038205108996</v>
      </c>
      <c r="BB31" s="205">
        <f>'Input data'!D75/10^6</f>
        <v>0</v>
      </c>
    </row>
    <row r="32" spans="1:54">
      <c r="A32" s="542">
        <f>'Input data'!A76</f>
        <v>1976</v>
      </c>
      <c r="B32" s="1230">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28.06789123869763</v>
      </c>
      <c r="AB32" s="236">
        <f>'Input data'!L76</f>
        <v>34545.969982632712</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1">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30560.637023048439</v>
      </c>
      <c r="AT32" s="775">
        <f t="shared" si="12"/>
        <v>2400.6211038652923</v>
      </c>
      <c r="AU32" s="775">
        <f t="shared" si="13"/>
        <v>669.15771111204299</v>
      </c>
      <c r="AV32" s="419">
        <f t="shared" si="14"/>
        <v>0</v>
      </c>
      <c r="AW32" s="775">
        <f t="shared" si="15"/>
        <v>915.55414460693987</v>
      </c>
      <c r="AX32" s="530">
        <f t="shared" si="16"/>
        <v>34545.969982632712</v>
      </c>
      <c r="AZ32" s="684">
        <f t="shared" si="22"/>
        <v>47.853218155032714</v>
      </c>
      <c r="BA32" s="417">
        <f t="shared" si="17"/>
        <v>0.13889938546098041</v>
      </c>
      <c r="BB32" s="205">
        <f>'Input data'!D76/10^6</f>
        <v>0</v>
      </c>
    </row>
    <row r="33" spans="1:54">
      <c r="A33" s="542">
        <f>'Input data'!A77</f>
        <v>1977</v>
      </c>
      <c r="B33" s="1230">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28.06789123869763</v>
      </c>
      <c r="AB33" s="236">
        <f>'Input data'!L77</f>
        <v>34513.48380436466</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1">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30531.898553617269</v>
      </c>
      <c r="AT33" s="775">
        <f t="shared" si="12"/>
        <v>2398.3636189785339</v>
      </c>
      <c r="AU33" s="775">
        <f t="shared" si="13"/>
        <v>668.52845170194223</v>
      </c>
      <c r="AV33" s="419">
        <f t="shared" si="14"/>
        <v>0</v>
      </c>
      <c r="AW33" s="775">
        <f t="shared" si="15"/>
        <v>914.69318006691663</v>
      </c>
      <c r="AX33" s="530">
        <f t="shared" si="16"/>
        <v>34513.48380436466</v>
      </c>
      <c r="AZ33" s="684">
        <f t="shared" si="22"/>
        <v>48.104066610164665</v>
      </c>
      <c r="BA33" s="417">
        <f t="shared" si="17"/>
        <v>0.13927516495022704</v>
      </c>
      <c r="BB33" s="205">
        <f>'Input data'!D77/10^6</f>
        <v>0</v>
      </c>
    </row>
    <row r="34" spans="1:54">
      <c r="A34" s="542">
        <f>'Input data'!A78</f>
        <v>1978</v>
      </c>
      <c r="B34" s="1230">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28.06789123869763</v>
      </c>
      <c r="AB34" s="236">
        <f>'Input data'!L78</f>
        <v>35553.909673519709</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1">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31452.297585765507</v>
      </c>
      <c r="AT34" s="775">
        <f t="shared" si="12"/>
        <v>2470.6634646553712</v>
      </c>
      <c r="AU34" s="775">
        <f t="shared" si="13"/>
        <v>688.68156923013896</v>
      </c>
      <c r="AV34" s="419">
        <f t="shared" si="14"/>
        <v>0</v>
      </c>
      <c r="AW34" s="775">
        <f t="shared" si="15"/>
        <v>942.26705386869628</v>
      </c>
      <c r="AX34" s="530">
        <f t="shared" si="16"/>
        <v>35553.909673519709</v>
      </c>
      <c r="AZ34" s="684">
        <f t="shared" si="22"/>
        <v>49.43362020001971</v>
      </c>
      <c r="BA34" s="417">
        <f t="shared" si="17"/>
        <v>0.13912705897779784</v>
      </c>
      <c r="BB34" s="205">
        <f>'Input data'!D78/10^6</f>
        <v>0</v>
      </c>
    </row>
    <row r="35" spans="1:54">
      <c r="A35" s="542">
        <f>'Input data'!A79</f>
        <v>1979</v>
      </c>
      <c r="B35" s="1230">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28.06789123869763</v>
      </c>
      <c r="AB35" s="236">
        <f>'Input data'!L79</f>
        <v>36901.581975009511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1">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32644.49812471553</v>
      </c>
      <c r="AT35" s="775">
        <f t="shared" si="12"/>
        <v>2564.3140574648241</v>
      </c>
      <c r="AU35" s="775">
        <f t="shared" si="13"/>
        <v>714.7860703643488</v>
      </c>
      <c r="AV35" s="419">
        <f t="shared" si="14"/>
        <v>0</v>
      </c>
      <c r="AW35" s="775">
        <f t="shared" si="15"/>
        <v>977.98372246480938</v>
      </c>
      <c r="AX35" s="530">
        <f t="shared" si="16"/>
        <v>36901.581975009503</v>
      </c>
      <c r="AZ35" s="684">
        <f t="shared" si="22"/>
        <v>51.089906061309506</v>
      </c>
      <c r="BA35" s="417">
        <f t="shared" si="17"/>
        <v>0.13886791373309737</v>
      </c>
      <c r="BB35" s="205">
        <f>'Input data'!D79/10^6</f>
        <v>0</v>
      </c>
    </row>
    <row r="36" spans="1:54">
      <c r="A36" s="542">
        <f>'Input data'!A80</f>
        <v>1980</v>
      </c>
      <c r="B36" s="1230">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28.06789123869763</v>
      </c>
      <c r="AB36" s="236">
        <f>'Input data'!L80</f>
        <v>39344.68260589998</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1">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34805.754897327774</v>
      </c>
      <c r="AT36" s="775">
        <f t="shared" si="12"/>
        <v>2734.0866513833262</v>
      </c>
      <c r="AU36" s="775">
        <f t="shared" si="13"/>
        <v>762.10909029995707</v>
      </c>
      <c r="AV36" s="419">
        <f t="shared" si="14"/>
        <v>0</v>
      </c>
      <c r="AW36" s="775">
        <f t="shared" si="15"/>
        <v>1042.7319668889231</v>
      </c>
      <c r="AX36" s="530">
        <f t="shared" si="16"/>
        <v>39344.68260589998</v>
      </c>
      <c r="AZ36" s="684">
        <f t="shared" si="22"/>
        <v>53.867425822699978</v>
      </c>
      <c r="BA36" s="417">
        <f t="shared" si="17"/>
        <v>0.13818140069346865</v>
      </c>
      <c r="BB36" s="205">
        <f>'Input data'!D80/10^6</f>
        <v>0</v>
      </c>
    </row>
    <row r="37" spans="1:54">
      <c r="A37" s="542">
        <f>'Input data'!A81</f>
        <v>1981</v>
      </c>
      <c r="B37" s="1230">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28.06789123869763</v>
      </c>
      <c r="AB37" s="236">
        <f>'Input data'!L81</f>
        <v>41453.847728741246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1">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36671.600024074251</v>
      </c>
      <c r="AT37" s="775">
        <f t="shared" si="12"/>
        <v>2880.6538575719164</v>
      </c>
      <c r="AU37" s="775">
        <f t="shared" si="13"/>
        <v>802.96375747726745</v>
      </c>
      <c r="AV37" s="419">
        <f t="shared" si="14"/>
        <v>0</v>
      </c>
      <c r="AW37" s="775">
        <f t="shared" si="15"/>
        <v>1098.6300896178122</v>
      </c>
      <c r="AX37" s="530">
        <f t="shared" si="16"/>
        <v>41453.847728741246</v>
      </c>
      <c r="AZ37" s="684">
        <f t="shared" si="22"/>
        <v>56.334182425241245</v>
      </c>
      <c r="BA37" s="417">
        <f t="shared" si="17"/>
        <v>0.13771948593134786</v>
      </c>
      <c r="BB37" s="205">
        <f>'Input data'!D81/10^6</f>
        <v>0</v>
      </c>
    </row>
    <row r="38" spans="1:54">
      <c r="A38" s="542">
        <f>'Input data'!A82</f>
        <v>1982</v>
      </c>
      <c r="B38" s="1230">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28.06789123869763</v>
      </c>
      <c r="AB38" s="236">
        <f>'Input data'!L82</f>
        <v>41294.917503153934</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1">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36531.004494737346</v>
      </c>
      <c r="AT38" s="775">
        <f t="shared" si="12"/>
        <v>2869.6096965951433</v>
      </c>
      <c r="AU38" s="775">
        <f t="shared" si="13"/>
        <v>799.88526855268401</v>
      </c>
      <c r="AV38" s="419">
        <f t="shared" si="14"/>
        <v>0</v>
      </c>
      <c r="AW38" s="775">
        <f t="shared" si="15"/>
        <v>1094.418043268761</v>
      </c>
      <c r="AX38" s="530">
        <f t="shared" si="16"/>
        <v>41294.917503153942</v>
      </c>
      <c r="AZ38" s="684">
        <f t="shared" si="22"/>
        <v>56.552856162753947</v>
      </c>
      <c r="BA38" s="417">
        <f t="shared" si="17"/>
        <v>0.13819816134209562</v>
      </c>
      <c r="BB38" s="205">
        <f>'Input data'!D82/10^6</f>
        <v>0</v>
      </c>
    </row>
    <row r="39" spans="1:54">
      <c r="A39" s="542">
        <f>'Input data'!A83</f>
        <v>1983</v>
      </c>
      <c r="B39" s="1230">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28.06789123869763</v>
      </c>
      <c r="AB39" s="236">
        <f>'Input data'!L83</f>
        <v>40532.38848471774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1">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35856.443248847158</v>
      </c>
      <c r="AT39" s="775">
        <f t="shared" si="12"/>
        <v>2816.6210772312093</v>
      </c>
      <c r="AU39" s="775">
        <f t="shared" si="13"/>
        <v>785.1150313038878</v>
      </c>
      <c r="AV39" s="419">
        <f t="shared" si="14"/>
        <v>0</v>
      </c>
      <c r="AW39" s="775">
        <f t="shared" si="15"/>
        <v>1074.2091273354904</v>
      </c>
      <c r="AX39" s="530">
        <f t="shared" si="16"/>
        <v>40532.388484717747</v>
      </c>
      <c r="AZ39" s="684">
        <f t="shared" si="22"/>
        <v>56.186363657917745</v>
      </c>
      <c r="BA39" s="417">
        <f t="shared" si="17"/>
        <v>0.13894368245720184</v>
      </c>
      <c r="BB39" s="205">
        <f>'Input data'!D83/10^6</f>
        <v>0</v>
      </c>
    </row>
    <row r="40" spans="1:54">
      <c r="A40" s="542">
        <f>'Input data'!A84</f>
        <v>1984</v>
      </c>
      <c r="B40" s="1230">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28.06789123869763</v>
      </c>
      <c r="AB40" s="236">
        <f>'Input data'!L84</f>
        <v>42599.181549321096</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1">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37684.804492744799</v>
      </c>
      <c r="AT40" s="775">
        <f t="shared" si="12"/>
        <v>2960.2438225385076</v>
      </c>
      <c r="AU40" s="775">
        <f t="shared" si="13"/>
        <v>825.14894892575535</v>
      </c>
      <c r="AV40" s="419">
        <f t="shared" si="14"/>
        <v>0</v>
      </c>
      <c r="AW40" s="775">
        <f t="shared" si="15"/>
        <v>1128.984285112035</v>
      </c>
      <c r="AX40" s="530">
        <f t="shared" si="16"/>
        <v>42599.181549321096</v>
      </c>
      <c r="AZ40" s="684">
        <f t="shared" si="22"/>
        <v>58.664465920821094</v>
      </c>
      <c r="BA40" s="417">
        <f t="shared" si="17"/>
        <v>0.13854100268884781</v>
      </c>
      <c r="BB40" s="205">
        <f>'Input data'!D84/10^6</f>
        <v>0</v>
      </c>
    </row>
    <row r="41" spans="1:54">
      <c r="A41" s="542">
        <f>'Input data'!A85</f>
        <v>1985</v>
      </c>
      <c r="B41" s="1230">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28.06789123869763</v>
      </c>
      <c r="AB41" s="236">
        <f>'Input data'!L85</f>
        <v>42083.099400423816</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1">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37228.259221778215</v>
      </c>
      <c r="AT41" s="775">
        <f t="shared" si="12"/>
        <v>2924.3809505857503</v>
      </c>
      <c r="AU41" s="775">
        <f t="shared" si="13"/>
        <v>815.15240375202018</v>
      </c>
      <c r="AV41" s="419">
        <f t="shared" si="14"/>
        <v>0</v>
      </c>
      <c r="AW41" s="775">
        <f t="shared" si="15"/>
        <v>1115.3068243078342</v>
      </c>
      <c r="AX41" s="530">
        <f t="shared" si="16"/>
        <v>42083.099400423816</v>
      </c>
      <c r="AZ41" s="684">
        <f t="shared" si="22"/>
        <v>58.571279144823812</v>
      </c>
      <c r="BA41" s="417">
        <f t="shared" si="17"/>
        <v>0.13918897190836005</v>
      </c>
      <c r="BB41" s="205">
        <f>'Input data'!D85/10^6</f>
        <v>0</v>
      </c>
    </row>
    <row r="42" spans="1:54">
      <c r="A42" s="542">
        <f>'Input data'!A86</f>
        <v>1986</v>
      </c>
      <c r="B42" s="1230">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28.06789123869763</v>
      </c>
      <c r="AB42" s="236">
        <f>'Input data'!L86</f>
        <v>42090.604827777403</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1">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37234.898799163682</v>
      </c>
      <c r="AT42" s="775">
        <f t="shared" si="12"/>
        <v>2924.9025074361616</v>
      </c>
      <c r="AU42" s="775">
        <f t="shared" si="13"/>
        <v>815.29778437359107</v>
      </c>
      <c r="AV42" s="419">
        <f t="shared" si="14"/>
        <v>0</v>
      </c>
      <c r="AW42" s="775">
        <f t="shared" si="15"/>
        <v>1115.5057368039684</v>
      </c>
      <c r="AX42" s="530">
        <f t="shared" si="16"/>
        <v>42090.60482777741</v>
      </c>
      <c r="AZ42" s="684">
        <f t="shared" si="22"/>
        <v>59.006946388077417</v>
      </c>
      <c r="BA42" s="417">
        <f t="shared" si="17"/>
        <v>0.13962719383049527</v>
      </c>
      <c r="BB42" s="205">
        <f>'Input data'!D86/10^6</f>
        <v>0</v>
      </c>
    </row>
    <row r="43" spans="1:54">
      <c r="A43" s="542">
        <f>'Input data'!A87</f>
        <v>1987</v>
      </c>
      <c r="B43" s="1230">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28.06789123869763</v>
      </c>
      <c r="AB43" s="236">
        <f>'Input data'!L87</f>
        <v>42974.816988126448</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1">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38017.105432741424</v>
      </c>
      <c r="AT43" s="775">
        <f t="shared" si="12"/>
        <v>2986.3469645897853</v>
      </c>
      <c r="AU43" s="775">
        <f t="shared" si="13"/>
        <v>832.42503208595963</v>
      </c>
      <c r="AV43" s="419">
        <f t="shared" si="14"/>
        <v>0</v>
      </c>
      <c r="AW43" s="775">
        <f t="shared" si="15"/>
        <v>1138.9395587092847</v>
      </c>
      <c r="AX43" s="530">
        <f t="shared" si="16"/>
        <v>42974.816988126455</v>
      </c>
      <c r="AZ43" s="684">
        <f t="shared" si="22"/>
        <v>60.318793720026456</v>
      </c>
      <c r="BA43" s="417">
        <f t="shared" si="17"/>
        <v>0.13969952616886211</v>
      </c>
      <c r="BB43" s="205">
        <f>'Input data'!D87/10^6</f>
        <v>0</v>
      </c>
    </row>
    <row r="44" spans="1:54">
      <c r="A44" s="542">
        <f>'Input data'!A88</f>
        <v>1988</v>
      </c>
      <c r="B44" s="1230">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28.06789123869763</v>
      </c>
      <c r="AB44" s="236">
        <f>'Input data'!L88</f>
        <v>44779.816264317924</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1">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39613.874252209636</v>
      </c>
      <c r="AT44" s="775">
        <f t="shared" si="12"/>
        <v>3111.7774954755942</v>
      </c>
      <c r="AU44" s="775">
        <f t="shared" si="13"/>
        <v>867.38798680462571</v>
      </c>
      <c r="AV44" s="419">
        <f t="shared" si="14"/>
        <v>0</v>
      </c>
      <c r="AW44" s="775">
        <f t="shared" si="15"/>
        <v>1186.7765298280704</v>
      </c>
      <c r="AX44" s="530">
        <f t="shared" si="16"/>
        <v>44779.816264317931</v>
      </c>
      <c r="AZ44" s="684">
        <f t="shared" si="22"/>
        <v>62.542475214717939</v>
      </c>
      <c r="BA44" s="417">
        <f t="shared" si="17"/>
        <v>0.13940084354283128</v>
      </c>
      <c r="BB44" s="205">
        <f>'Input data'!D88/10^6</f>
        <v>0</v>
      </c>
    </row>
    <row r="45" spans="1:54">
      <c r="A45" s="542">
        <f>'Input data'!A89</f>
        <v>1989</v>
      </c>
      <c r="B45" s="1230">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28.06789123869763</v>
      </c>
      <c r="AB45" s="236">
        <f>'Input data'!L89</f>
        <v>45852.196210645117</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1">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40562.541037567738</v>
      </c>
      <c r="AT45" s="775">
        <f t="shared" si="12"/>
        <v>3186.2978500005706</v>
      </c>
      <c r="AU45" s="775">
        <f t="shared" si="13"/>
        <v>888.16005690969189</v>
      </c>
      <c r="AV45" s="419">
        <f t="shared" si="14"/>
        <v>0</v>
      </c>
      <c r="AW45" s="775">
        <f t="shared" si="15"/>
        <v>1215.197266167123</v>
      </c>
      <c r="AX45" s="530">
        <f t="shared" si="16"/>
        <v>45852.196210645125</v>
      </c>
      <c r="AZ45" s="684">
        <f t="shared" si="22"/>
        <v>64.016684761945129</v>
      </c>
      <c r="BA45" s="417">
        <f t="shared" si="17"/>
        <v>0.13937855289628218</v>
      </c>
      <c r="BB45" s="205">
        <f>'Input data'!D89/10^6</f>
        <v>0</v>
      </c>
    </row>
    <row r="46" spans="1:54">
      <c r="A46" s="542">
        <f>'Input data'!A90</f>
        <v>1990</v>
      </c>
      <c r="B46" s="1230">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28.06789123869763</v>
      </c>
      <c r="AB46" s="236">
        <f>'Input data'!L90</f>
        <v>45706.484498956277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1">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40433.639092328725</v>
      </c>
      <c r="AT46" s="775">
        <f t="shared" si="12"/>
        <v>3176.1722518385732</v>
      </c>
      <c r="AU46" s="775">
        <f t="shared" si="13"/>
        <v>885.33761146887957</v>
      </c>
      <c r="AV46" s="419">
        <f t="shared" si="14"/>
        <v>0</v>
      </c>
      <c r="AW46" s="775">
        <f t="shared" si="15"/>
        <v>1211.3355433201002</v>
      </c>
      <c r="AX46" s="530">
        <f t="shared" si="16"/>
        <v>45706.484498956277</v>
      </c>
      <c r="AZ46" s="684">
        <f t="shared" si="22"/>
        <v>64.244363858956277</v>
      </c>
      <c r="BA46" s="417">
        <f t="shared" si="17"/>
        <v>0.1397853560873199</v>
      </c>
      <c r="BB46" s="205">
        <f>'Input data'!D90/10^6</f>
        <v>0</v>
      </c>
    </row>
    <row r="47" spans="1:54">
      <c r="A47" s="542">
        <f>'Input data'!A91</f>
        <v>1991</v>
      </c>
      <c r="B47" s="1230">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28.06789123869763</v>
      </c>
      <c r="AB47" s="236">
        <f>'Input data'!L91</f>
        <v>45241.091990538232</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1">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40021.935743713533</v>
      </c>
      <c r="AT47" s="775">
        <f t="shared" si="12"/>
        <v>3143.8318347696409</v>
      </c>
      <c r="AU47" s="775">
        <f t="shared" si="13"/>
        <v>876.32292796575973</v>
      </c>
      <c r="AV47" s="419">
        <f t="shared" si="14"/>
        <v>0</v>
      </c>
      <c r="AW47" s="775">
        <f t="shared" si="15"/>
        <v>1199.0014840893023</v>
      </c>
      <c r="AX47" s="530">
        <f t="shared" si="16"/>
        <v>45241.09199053824</v>
      </c>
      <c r="AZ47" s="684">
        <f t="shared" si="22"/>
        <v>64.16500162243824</v>
      </c>
      <c r="BA47" s="417">
        <f t="shared" si="17"/>
        <v>0.14032475563837693</v>
      </c>
      <c r="BB47" s="205">
        <f>'Input data'!D91/10^6</f>
        <v>0</v>
      </c>
    </row>
    <row r="48" spans="1:54">
      <c r="A48" s="542">
        <f>'Input data'!A92</f>
        <v>1992</v>
      </c>
      <c r="B48" s="1230">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28.06789123869763</v>
      </c>
      <c r="AB48" s="236">
        <f>'Input data'!L92</f>
        <v>44274.264117495608</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1">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39166.644208791353</v>
      </c>
      <c r="AT48" s="775">
        <f t="shared" si="12"/>
        <v>3076.6463599661211</v>
      </c>
      <c r="AU48" s="775">
        <f t="shared" si="13"/>
        <v>857.59540846378093</v>
      </c>
      <c r="AV48" s="419">
        <f t="shared" si="14"/>
        <v>0</v>
      </c>
      <c r="AW48" s="775">
        <f t="shared" si="15"/>
        <v>1173.3781402743596</v>
      </c>
      <c r="AX48" s="530">
        <f t="shared" si="16"/>
        <v>44274.264117495615</v>
      </c>
      <c r="AZ48" s="684">
        <f t="shared" si="22"/>
        <v>63.597370128795617</v>
      </c>
      <c r="BA48" s="417">
        <f t="shared" si="17"/>
        <v>0.1410788070763607</v>
      </c>
      <c r="BB48" s="205">
        <f>'Input data'!D92/10^6</f>
        <v>0</v>
      </c>
    </row>
    <row r="49" spans="1:54">
      <c r="A49" s="542">
        <f>'Input data'!A93</f>
        <v>1993</v>
      </c>
      <c r="B49" s="1230">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28.06789123869763</v>
      </c>
      <c r="AB49" s="236">
        <f>'Input data'!L93</f>
        <v>44820.395981719135</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1">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39649.772564360661</v>
      </c>
      <c r="AT49" s="775">
        <f t="shared" si="12"/>
        <v>3114.5974054688932</v>
      </c>
      <c r="AU49" s="775">
        <f t="shared" si="13"/>
        <v>868.17401860015548</v>
      </c>
      <c r="AV49" s="419">
        <f t="shared" si="14"/>
        <v>0</v>
      </c>
      <c r="AW49" s="775">
        <f t="shared" si="15"/>
        <v>1187.851993289433</v>
      </c>
      <c r="AX49" s="530">
        <f t="shared" si="16"/>
        <v>44820.395981719143</v>
      </c>
      <c r="AZ49" s="684">
        <f t="shared" si="22"/>
        <v>64.555864479919137</v>
      </c>
      <c r="BA49" s="417">
        <f t="shared" si="17"/>
        <v>0.1412376271381921</v>
      </c>
      <c r="BB49" s="205">
        <f>'Input data'!D93/10^6</f>
        <v>0</v>
      </c>
    </row>
    <row r="50" spans="1:54">
      <c r="A50" s="542">
        <f>'Input data'!A94</f>
        <v>1994</v>
      </c>
      <c r="B50" s="1230">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28.06789123869763</v>
      </c>
      <c r="AB50" s="236">
        <f>'Input data'!L94</f>
        <v>46254.6491233001</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1">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40918.565702346314</v>
      </c>
      <c r="AT50" s="775">
        <f t="shared" si="12"/>
        <v>3214.2645551160249</v>
      </c>
      <c r="AU50" s="775">
        <f t="shared" si="13"/>
        <v>895.95559630250591</v>
      </c>
      <c r="AV50" s="419">
        <f t="shared" si="14"/>
        <v>0</v>
      </c>
      <c r="AW50" s="775">
        <f t="shared" si="15"/>
        <v>1225.8632695352624</v>
      </c>
      <c r="AX50" s="530">
        <f t="shared" si="16"/>
        <v>46254.649123300107</v>
      </c>
      <c r="AZ50" s="684">
        <f t="shared" si="22"/>
        <v>66.416172860200106</v>
      </c>
      <c r="BA50" s="417">
        <f t="shared" si="17"/>
        <v>0.14105582668928218</v>
      </c>
      <c r="BB50" s="205">
        <f>'Input data'!D94/10^6</f>
        <v>0</v>
      </c>
    </row>
    <row r="51" spans="1:54">
      <c r="A51" s="542">
        <f>'Input data'!A95</f>
        <v>1995</v>
      </c>
      <c r="B51" s="1230">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28.06789123869763</v>
      </c>
      <c r="AB51" s="236">
        <f>'Input data'!L95</f>
        <v>47688.541126734373</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1">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42187.039364230361</v>
      </c>
      <c r="AT51" s="775">
        <f t="shared" si="12"/>
        <v>3313.9066090470187</v>
      </c>
      <c r="AU51" s="775">
        <f t="shared" si="13"/>
        <v>923.73017873519802</v>
      </c>
      <c r="AV51" s="419">
        <f t="shared" si="14"/>
        <v>0</v>
      </c>
      <c r="AW51" s="775">
        <f t="shared" si="15"/>
        <v>1263.8649747218003</v>
      </c>
      <c r="AX51" s="530">
        <f t="shared" si="16"/>
        <v>47688.541126734381</v>
      </c>
      <c r="AZ51" s="684">
        <f t="shared" si="22"/>
        <v>68.290866142734373</v>
      </c>
      <c r="BA51" s="417">
        <f t="shared" si="17"/>
        <v>0.14089683304928646</v>
      </c>
      <c r="BB51" s="205">
        <f>'Input data'!D95/10^6</f>
        <v>0</v>
      </c>
    </row>
    <row r="52" spans="1:54">
      <c r="A52" s="542">
        <f>'Input data'!A96</f>
        <v>1996</v>
      </c>
      <c r="B52" s="1230">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28.06789123869763</v>
      </c>
      <c r="AB52" s="236">
        <f>'Input data'!L96</f>
        <v>49739.147899700009</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1">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44001.081618568925</v>
      </c>
      <c r="AT52" s="775">
        <f t="shared" si="12"/>
        <v>3456.404558804551</v>
      </c>
      <c r="AU52" s="775">
        <f t="shared" si="13"/>
        <v>963.45056682325492</v>
      </c>
      <c r="AV52" s="419">
        <f t="shared" si="14"/>
        <v>0</v>
      </c>
      <c r="AW52" s="775">
        <f t="shared" si="15"/>
        <v>1318.2111555032807</v>
      </c>
      <c r="AX52" s="530">
        <f t="shared" si="16"/>
        <v>49739.147899700009</v>
      </c>
      <c r="AZ52" s="684">
        <f t="shared" si="22"/>
        <v>70.804919899699996</v>
      </c>
      <c r="BA52" s="417">
        <f t="shared" si="17"/>
        <v>0.14054419799115175</v>
      </c>
      <c r="BB52" s="205">
        <f>'Input data'!D96/10^6</f>
        <v>0</v>
      </c>
    </row>
    <row r="53" spans="1:54">
      <c r="A53" s="542">
        <f>'Input data'!A97</f>
        <v>1997</v>
      </c>
      <c r="B53" s="1230">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28.06789123869763</v>
      </c>
      <c r="AB53" s="236">
        <f>'Input data'!L97</f>
        <v>51032.366797572584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1">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45145.11067171461</v>
      </c>
      <c r="AT53" s="775">
        <f t="shared" si="12"/>
        <v>3546.2711504709901</v>
      </c>
      <c r="AU53" s="775">
        <f t="shared" si="13"/>
        <v>988.50030194727367</v>
      </c>
      <c r="AV53" s="419">
        <f t="shared" si="14"/>
        <v>0</v>
      </c>
      <c r="AW53" s="775">
        <f t="shared" si="15"/>
        <v>1352.484673439714</v>
      </c>
      <c r="AX53" s="530">
        <f t="shared" si="16"/>
        <v>51032.366797572584</v>
      </c>
      <c r="AZ53" s="684">
        <f t="shared" si="22"/>
        <v>72.58581141937259</v>
      </c>
      <c r="BA53" s="417">
        <f t="shared" si="17"/>
        <v>0.14049502031875372</v>
      </c>
      <c r="BB53" s="205">
        <f>'Input data'!D97/10^6</f>
        <v>0</v>
      </c>
    </row>
    <row r="54" spans="1:54">
      <c r="A54" s="542">
        <f>'Input data'!A98</f>
        <v>1998</v>
      </c>
      <c r="B54" s="1230">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28.06789123869763</v>
      </c>
      <c r="AB54" s="236">
        <f>'Input data'!L98</f>
        <v>51287.529093403362</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1">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45370.836633636434</v>
      </c>
      <c r="AT54" s="775">
        <f t="shared" si="12"/>
        <v>3564.0025383170992</v>
      </c>
      <c r="AU54" s="775">
        <f t="shared" si="13"/>
        <v>993.44281240293776</v>
      </c>
      <c r="AV54" s="419">
        <f t="shared" si="14"/>
        <v>0</v>
      </c>
      <c r="AW54" s="775">
        <f t="shared" si="15"/>
        <v>1359.2471090468989</v>
      </c>
      <c r="AX54" s="530">
        <f t="shared" si="16"/>
        <v>51287.529093403369</v>
      </c>
      <c r="AZ54" s="684">
        <f t="shared" si="22"/>
        <v>73.353925263403369</v>
      </c>
      <c r="BA54" s="417">
        <f t="shared" si="17"/>
        <v>0.14082370720685361</v>
      </c>
      <c r="BB54" s="205">
        <f>'Input data'!D98/10^6</f>
        <v>0</v>
      </c>
    </row>
    <row r="55" spans="1:54">
      <c r="A55" s="542">
        <f>'Input data'!A99</f>
        <v>1999</v>
      </c>
      <c r="B55" s="1230">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28.06789123869763</v>
      </c>
      <c r="AB55" s="236">
        <f>'Input data'!L99</f>
        <v>52518.42786579833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1">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46459.735009168791</v>
      </c>
      <c r="AT55" s="775">
        <f t="shared" si="12"/>
        <v>3649.5384654084137</v>
      </c>
      <c r="AU55" s="775">
        <f t="shared" si="13"/>
        <v>1017.2854025968307</v>
      </c>
      <c r="AV55" s="419">
        <f t="shared" si="14"/>
        <v>0</v>
      </c>
      <c r="AW55" s="775">
        <f t="shared" si="15"/>
        <v>1391.8689886242955</v>
      </c>
      <c r="AX55" s="530">
        <f t="shared" si="16"/>
        <v>52518.42786579833</v>
      </c>
      <c r="AZ55" s="684">
        <f t="shared" si="22"/>
        <v>75.123581154698329</v>
      </c>
      <c r="BA55" s="417">
        <f t="shared" si="17"/>
        <v>0.14083092621241297</v>
      </c>
      <c r="BB55" s="205">
        <f>'Input data'!D99/10^6</f>
        <v>0</v>
      </c>
    </row>
    <row r="56" spans="1:54">
      <c r="A56" s="1241">
        <f>'Input data'!A100</f>
        <v>2000</v>
      </c>
      <c r="B56" s="1648">
        <f>'Input data'!I100</f>
        <v>578.73</v>
      </c>
      <c r="C56" s="532">
        <f>B56*'Input data'!B100</f>
        <v>25464.120000000003</v>
      </c>
      <c r="D56" s="1232">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3">
        <f>'Input data'!U100</f>
        <v>1</v>
      </c>
      <c r="L56" s="1232">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2">
        <f t="shared" ref="T56:W71" si="29">T55</f>
        <v>0.8</v>
      </c>
      <c r="U56" s="415">
        <f t="shared" si="29"/>
        <v>0.11</v>
      </c>
      <c r="V56" s="415">
        <f t="shared" si="29"/>
        <v>0.09</v>
      </c>
      <c r="W56" s="415">
        <f t="shared" si="29"/>
        <v>0</v>
      </c>
      <c r="X56" s="1233">
        <f t="shared" si="8"/>
        <v>1</v>
      </c>
      <c r="Y56" s="1232">
        <f>'Input data'!$G$35</f>
        <v>0.66241124199764068</v>
      </c>
      <c r="Z56" s="1233">
        <f>'Input data'!$H$35</f>
        <v>0.33758875800235938</v>
      </c>
      <c r="AA56" s="1355">
        <f>'Input data'!J100</f>
        <v>28.06789123869763</v>
      </c>
      <c r="AB56" s="471">
        <f>'Input data'!L100</f>
        <v>54724.203661702413</v>
      </c>
      <c r="AC56" s="415">
        <f t="shared" ref="AC56:AF71" si="30">AC55</f>
        <v>0.88463681982043585</v>
      </c>
      <c r="AD56" s="415">
        <f t="shared" si="30"/>
        <v>8.8860692477895534E-2</v>
      </c>
      <c r="AE56" s="415">
        <f t="shared" si="30"/>
        <v>0</v>
      </c>
      <c r="AF56" s="415">
        <f t="shared" si="30"/>
        <v>2.6502487701668711E-2</v>
      </c>
      <c r="AG56" s="415">
        <f t="shared" si="20"/>
        <v>1</v>
      </c>
      <c r="AH56" s="1353">
        <f t="shared" ref="AH56:AI71" si="31">AH55</f>
        <v>0.78201761382701329</v>
      </c>
      <c r="AI56" s="1234">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48411.045494494276</v>
      </c>
      <c r="AT56" s="517">
        <f t="shared" si="12"/>
        <v>3802.8192078135248</v>
      </c>
      <c r="AU56" s="517">
        <f t="shared" si="13"/>
        <v>1060.0114248667383</v>
      </c>
      <c r="AV56" s="471">
        <f t="shared" si="14"/>
        <v>0</v>
      </c>
      <c r="AW56" s="517">
        <f t="shared" si="15"/>
        <v>1450.3275345278821</v>
      </c>
      <c r="AX56" s="534">
        <f t="shared" si="16"/>
        <v>54724.203661702421</v>
      </c>
      <c r="AY56" s="1"/>
      <c r="AZ56" s="1358">
        <f t="shared" si="22"/>
        <v>80.188323661702427</v>
      </c>
      <c r="BA56" s="415">
        <f t="shared" si="17"/>
        <v>0.14223993776609636</v>
      </c>
      <c r="BB56" s="1359">
        <f>'Input data'!D100/10^6</f>
        <v>0</v>
      </c>
    </row>
    <row r="57" spans="1:54">
      <c r="A57" s="990">
        <f>'Input data'!A101</f>
        <v>2001</v>
      </c>
      <c r="B57" s="1647">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2">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5">
        <f t="shared" si="6"/>
        <v>0.99999999999999989</v>
      </c>
      <c r="T57" s="648">
        <f t="shared" si="29"/>
        <v>0.8</v>
      </c>
      <c r="U57" s="411">
        <f t="shared" si="29"/>
        <v>0.11</v>
      </c>
      <c r="V57" s="411">
        <f t="shared" si="29"/>
        <v>0.09</v>
      </c>
      <c r="W57" s="411">
        <f t="shared" si="29"/>
        <v>0</v>
      </c>
      <c r="X57" s="1152">
        <f t="shared" si="8"/>
        <v>1</v>
      </c>
      <c r="Y57" s="648">
        <f>'Input data'!$G$35</f>
        <v>0.66241124199764068</v>
      </c>
      <c r="Z57" s="1152">
        <f>'Input data'!$H$35</f>
        <v>0.33758875800235938</v>
      </c>
      <c r="AA57" s="1356">
        <f>'Input data'!J101</f>
        <v>28.06789123869763</v>
      </c>
      <c r="AB57" s="1236">
        <f>'Input data'!L101</f>
        <v>56201.754187402395</v>
      </c>
      <c r="AC57" s="411">
        <f t="shared" si="30"/>
        <v>0.88463681982043585</v>
      </c>
      <c r="AD57" s="411">
        <f t="shared" si="30"/>
        <v>8.8860692477895534E-2</v>
      </c>
      <c r="AE57" s="411">
        <f t="shared" si="30"/>
        <v>0</v>
      </c>
      <c r="AF57" s="411">
        <f t="shared" si="30"/>
        <v>2.6502487701668711E-2</v>
      </c>
      <c r="AG57" s="411">
        <f t="shared" si="20"/>
        <v>1</v>
      </c>
      <c r="AH57" s="1354">
        <f t="shared" si="31"/>
        <v>0.78201761382701329</v>
      </c>
      <c r="AI57" s="1238">
        <f t="shared" si="31"/>
        <v>0.21798238617298668</v>
      </c>
      <c r="AJ57" s="1"/>
      <c r="AK57" s="990">
        <f t="shared" si="0"/>
        <v>2001</v>
      </c>
      <c r="AL57" s="766">
        <f t="shared" si="1"/>
        <v>20792.611440000001</v>
      </c>
      <c r="AM57" s="1236">
        <f t="shared" si="2"/>
        <v>1893.8231906474034</v>
      </c>
      <c r="AN57" s="1236">
        <f t="shared" si="3"/>
        <v>965.16088235259679</v>
      </c>
      <c r="AO57" s="1236">
        <f t="shared" si="4"/>
        <v>2339.1687869999996</v>
      </c>
      <c r="AP57" s="1236">
        <f t="shared" si="5"/>
        <v>0</v>
      </c>
      <c r="AQ57" s="663">
        <f t="shared" si="10"/>
        <v>25990.764299999999</v>
      </c>
      <c r="AR57" s="1"/>
      <c r="AS57" s="1239">
        <f t="shared" si="11"/>
        <v>49718.141092673519</v>
      </c>
      <c r="AT57" s="1240">
        <f t="shared" si="12"/>
        <v>3905.4951198173221</v>
      </c>
      <c r="AU57" s="1240">
        <f t="shared" si="13"/>
        <v>1088.6316757477196</v>
      </c>
      <c r="AV57" s="1236">
        <f t="shared" si="14"/>
        <v>0</v>
      </c>
      <c r="AW57" s="1240">
        <f t="shared" si="15"/>
        <v>1489.4862991638399</v>
      </c>
      <c r="AX57" s="744">
        <f t="shared" si="16"/>
        <v>56201.754187402395</v>
      </c>
      <c r="AY57" s="1"/>
      <c r="AZ57" s="1150">
        <f t="shared" si="22"/>
        <v>82.192518487402396</v>
      </c>
      <c r="BA57" s="411">
        <f t="shared" si="17"/>
        <v>0.14212687687042144</v>
      </c>
      <c r="BB57" s="1360">
        <f>'Input data'!D101/10^6</f>
        <v>0</v>
      </c>
    </row>
    <row r="58" spans="1:54">
      <c r="A58" s="990">
        <f>'Input data'!A102</f>
        <v>2002</v>
      </c>
      <c r="B58" s="1647">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2">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5">
        <f t="shared" si="6"/>
        <v>0.99999999999999989</v>
      </c>
      <c r="T58" s="648">
        <f t="shared" si="29"/>
        <v>0.8</v>
      </c>
      <c r="U58" s="411">
        <f t="shared" si="29"/>
        <v>0.11</v>
      </c>
      <c r="V58" s="411">
        <f t="shared" si="29"/>
        <v>0.09</v>
      </c>
      <c r="W58" s="411">
        <f t="shared" si="29"/>
        <v>0</v>
      </c>
      <c r="X58" s="1152">
        <f t="shared" si="8"/>
        <v>1</v>
      </c>
      <c r="Y58" s="648">
        <f>'Input data'!$G$35</f>
        <v>0.66241124199764068</v>
      </c>
      <c r="Z58" s="1152">
        <f>'Input data'!$H$35</f>
        <v>0.33758875800235938</v>
      </c>
      <c r="AA58" s="1356">
        <f>'Input data'!J102</f>
        <v>28.06789123869763</v>
      </c>
      <c r="AB58" s="1236">
        <f>'Input data'!L102</f>
        <v>58281.433980867463</v>
      </c>
      <c r="AC58" s="411">
        <f t="shared" si="30"/>
        <v>0.88463681982043585</v>
      </c>
      <c r="AD58" s="411">
        <f t="shared" si="30"/>
        <v>8.8860692477895534E-2</v>
      </c>
      <c r="AE58" s="411">
        <f t="shared" si="30"/>
        <v>0</v>
      </c>
      <c r="AF58" s="411">
        <f t="shared" si="30"/>
        <v>2.6502487701668711E-2</v>
      </c>
      <c r="AG58" s="411">
        <f t="shared" si="20"/>
        <v>1</v>
      </c>
      <c r="AH58" s="1354">
        <f t="shared" si="31"/>
        <v>0.78201761382701329</v>
      </c>
      <c r="AI58" s="1238">
        <f t="shared" si="31"/>
        <v>0.21798238617298668</v>
      </c>
      <c r="AJ58" s="1"/>
      <c r="AK58" s="990">
        <f t="shared" si="0"/>
        <v>2002</v>
      </c>
      <c r="AL58" s="766">
        <f t="shared" si="1"/>
        <v>21081.050472000003</v>
      </c>
      <c r="AM58" s="1236">
        <f t="shared" si="2"/>
        <v>1920.0946635437149</v>
      </c>
      <c r="AN58" s="1236">
        <f t="shared" si="3"/>
        <v>978.54977635628575</v>
      </c>
      <c r="AO58" s="1236">
        <f t="shared" si="4"/>
        <v>2371.6181781</v>
      </c>
      <c r="AP58" s="1236">
        <f t="shared" si="5"/>
        <v>0</v>
      </c>
      <c r="AQ58" s="663">
        <f t="shared" si="10"/>
        <v>26351.313090000003</v>
      </c>
      <c r="AR58" s="1"/>
      <c r="AS58" s="1239">
        <f t="shared" si="11"/>
        <v>51557.902411409275</v>
      </c>
      <c r="AT58" s="1240">
        <f t="shared" si="12"/>
        <v>4050.0133719892642</v>
      </c>
      <c r="AU58" s="1240">
        <f t="shared" si="13"/>
        <v>1128.91521015537</v>
      </c>
      <c r="AV58" s="1236">
        <f t="shared" si="14"/>
        <v>0</v>
      </c>
      <c r="AW58" s="1240">
        <f t="shared" si="15"/>
        <v>1544.6029873135569</v>
      </c>
      <c r="AX58" s="744">
        <f t="shared" si="16"/>
        <v>58281.433980867463</v>
      </c>
      <c r="AY58" s="1"/>
      <c r="AZ58" s="1150">
        <f t="shared" si="22"/>
        <v>84.632747070867467</v>
      </c>
      <c r="BA58" s="411">
        <f t="shared" si="17"/>
        <v>0.14171576136380343</v>
      </c>
      <c r="BB58" s="1360">
        <f>'Input data'!D102/10^6</f>
        <v>0</v>
      </c>
    </row>
    <row r="59" spans="1:54">
      <c r="A59" s="990">
        <f>'Input data'!A103</f>
        <v>2003</v>
      </c>
      <c r="B59" s="1647">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2">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5">
        <f t="shared" si="6"/>
        <v>0.99999999999999989</v>
      </c>
      <c r="T59" s="648">
        <f t="shared" si="29"/>
        <v>0.8</v>
      </c>
      <c r="U59" s="411">
        <f t="shared" si="29"/>
        <v>0.11</v>
      </c>
      <c r="V59" s="411">
        <f t="shared" si="29"/>
        <v>0.09</v>
      </c>
      <c r="W59" s="411">
        <f t="shared" si="29"/>
        <v>0</v>
      </c>
      <c r="X59" s="1152">
        <f t="shared" si="8"/>
        <v>1</v>
      </c>
      <c r="Y59" s="648">
        <f>'Input data'!$G$35</f>
        <v>0.66241124199764068</v>
      </c>
      <c r="Z59" s="1152">
        <f>'Input data'!$H$35</f>
        <v>0.33758875800235938</v>
      </c>
      <c r="AA59" s="1356">
        <f>'Input data'!J103</f>
        <v>28.06789123869763</v>
      </c>
      <c r="AB59" s="1236">
        <f>'Input data'!L103</f>
        <v>60000.199591141652</v>
      </c>
      <c r="AC59" s="411">
        <f>($AC$68-$AC$58)/($A$68-$A$58)+AC58</f>
        <v>0.87438818250331407</v>
      </c>
      <c r="AD59" s="411">
        <f>($AD$68-$AD$58)/($A$68-$A$58)+AD58</f>
        <v>8.8860692477895534E-2</v>
      </c>
      <c r="AE59" s="411">
        <f>($AE$68-$AE$58)/($A$68-$A$58)+AE58</f>
        <v>0</v>
      </c>
      <c r="AF59" s="411">
        <f>($AF$68-$AF$58)/($A$68-$A$58)+AF58</f>
        <v>3.6751125018790451E-2</v>
      </c>
      <c r="AG59" s="411">
        <f t="shared" si="20"/>
        <v>1</v>
      </c>
      <c r="AH59" s="1354">
        <f t="shared" si="31"/>
        <v>0.78201761382701329</v>
      </c>
      <c r="AI59" s="1238">
        <f t="shared" si="31"/>
        <v>0.21798238617298668</v>
      </c>
      <c r="AJ59" s="1"/>
      <c r="AK59" s="990">
        <f t="shared" si="0"/>
        <v>2003</v>
      </c>
      <c r="AL59" s="766">
        <f t="shared" si="1"/>
        <v>21350.970144000003</v>
      </c>
      <c r="AM59" s="1236">
        <f t="shared" si="2"/>
        <v>1944.6793645044681</v>
      </c>
      <c r="AN59" s="1236">
        <f t="shared" si="3"/>
        <v>991.07903029553222</v>
      </c>
      <c r="AO59" s="1236">
        <f t="shared" si="4"/>
        <v>2401.9841412000001</v>
      </c>
      <c r="AP59" s="1236">
        <f t="shared" si="5"/>
        <v>0</v>
      </c>
      <c r="AQ59" s="663">
        <f t="shared" si="10"/>
        <v>26688.712680000001</v>
      </c>
      <c r="AR59" s="1"/>
      <c r="AS59" s="1239">
        <f t="shared" si="11"/>
        <v>52463.465470334435</v>
      </c>
      <c r="AT59" s="1240">
        <f t="shared" si="12"/>
        <v>4169.45147138831</v>
      </c>
      <c r="AU59" s="1240">
        <f t="shared" si="13"/>
        <v>1162.2078130924817</v>
      </c>
      <c r="AV59" s="1236">
        <f t="shared" si="14"/>
        <v>0</v>
      </c>
      <c r="AW59" s="1240">
        <f t="shared" si="15"/>
        <v>2205.0748363264265</v>
      </c>
      <c r="AX59" s="744">
        <f t="shared" si="16"/>
        <v>60000.199591141652</v>
      </c>
      <c r="AY59" s="1"/>
      <c r="AZ59" s="1150">
        <f t="shared" si="22"/>
        <v>86.68891227114166</v>
      </c>
      <c r="BA59" s="411">
        <f t="shared" si="17"/>
        <v>0.14851353327100256</v>
      </c>
      <c r="BB59" s="1360">
        <f>'Input data'!D103/10^6</f>
        <v>0</v>
      </c>
    </row>
    <row r="60" spans="1:54">
      <c r="A60" s="990">
        <f>'Input data'!A104</f>
        <v>2004</v>
      </c>
      <c r="B60" s="1647">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2">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5">
        <f t="shared" si="6"/>
        <v>0.99999999999999989</v>
      </c>
      <c r="T60" s="648">
        <f t="shared" si="29"/>
        <v>0.8</v>
      </c>
      <c r="U60" s="411">
        <f t="shared" si="29"/>
        <v>0.11</v>
      </c>
      <c r="V60" s="411">
        <f t="shared" si="29"/>
        <v>0.09</v>
      </c>
      <c r="W60" s="411">
        <f t="shared" si="29"/>
        <v>0</v>
      </c>
      <c r="X60" s="1152">
        <f t="shared" si="8"/>
        <v>1</v>
      </c>
      <c r="Y60" s="648">
        <f>'Input data'!$G$35</f>
        <v>0.66241124199764068</v>
      </c>
      <c r="Z60" s="1152">
        <f>'Input data'!$H$35</f>
        <v>0.33758875800235938</v>
      </c>
      <c r="AA60" s="1356">
        <f>'Input data'!J104</f>
        <v>28.06789123869763</v>
      </c>
      <c r="AB60" s="1236">
        <f>'Input data'!L104</f>
        <v>62732.940328625482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4">
        <f t="shared" si="31"/>
        <v>0.78201761382701329</v>
      </c>
      <c r="AI60" s="1238">
        <f t="shared" si="31"/>
        <v>0.21798238617298668</v>
      </c>
      <c r="AJ60" s="1"/>
      <c r="AK60" s="990">
        <f t="shared" si="0"/>
        <v>2004</v>
      </c>
      <c r="AL60" s="766">
        <f t="shared" si="1"/>
        <v>21605.148360000003</v>
      </c>
      <c r="AM60" s="1236">
        <f t="shared" si="2"/>
        <v>1967.8303093199975</v>
      </c>
      <c r="AN60" s="1236">
        <f t="shared" si="3"/>
        <v>1002.8775901800029</v>
      </c>
      <c r="AO60" s="1236">
        <f t="shared" si="4"/>
        <v>2430.5791905000001</v>
      </c>
      <c r="AP60" s="1236">
        <f t="shared" si="5"/>
        <v>0</v>
      </c>
      <c r="AQ60" s="663">
        <f t="shared" si="10"/>
        <v>27006.435450000004</v>
      </c>
      <c r="AR60" s="1"/>
      <c r="AS60" s="1239">
        <f t="shared" si="11"/>
        <v>54210.014523770966</v>
      </c>
      <c r="AT60" s="1240">
        <f t="shared" si="12"/>
        <v>4359.3513378298694</v>
      </c>
      <c r="AU60" s="1240">
        <f t="shared" si="13"/>
        <v>1215.14118094629</v>
      </c>
      <c r="AV60" s="1236">
        <f t="shared" si="14"/>
        <v>0</v>
      </c>
      <c r="AW60" s="1240">
        <f t="shared" si="15"/>
        <v>2948.4332860783593</v>
      </c>
      <c r="AX60" s="744">
        <f t="shared" si="16"/>
        <v>62732.940328625482</v>
      </c>
      <c r="AY60" s="1"/>
      <c r="AZ60" s="1150">
        <f t="shared" si="22"/>
        <v>89.739375778625487</v>
      </c>
      <c r="BA60" s="411">
        <f t="shared" si="17"/>
        <v>0.15516280087799594</v>
      </c>
      <c r="BB60" s="1360">
        <f>'Input data'!D104/10^6</f>
        <v>0</v>
      </c>
    </row>
    <row r="61" spans="1:54">
      <c r="A61" s="990">
        <f>'Input data'!A105</f>
        <v>2005</v>
      </c>
      <c r="B61" s="1647">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2">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5">
        <f t="shared" si="6"/>
        <v>0.99999999999999989</v>
      </c>
      <c r="T61" s="648">
        <f t="shared" si="29"/>
        <v>0.8</v>
      </c>
      <c r="U61" s="411">
        <f t="shared" si="29"/>
        <v>0.11</v>
      </c>
      <c r="V61" s="411">
        <f t="shared" si="29"/>
        <v>0.09</v>
      </c>
      <c r="W61" s="411">
        <f t="shared" si="29"/>
        <v>0</v>
      </c>
      <c r="X61" s="1152">
        <f t="shared" si="8"/>
        <v>1</v>
      </c>
      <c r="Y61" s="648">
        <f>'Input data'!$G$35</f>
        <v>0.66241124199764068</v>
      </c>
      <c r="Z61" s="1152">
        <f>'Input data'!$H$35</f>
        <v>0.33758875800235938</v>
      </c>
      <c r="AA61" s="1356">
        <f>'Input data'!J105</f>
        <v>28.06789123869763</v>
      </c>
      <c r="AB61" s="1236">
        <f>'Input data'!L105</f>
        <v>66043.392915940407</v>
      </c>
      <c r="AC61" s="411">
        <f t="shared" si="32"/>
        <v>0.85389090786907051</v>
      </c>
      <c r="AD61" s="411">
        <f t="shared" si="33"/>
        <v>8.8860692477895534E-2</v>
      </c>
      <c r="AE61" s="411">
        <f t="shared" si="34"/>
        <v>0</v>
      </c>
      <c r="AF61" s="411">
        <f t="shared" si="35"/>
        <v>5.7248399653033938E-2</v>
      </c>
      <c r="AG61" s="411">
        <f t="shared" si="20"/>
        <v>1</v>
      </c>
      <c r="AH61" s="1354">
        <f t="shared" si="31"/>
        <v>0.78201761382701329</v>
      </c>
      <c r="AI61" s="1238">
        <f t="shared" si="31"/>
        <v>0.21798238617298668</v>
      </c>
      <c r="AJ61" s="1"/>
      <c r="AK61" s="990">
        <f t="shared" si="0"/>
        <v>2005</v>
      </c>
      <c r="AL61" s="766">
        <f t="shared" si="1"/>
        <v>21851.918832000003</v>
      </c>
      <c r="AM61" s="1236">
        <f t="shared" si="2"/>
        <v>1990.3065453613035</v>
      </c>
      <c r="AN61" s="1236">
        <f t="shared" si="3"/>
        <v>1014.3322940386965</v>
      </c>
      <c r="AO61" s="1236">
        <f t="shared" si="4"/>
        <v>2458.3408686000002</v>
      </c>
      <c r="AP61" s="1236">
        <f t="shared" si="5"/>
        <v>0</v>
      </c>
      <c r="AQ61" s="663">
        <f t="shared" si="10"/>
        <v>27314.898540000002</v>
      </c>
      <c r="AR61" s="1"/>
      <c r="AS61" s="1239">
        <f t="shared" si="11"/>
        <v>56393.852735746092</v>
      </c>
      <c r="AT61" s="1240">
        <f t="shared" si="12"/>
        <v>4589.3967627650773</v>
      </c>
      <c r="AU61" s="1240">
        <f t="shared" si="13"/>
        <v>1279.2648653351275</v>
      </c>
      <c r="AV61" s="1236">
        <f t="shared" si="14"/>
        <v>0</v>
      </c>
      <c r="AW61" s="1240">
        <f t="shared" si="15"/>
        <v>3780.8785520941069</v>
      </c>
      <c r="AX61" s="744">
        <f t="shared" si="16"/>
        <v>66043.392915940407</v>
      </c>
      <c r="AY61" s="1"/>
      <c r="AZ61" s="1150">
        <f t="shared" si="22"/>
        <v>93.358291455940389</v>
      </c>
      <c r="BA61" s="411">
        <f t="shared" si="17"/>
        <v>0.16187656878153692</v>
      </c>
      <c r="BB61" s="1360">
        <f>'Input data'!D105/10^6</f>
        <v>0</v>
      </c>
    </row>
    <row r="62" spans="1:54">
      <c r="A62" s="990">
        <f>'Input data'!A106</f>
        <v>2006</v>
      </c>
      <c r="B62" s="1647">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2">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5">
        <f t="shared" si="6"/>
        <v>0.99999999999999989</v>
      </c>
      <c r="T62" s="648">
        <f t="shared" si="29"/>
        <v>0.8</v>
      </c>
      <c r="U62" s="411">
        <f t="shared" si="29"/>
        <v>0.11</v>
      </c>
      <c r="V62" s="411">
        <f t="shared" si="29"/>
        <v>0.09</v>
      </c>
      <c r="W62" s="411">
        <f t="shared" si="29"/>
        <v>0</v>
      </c>
      <c r="X62" s="1152">
        <f t="shared" si="8"/>
        <v>1</v>
      </c>
      <c r="Y62" s="648">
        <f>'Input data'!$G$35</f>
        <v>0.66241124199764068</v>
      </c>
      <c r="Z62" s="1152">
        <f>'Input data'!$H$35</f>
        <v>0.33758875800235938</v>
      </c>
      <c r="AA62" s="1356">
        <f>'Input data'!J106</f>
        <v>28.06789123869763</v>
      </c>
      <c r="AB62" s="1236">
        <f>'Input data'!L106</f>
        <v>69744.331020767189</v>
      </c>
      <c r="AC62" s="411">
        <f t="shared" si="32"/>
        <v>0.84364227055194874</v>
      </c>
      <c r="AD62" s="411">
        <f t="shared" si="33"/>
        <v>8.8860692477895534E-2</v>
      </c>
      <c r="AE62" s="411">
        <f t="shared" si="34"/>
        <v>0</v>
      </c>
      <c r="AF62" s="411">
        <f t="shared" si="35"/>
        <v>6.7497036970155674E-2</v>
      </c>
      <c r="AG62" s="411">
        <f t="shared" si="20"/>
        <v>0.99999999999999989</v>
      </c>
      <c r="AH62" s="1354">
        <f t="shared" si="31"/>
        <v>0.78201761382701329</v>
      </c>
      <c r="AI62" s="1238">
        <f t="shared" si="31"/>
        <v>0.21798238617298668</v>
      </c>
      <c r="AJ62" s="1"/>
      <c r="AK62" s="990">
        <f t="shared" si="0"/>
        <v>2006</v>
      </c>
      <c r="AL62" s="766">
        <f t="shared" si="1"/>
        <v>22098.689304000003</v>
      </c>
      <c r="AM62" s="1236">
        <f t="shared" si="2"/>
        <v>2012.7827814026102</v>
      </c>
      <c r="AN62" s="1236">
        <f t="shared" si="3"/>
        <v>1025.7869978973904</v>
      </c>
      <c r="AO62" s="1236">
        <f t="shared" si="4"/>
        <v>2486.1025467000004</v>
      </c>
      <c r="AP62" s="1236">
        <f t="shared" si="5"/>
        <v>0</v>
      </c>
      <c r="AQ62" s="663">
        <f t="shared" si="10"/>
        <v>27623.361630000003</v>
      </c>
      <c r="AR62" s="1"/>
      <c r="AS62" s="1239">
        <f t="shared" si="11"/>
        <v>58839.265780486741</v>
      </c>
      <c r="AT62" s="1240">
        <f t="shared" si="12"/>
        <v>4846.5772710273404</v>
      </c>
      <c r="AU62" s="1240">
        <f t="shared" si="13"/>
        <v>1350.9522798856019</v>
      </c>
      <c r="AV62" s="1236">
        <f t="shared" si="14"/>
        <v>0</v>
      </c>
      <c r="AW62" s="1240">
        <f t="shared" si="15"/>
        <v>4707.535689367498</v>
      </c>
      <c r="AX62" s="744">
        <f t="shared" si="16"/>
        <v>69744.331020767189</v>
      </c>
      <c r="AY62" s="1"/>
      <c r="AZ62" s="1150">
        <f t="shared" si="22"/>
        <v>97.367692650767196</v>
      </c>
      <c r="BA62" s="411">
        <f t="shared" si="17"/>
        <v>0.16873910759300498</v>
      </c>
      <c r="BB62" s="1360">
        <f>'Input data'!D106/10^6</f>
        <v>0</v>
      </c>
    </row>
    <row r="63" spans="1:54">
      <c r="A63" s="990">
        <f>'Input data'!A107</f>
        <v>2007</v>
      </c>
      <c r="B63" s="1647">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2">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5">
        <f t="shared" si="6"/>
        <v>0.99999999999999989</v>
      </c>
      <c r="T63" s="648">
        <f t="shared" si="29"/>
        <v>0.8</v>
      </c>
      <c r="U63" s="411">
        <f t="shared" si="29"/>
        <v>0.11</v>
      </c>
      <c r="V63" s="411">
        <f t="shared" si="29"/>
        <v>0.09</v>
      </c>
      <c r="W63" s="411">
        <f t="shared" si="29"/>
        <v>0</v>
      </c>
      <c r="X63" s="1152">
        <f t="shared" si="8"/>
        <v>1</v>
      </c>
      <c r="Y63" s="648">
        <f>'Input data'!$G$35</f>
        <v>0.66241124199764068</v>
      </c>
      <c r="Z63" s="1152">
        <f>'Input data'!$H$35</f>
        <v>0.33758875800235938</v>
      </c>
      <c r="AA63" s="1356">
        <f>'Input data'!J107</f>
        <v>28.06789123869763</v>
      </c>
      <c r="AB63" s="1236">
        <f>'Input data'!L107</f>
        <v>73482.959070474637</v>
      </c>
      <c r="AC63" s="411">
        <f t="shared" si="32"/>
        <v>0.83339363323482696</v>
      </c>
      <c r="AD63" s="411">
        <f t="shared" si="33"/>
        <v>8.8860692477895534E-2</v>
      </c>
      <c r="AE63" s="411">
        <f t="shared" si="34"/>
        <v>0</v>
      </c>
      <c r="AF63" s="411">
        <f t="shared" si="35"/>
        <v>7.7745674287277411E-2</v>
      </c>
      <c r="AG63" s="411">
        <f t="shared" si="20"/>
        <v>0.99999999999999989</v>
      </c>
      <c r="AH63" s="1354">
        <f t="shared" si="31"/>
        <v>0.78201761382701329</v>
      </c>
      <c r="AI63" s="1238">
        <f t="shared" si="31"/>
        <v>0.21798238617298668</v>
      </c>
      <c r="AJ63" s="1"/>
      <c r="AK63" s="990">
        <f t="shared" si="0"/>
        <v>2007</v>
      </c>
      <c r="AL63" s="766">
        <f t="shared" si="1"/>
        <v>22342.218888000003</v>
      </c>
      <c r="AM63" s="1236">
        <f t="shared" si="2"/>
        <v>2034.9638323551937</v>
      </c>
      <c r="AN63" s="1236">
        <f t="shared" si="3"/>
        <v>1037.0912647448067</v>
      </c>
      <c r="AO63" s="1236">
        <f t="shared" si="4"/>
        <v>2513.4996249000001</v>
      </c>
      <c r="AP63" s="1236">
        <f t="shared" si="5"/>
        <v>0</v>
      </c>
      <c r="AQ63" s="663">
        <f t="shared" si="10"/>
        <v>27927.773610000004</v>
      </c>
      <c r="AR63" s="1"/>
      <c r="AS63" s="1239">
        <f t="shared" si="11"/>
        <v>61240.230240588942</v>
      </c>
      <c r="AT63" s="1240">
        <f t="shared" si="12"/>
        <v>5106.3768771794466</v>
      </c>
      <c r="AU63" s="1240">
        <f t="shared" si="13"/>
        <v>1423.3697511477842</v>
      </c>
      <c r="AV63" s="1236">
        <f t="shared" si="14"/>
        <v>0</v>
      </c>
      <c r="AW63" s="1240">
        <f t="shared" si="15"/>
        <v>5712.9822015584587</v>
      </c>
      <c r="AX63" s="744">
        <f t="shared" si="16"/>
        <v>73482.959070474637</v>
      </c>
      <c r="AY63" s="1"/>
      <c r="AZ63" s="1150">
        <f t="shared" si="22"/>
        <v>101.41073268047464</v>
      </c>
      <c r="BA63" s="411">
        <f t="shared" si="17"/>
        <v>0.17580272896813717</v>
      </c>
      <c r="BB63" s="1360">
        <f>'Input data'!D107/10^6</f>
        <v>0</v>
      </c>
    </row>
    <row r="64" spans="1:54">
      <c r="A64" s="990">
        <f>'Input data'!A108</f>
        <v>2008</v>
      </c>
      <c r="B64" s="1647">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2">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5">
        <f t="shared" si="6"/>
        <v>0.99999999999999989</v>
      </c>
      <c r="T64" s="648">
        <f t="shared" si="29"/>
        <v>0.8</v>
      </c>
      <c r="U64" s="411">
        <f t="shared" si="29"/>
        <v>0.11</v>
      </c>
      <c r="V64" s="411">
        <f t="shared" si="29"/>
        <v>0.09</v>
      </c>
      <c r="W64" s="411">
        <f t="shared" si="29"/>
        <v>0</v>
      </c>
      <c r="X64" s="1152">
        <f t="shared" si="8"/>
        <v>1</v>
      </c>
      <c r="Y64" s="648">
        <f>'Input data'!$G$35</f>
        <v>0.66241124199764068</v>
      </c>
      <c r="Z64" s="1152">
        <f>'Input data'!$H$35</f>
        <v>0.33758875800235938</v>
      </c>
      <c r="AA64" s="1356">
        <f>'Input data'!J108</f>
        <v>28.06789123869763</v>
      </c>
      <c r="AB64" s="1236">
        <f>'Input data'!L108</f>
        <v>75827.834641083376</v>
      </c>
      <c r="AC64" s="411">
        <f t="shared" si="32"/>
        <v>0.82314499591770518</v>
      </c>
      <c r="AD64" s="411">
        <f t="shared" si="33"/>
        <v>8.8860692477895534E-2</v>
      </c>
      <c r="AE64" s="411">
        <f t="shared" si="34"/>
        <v>0</v>
      </c>
      <c r="AF64" s="411">
        <f t="shared" si="35"/>
        <v>8.7994311604399147E-2</v>
      </c>
      <c r="AG64" s="411">
        <f t="shared" si="20"/>
        <v>0.99999999999999989</v>
      </c>
      <c r="AH64" s="1354">
        <f t="shared" si="31"/>
        <v>0.78201761382701329</v>
      </c>
      <c r="AI64" s="1238">
        <f t="shared" si="31"/>
        <v>0.21798238617298668</v>
      </c>
      <c r="AJ64" s="1"/>
      <c r="AK64" s="990">
        <f t="shared" si="0"/>
        <v>2008</v>
      </c>
      <c r="AL64" s="766">
        <f t="shared" si="1"/>
        <v>22590.378312000001</v>
      </c>
      <c r="AM64" s="1236">
        <f t="shared" si="2"/>
        <v>2057.5665762916669</v>
      </c>
      <c r="AN64" s="1236">
        <f t="shared" si="3"/>
        <v>1048.6104416083335</v>
      </c>
      <c r="AO64" s="1236">
        <f t="shared" si="4"/>
        <v>2541.4175601000002</v>
      </c>
      <c r="AP64" s="1236">
        <f t="shared" si="5"/>
        <v>0</v>
      </c>
      <c r="AQ64" s="663">
        <f t="shared" si="10"/>
        <v>28237.972890000001</v>
      </c>
      <c r="AR64" s="1"/>
      <c r="AS64" s="1239">
        <f t="shared" si="11"/>
        <v>62417.302636082997</v>
      </c>
      <c r="AT64" s="1240">
        <f t="shared" si="12"/>
        <v>5269.3237501018584</v>
      </c>
      <c r="AU64" s="1240">
        <f t="shared" si="13"/>
        <v>1468.7901452041654</v>
      </c>
      <c r="AV64" s="1236">
        <f t="shared" si="14"/>
        <v>0</v>
      </c>
      <c r="AW64" s="1240">
        <f t="shared" si="15"/>
        <v>6672.418109694343</v>
      </c>
      <c r="AX64" s="744">
        <f t="shared" si="16"/>
        <v>75827.834641083376</v>
      </c>
      <c r="AY64" s="1"/>
      <c r="AZ64" s="1150">
        <f t="shared" si="22"/>
        <v>104.06580753108338</v>
      </c>
      <c r="BA64" s="411">
        <f t="shared" si="17"/>
        <v>0.1831353355645457</v>
      </c>
      <c r="BB64" s="1360">
        <f>'Input data'!D108/10^6</f>
        <v>0</v>
      </c>
    </row>
    <row r="65" spans="1:54">
      <c r="A65" s="990">
        <f>'Input data'!A109</f>
        <v>2009</v>
      </c>
      <c r="B65" s="1647">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2">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5">
        <f t="shared" si="6"/>
        <v>0.99999999999999989</v>
      </c>
      <c r="T65" s="648">
        <f t="shared" si="29"/>
        <v>0.8</v>
      </c>
      <c r="U65" s="411">
        <f t="shared" si="29"/>
        <v>0.11</v>
      </c>
      <c r="V65" s="411">
        <f t="shared" si="29"/>
        <v>0.09</v>
      </c>
      <c r="W65" s="411">
        <f t="shared" si="29"/>
        <v>0</v>
      </c>
      <c r="X65" s="1152">
        <f t="shared" si="8"/>
        <v>1</v>
      </c>
      <c r="Y65" s="648">
        <f>'Input data'!$G$35</f>
        <v>0.66241124199764068</v>
      </c>
      <c r="Z65" s="1152">
        <f>'Input data'!$H$35</f>
        <v>0.33758875800235938</v>
      </c>
      <c r="AA65" s="1356">
        <f>'Input data'!J109</f>
        <v>28.06789123869763</v>
      </c>
      <c r="AB65" s="1236">
        <f>'Input data'!L109</f>
        <v>74661.534804265713</v>
      </c>
      <c r="AC65" s="411">
        <f t="shared" si="32"/>
        <v>0.8128963586005834</v>
      </c>
      <c r="AD65" s="411">
        <f t="shared" si="33"/>
        <v>8.8860692477895534E-2</v>
      </c>
      <c r="AE65" s="411">
        <f t="shared" si="34"/>
        <v>0</v>
      </c>
      <c r="AF65" s="411">
        <f t="shared" si="35"/>
        <v>9.8242948921520884E-2</v>
      </c>
      <c r="AG65" s="411">
        <f t="shared" si="20"/>
        <v>0.99999999999999978</v>
      </c>
      <c r="AH65" s="1354">
        <f t="shared" si="31"/>
        <v>0.78201761382701329</v>
      </c>
      <c r="AI65" s="1238">
        <f t="shared" si="31"/>
        <v>0.21798238617298668</v>
      </c>
      <c r="AJ65" s="1"/>
      <c r="AK65" s="990">
        <f t="shared" si="0"/>
        <v>2009</v>
      </c>
      <c r="AL65" s="766">
        <f t="shared" si="1"/>
        <v>22834.370880000002</v>
      </c>
      <c r="AM65" s="1236">
        <f t="shared" si="2"/>
        <v>2079.7897965426396</v>
      </c>
      <c r="AN65" s="1236">
        <f t="shared" si="3"/>
        <v>1059.9361994573608</v>
      </c>
      <c r="AO65" s="1236">
        <f t="shared" si="4"/>
        <v>2568.866724</v>
      </c>
      <c r="AP65" s="1236">
        <f t="shared" si="5"/>
        <v>0</v>
      </c>
      <c r="AQ65" s="663">
        <f t="shared" si="10"/>
        <v>28542.963599999999</v>
      </c>
      <c r="AR65" s="1"/>
      <c r="AS65" s="1239">
        <f t="shared" si="11"/>
        <v>60692.089769918319</v>
      </c>
      <c r="AT65" s="1240">
        <f t="shared" si="12"/>
        <v>5188.276843527613</v>
      </c>
      <c r="AU65" s="1240">
        <f t="shared" si="13"/>
        <v>1446.1988406419368</v>
      </c>
      <c r="AV65" s="1236">
        <f t="shared" si="14"/>
        <v>0</v>
      </c>
      <c r="AW65" s="1240">
        <f t="shared" si="15"/>
        <v>7334.9693501778302</v>
      </c>
      <c r="AX65" s="744">
        <f t="shared" si="16"/>
        <v>74661.534804265699</v>
      </c>
      <c r="AY65" s="1"/>
      <c r="AZ65" s="1150">
        <f t="shared" si="22"/>
        <v>103.20449840426571</v>
      </c>
      <c r="BA65" s="411">
        <f t="shared" si="17"/>
        <v>0.19067034924452517</v>
      </c>
      <c r="BB65" s="1360">
        <f>'Input data'!D109/10^6</f>
        <v>0</v>
      </c>
    </row>
    <row r="66" spans="1:54" s="1243" customFormat="1">
      <c r="A66" s="1241">
        <f>'Input data'!A110</f>
        <v>2010</v>
      </c>
      <c r="B66" s="1648">
        <f>'Input data'!I110</f>
        <v>559.42164173673609</v>
      </c>
      <c r="C66" s="532">
        <f>B66*'Input data'!B110</f>
        <v>27898.357273411028</v>
      </c>
      <c r="D66" s="1232">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3">
        <f>'Input data'!U110</f>
        <v>1</v>
      </c>
      <c r="L66" s="1232">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2">
        <f>($T$73-$T$65)/($A$73-$A$65)+T65</f>
        <v>0.75808980601378384</v>
      </c>
      <c r="U66" s="415">
        <f t="shared" ref="U66:U72" si="36">($U$73-$U$65)/($A$73-$A$65)+U65</f>
        <v>0.14797665887920658</v>
      </c>
      <c r="V66" s="415">
        <f t="shared" ref="V66:V72" si="37">($V$73-$V$65)/($A$73-$A$65)+V65</f>
        <v>9.3933535107009608E-2</v>
      </c>
      <c r="W66" s="415">
        <f t="shared" si="29"/>
        <v>0</v>
      </c>
      <c r="X66" s="1233">
        <f t="shared" si="8"/>
        <v>1</v>
      </c>
      <c r="Y66" s="1232">
        <f>'Input data'!$G$35</f>
        <v>0.66241124199764068</v>
      </c>
      <c r="Z66" s="1233">
        <f>'Input data'!$H$35</f>
        <v>0.33758875800235938</v>
      </c>
      <c r="AA66" s="1355">
        <f>'Input data'!J110</f>
        <v>28.06789123869763</v>
      </c>
      <c r="AB66" s="471">
        <f>'Input data'!L110</f>
        <v>76931.04448391631</v>
      </c>
      <c r="AC66" s="411">
        <f t="shared" si="32"/>
        <v>0.80264772128346162</v>
      </c>
      <c r="AD66" s="411">
        <f t="shared" si="33"/>
        <v>8.8860692477895534E-2</v>
      </c>
      <c r="AE66" s="411">
        <f t="shared" si="34"/>
        <v>0</v>
      </c>
      <c r="AF66" s="411">
        <f t="shared" si="35"/>
        <v>0.10849158623864262</v>
      </c>
      <c r="AG66" s="415">
        <f t="shared" si="20"/>
        <v>0.99999999999999978</v>
      </c>
      <c r="AH66" s="1353">
        <f t="shared" si="31"/>
        <v>0.78201761382701329</v>
      </c>
      <c r="AI66" s="1234">
        <f t="shared" si="31"/>
        <v>0.21798238617298668</v>
      </c>
      <c r="AJ66" s="413"/>
      <c r="AK66" s="1241">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61748.527550972045</v>
      </c>
      <c r="AT66" s="517">
        <f t="shared" si="12"/>
        <v>5345.9864934559482</v>
      </c>
      <c r="AU66" s="517">
        <f t="shared" si="13"/>
        <v>1490.1593924326405</v>
      </c>
      <c r="AV66" s="471">
        <f t="shared" si="14"/>
        <v>0</v>
      </c>
      <c r="AW66" s="517">
        <f t="shared" si="15"/>
        <v>8346.371047055658</v>
      </c>
      <c r="AX66" s="534">
        <f t="shared" si="16"/>
        <v>76931.044483916296</v>
      </c>
      <c r="AY66" s="413"/>
      <c r="AZ66" s="1242">
        <f t="shared" si="22"/>
        <v>104.82940175732732</v>
      </c>
      <c r="BA66" s="415">
        <f t="shared" si="17"/>
        <v>0.20921052286095793</v>
      </c>
      <c r="BB66" s="1361">
        <f>'Input data'!D110/10^6</f>
        <v>0</v>
      </c>
    </row>
    <row r="67" spans="1:54">
      <c r="A67" s="990">
        <f>'Input data'!A111</f>
        <v>2011</v>
      </c>
      <c r="B67" s="1647">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2">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5">
        <f t="shared" si="6"/>
        <v>0.99999999999999989</v>
      </c>
      <c r="T67" s="648">
        <f t="shared" ref="T67:T72" si="38">($T$73-$T$65)/($A$73-$A$65)+T66</f>
        <v>0.71617961202756764</v>
      </c>
      <c r="U67" s="411">
        <f t="shared" si="36"/>
        <v>0.18595331775841314</v>
      </c>
      <c r="V67" s="411">
        <f t="shared" si="37"/>
        <v>9.7867070214019219E-2</v>
      </c>
      <c r="W67" s="411">
        <f t="shared" si="29"/>
        <v>0</v>
      </c>
      <c r="X67" s="1152">
        <f t="shared" si="8"/>
        <v>1</v>
      </c>
      <c r="Y67" s="648">
        <f>'Input data'!$G$35</f>
        <v>0.66241124199764068</v>
      </c>
      <c r="Z67" s="1152">
        <f>'Input data'!$H$35</f>
        <v>0.33758875800235938</v>
      </c>
      <c r="AA67" s="1356">
        <f>'Input data'!J111</f>
        <v>28.06789123869763</v>
      </c>
      <c r="AB67" s="1236">
        <f>'Input data'!L111</f>
        <v>79457.589338164951</v>
      </c>
      <c r="AC67" s="411">
        <f t="shared" si="32"/>
        <v>0.79239908396633985</v>
      </c>
      <c r="AD67" s="411">
        <f t="shared" si="33"/>
        <v>8.8860692477895534E-2</v>
      </c>
      <c r="AE67" s="411">
        <f t="shared" si="34"/>
        <v>0</v>
      </c>
      <c r="AF67" s="411">
        <f t="shared" si="35"/>
        <v>0.11874022355576436</v>
      </c>
      <c r="AG67" s="411">
        <f t="shared" si="20"/>
        <v>0.99999999999999978</v>
      </c>
      <c r="AH67" s="1354">
        <f t="shared" si="31"/>
        <v>0.78201761382701329</v>
      </c>
      <c r="AI67" s="1238">
        <f t="shared" si="31"/>
        <v>0.21798238617298668</v>
      </c>
      <c r="AJ67" s="1"/>
      <c r="AK67" s="990">
        <f t="shared" si="0"/>
        <v>2011</v>
      </c>
      <c r="AL67" s="766">
        <f t="shared" si="1"/>
        <v>20025.960984172027</v>
      </c>
      <c r="AM67" s="1236">
        <f t="shared" si="2"/>
        <v>3444.3163877741108</v>
      </c>
      <c r="AN67" s="1236">
        <f t="shared" si="3"/>
        <v>1755.3483663853285</v>
      </c>
      <c r="AO67" s="1236">
        <f t="shared" si="4"/>
        <v>2736.5790603736596</v>
      </c>
      <c r="AP67" s="1236">
        <f t="shared" si="5"/>
        <v>0</v>
      </c>
      <c r="AQ67" s="663">
        <f t="shared" si="10"/>
        <v>27962.204798705126</v>
      </c>
      <c r="AR67" s="1"/>
      <c r="AS67" s="1239">
        <f t="shared" si="11"/>
        <v>62962.12100573552</v>
      </c>
      <c r="AT67" s="1240">
        <f t="shared" si="12"/>
        <v>5521.557678749652</v>
      </c>
      <c r="AU67" s="1240">
        <f t="shared" si="13"/>
        <v>1539.0987324639343</v>
      </c>
      <c r="AV67" s="1236">
        <f t="shared" si="14"/>
        <v>0</v>
      </c>
      <c r="AW67" s="1240">
        <f t="shared" si="15"/>
        <v>9434.8119212158254</v>
      </c>
      <c r="AX67" s="744">
        <f t="shared" si="16"/>
        <v>79457.589338164922</v>
      </c>
      <c r="AY67" s="1"/>
      <c r="AZ67" s="1150">
        <f t="shared" si="22"/>
        <v>107.41979413687004</v>
      </c>
      <c r="BA67" s="411">
        <f t="shared" si="17"/>
        <v>0.22744143519612944</v>
      </c>
      <c r="BB67" s="1360">
        <f>'Input data'!D111/10^6</f>
        <v>0</v>
      </c>
    </row>
    <row r="68" spans="1:54">
      <c r="A68" s="990">
        <f>'Input data'!A112</f>
        <v>2012</v>
      </c>
      <c r="B68" s="1647">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2">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5">
        <f t="shared" si="6"/>
        <v>0.99999999999999989</v>
      </c>
      <c r="T68" s="648">
        <f t="shared" si="38"/>
        <v>0.67426941804135143</v>
      </c>
      <c r="U68" s="411">
        <f t="shared" si="36"/>
        <v>0.22392997663761971</v>
      </c>
      <c r="V68" s="411">
        <f t="shared" si="37"/>
        <v>0.10180060532102883</v>
      </c>
      <c r="W68" s="411">
        <f t="shared" si="29"/>
        <v>0</v>
      </c>
      <c r="X68" s="1152">
        <f t="shared" si="8"/>
        <v>1</v>
      </c>
      <c r="Y68" s="648">
        <f>'Input data'!$G$35</f>
        <v>0.66241124199764068</v>
      </c>
      <c r="Z68" s="1152">
        <f>'Input data'!$H$35</f>
        <v>0.33758875800235938</v>
      </c>
      <c r="AA68" s="1356">
        <f>'Input data'!J112</f>
        <v>28.06789123869763</v>
      </c>
      <c r="AB68" s="1236">
        <f>'Input data'!L112</f>
        <v>81216.267712103698</v>
      </c>
      <c r="AC68" s="411">
        <f>'Input data'!B36</f>
        <v>0.7821504466492184</v>
      </c>
      <c r="AD68" s="411">
        <f>'Input data'!C36</f>
        <v>8.8860692477895534E-2</v>
      </c>
      <c r="AE68" s="411">
        <f>'Input data'!D36</f>
        <v>0</v>
      </c>
      <c r="AF68" s="411">
        <f>'Input data'!E36</f>
        <v>0.12898886087288614</v>
      </c>
      <c r="AG68" s="411">
        <f t="shared" si="20"/>
        <v>1</v>
      </c>
      <c r="AH68" s="1354">
        <f t="shared" si="31"/>
        <v>0.78201761382701329</v>
      </c>
      <c r="AI68" s="1238">
        <f t="shared" si="31"/>
        <v>0.21798238617298668</v>
      </c>
      <c r="AJ68" s="1"/>
      <c r="AK68" s="990">
        <f t="shared" si="0"/>
        <v>2012</v>
      </c>
      <c r="AL68" s="766">
        <f t="shared" si="1"/>
        <v>18374.747292487624</v>
      </c>
      <c r="AM68" s="1236">
        <f t="shared" si="2"/>
        <v>4042.2934857529522</v>
      </c>
      <c r="AN68" s="1236">
        <f t="shared" si="3"/>
        <v>2060.099151127069</v>
      </c>
      <c r="AO68" s="1236">
        <f t="shared" si="4"/>
        <v>2774.2032293706347</v>
      </c>
      <c r="AP68" s="1236">
        <f t="shared" si="5"/>
        <v>0</v>
      </c>
      <c r="AQ68" s="663">
        <f t="shared" si="10"/>
        <v>27251.34315873828</v>
      </c>
      <c r="AR68" s="1"/>
      <c r="AS68" s="1239">
        <f t="shared" si="11"/>
        <v>63523.340066204401</v>
      </c>
      <c r="AT68" s="1240">
        <f t="shared" si="12"/>
        <v>5643.7693411088603</v>
      </c>
      <c r="AU68" s="1240">
        <f t="shared" si="13"/>
        <v>1573.1644482588224</v>
      </c>
      <c r="AV68" s="1236">
        <f t="shared" si="14"/>
        <v>0</v>
      </c>
      <c r="AW68" s="1240">
        <f t="shared" si="15"/>
        <v>10475.993856531619</v>
      </c>
      <c r="AX68" s="744">
        <f t="shared" si="16"/>
        <v>81216.267712103698</v>
      </c>
      <c r="AY68" s="1"/>
      <c r="AZ68" s="1150">
        <f t="shared" si="22"/>
        <v>108.46761087084198</v>
      </c>
      <c r="BA68" s="411">
        <f t="shared" si="17"/>
        <v>0.24495352390298028</v>
      </c>
      <c r="BB68" s="1360">
        <f>'Input data'!D112/10^6</f>
        <v>0</v>
      </c>
    </row>
    <row r="69" spans="1:54">
      <c r="A69" s="990">
        <f>'Input data'!A113</f>
        <v>2013</v>
      </c>
      <c r="B69" s="1647">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2">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5">
        <f t="shared" si="6"/>
        <v>0.99999999999999989</v>
      </c>
      <c r="T69" s="648">
        <f t="shared" si="38"/>
        <v>0.63235922405513523</v>
      </c>
      <c r="U69" s="411">
        <f t="shared" si="36"/>
        <v>0.26190663551682625</v>
      </c>
      <c r="V69" s="411">
        <f t="shared" si="37"/>
        <v>0.10573414042803844</v>
      </c>
      <c r="W69" s="411">
        <f t="shared" si="29"/>
        <v>0</v>
      </c>
      <c r="X69" s="1152">
        <f t="shared" si="8"/>
        <v>0.99999999999999989</v>
      </c>
      <c r="Y69" s="648">
        <f>'Input data'!$G$35</f>
        <v>0.66241124199764068</v>
      </c>
      <c r="Z69" s="1152">
        <f>'Input data'!$H$35</f>
        <v>0.33758875800235938</v>
      </c>
      <c r="AA69" s="1356">
        <f>'Input data'!J113</f>
        <v>28.06789123869763</v>
      </c>
      <c r="AB69" s="1236">
        <f>'Input data'!L113</f>
        <v>83339.078958887578</v>
      </c>
      <c r="AC69" s="411">
        <f t="shared" si="30"/>
        <v>0.7821504466492184</v>
      </c>
      <c r="AD69" s="411">
        <f t="shared" si="30"/>
        <v>8.8860692477895534E-2</v>
      </c>
      <c r="AE69" s="411">
        <f t="shared" si="30"/>
        <v>0</v>
      </c>
      <c r="AF69" s="411">
        <f t="shared" si="30"/>
        <v>0.12898886087288614</v>
      </c>
      <c r="AG69" s="411">
        <f t="shared" si="20"/>
        <v>1</v>
      </c>
      <c r="AH69" s="1354">
        <f t="shared" si="31"/>
        <v>0.78201761382701329</v>
      </c>
      <c r="AI69" s="1238">
        <f t="shared" si="31"/>
        <v>0.21798238617298668</v>
      </c>
      <c r="AJ69" s="1"/>
      <c r="AK69" s="990">
        <f t="shared" si="0"/>
        <v>2013</v>
      </c>
      <c r="AL69" s="766">
        <f t="shared" si="1"/>
        <v>16840.780594786906</v>
      </c>
      <c r="AM69" s="1236">
        <f t="shared" si="2"/>
        <v>4620.3253237331637</v>
      </c>
      <c r="AN69" s="1236">
        <f t="shared" si="3"/>
        <v>2354.6851090602163</v>
      </c>
      <c r="AO69" s="1236">
        <f t="shared" si="4"/>
        <v>2815.8764711428162</v>
      </c>
      <c r="AP69" s="1236">
        <f t="shared" si="5"/>
        <v>0</v>
      </c>
      <c r="AQ69" s="663">
        <f t="shared" si="10"/>
        <v>26631.667498723102</v>
      </c>
      <c r="AR69" s="1"/>
      <c r="AS69" s="1239">
        <f t="shared" si="11"/>
        <v>65183.697831028396</v>
      </c>
      <c r="AT69" s="1240">
        <f t="shared" si="12"/>
        <v>5791.2848250021752</v>
      </c>
      <c r="AU69" s="1240">
        <f t="shared" si="13"/>
        <v>1614.2834417545885</v>
      </c>
      <c r="AV69" s="1236">
        <f t="shared" si="14"/>
        <v>0</v>
      </c>
      <c r="AW69" s="1240">
        <f t="shared" si="15"/>
        <v>10749.812861102422</v>
      </c>
      <c r="AX69" s="744">
        <f t="shared" si="16"/>
        <v>83339.078958887578</v>
      </c>
      <c r="AY69" s="1"/>
      <c r="AZ69" s="1150">
        <f t="shared" si="22"/>
        <v>109.97074645761069</v>
      </c>
      <c r="BA69" s="411">
        <f t="shared" si="17"/>
        <v>0.25412456432281788</v>
      </c>
      <c r="BB69" s="1360">
        <f>'Input data'!D113/10^6</f>
        <v>0</v>
      </c>
    </row>
    <row r="70" spans="1:54">
      <c r="A70" s="990">
        <f>'Input data'!A114</f>
        <v>2014</v>
      </c>
      <c r="B70" s="1647">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2">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5">
        <f t="shared" si="6"/>
        <v>0.99999999999999989</v>
      </c>
      <c r="T70" s="648">
        <f t="shared" si="38"/>
        <v>0.59044903006891902</v>
      </c>
      <c r="U70" s="411">
        <f t="shared" si="36"/>
        <v>0.29988329439603278</v>
      </c>
      <c r="V70" s="411">
        <f t="shared" si="37"/>
        <v>0.10966767553504805</v>
      </c>
      <c r="W70" s="411">
        <f t="shared" si="29"/>
        <v>0</v>
      </c>
      <c r="X70" s="1152">
        <f t="shared" si="8"/>
        <v>0.99999999999999989</v>
      </c>
      <c r="Y70" s="648">
        <f>'Input data'!$G$35</f>
        <v>0.66241124199764068</v>
      </c>
      <c r="Z70" s="1152">
        <f>'Input data'!$H$35</f>
        <v>0.33758875800235938</v>
      </c>
      <c r="AA70" s="1356">
        <f>'Input data'!J114</f>
        <v>28.06789123869763</v>
      </c>
      <c r="AB70" s="1236">
        <f>'Input data'!L114</f>
        <v>84827.268250850117</v>
      </c>
      <c r="AC70" s="411">
        <f t="shared" si="30"/>
        <v>0.7821504466492184</v>
      </c>
      <c r="AD70" s="411">
        <f t="shared" si="30"/>
        <v>8.8860692477895534E-2</v>
      </c>
      <c r="AE70" s="411">
        <f t="shared" si="30"/>
        <v>0</v>
      </c>
      <c r="AF70" s="411">
        <f t="shared" si="30"/>
        <v>0.12898886087288614</v>
      </c>
      <c r="AG70" s="411">
        <f t="shared" si="20"/>
        <v>1</v>
      </c>
      <c r="AH70" s="1354">
        <f t="shared" si="31"/>
        <v>0.78201761382701329</v>
      </c>
      <c r="AI70" s="1238">
        <f t="shared" si="31"/>
        <v>0.21798238617298668</v>
      </c>
      <c r="AJ70" s="1"/>
      <c r="AK70" s="990">
        <f t="shared" ref="AK70:AK73" si="39">A70</f>
        <v>2014</v>
      </c>
      <c r="AL70" s="766">
        <f t="shared" ref="AL70:AL73" si="40">C70*T70</f>
        <v>15349.258096732552</v>
      </c>
      <c r="AM70" s="1236">
        <f t="shared" ref="AM70:AM73" si="41">C70*Y70*U70</f>
        <v>5163.9846522072812</v>
      </c>
      <c r="AN70" s="1236">
        <f t="shared" ref="AN70:AN73" si="42">C70*U70*Z70</f>
        <v>2631.7535913560341</v>
      </c>
      <c r="AO70" s="1236">
        <f t="shared" ref="AO70:AO73" si="43">C70*V70</f>
        <v>2850.9106983539168</v>
      </c>
      <c r="AP70" s="1236">
        <f t="shared" ref="AP70:AP73" si="44">C70*W70</f>
        <v>0</v>
      </c>
      <c r="AQ70" s="663">
        <f t="shared" si="10"/>
        <v>25995.907038649784</v>
      </c>
      <c r="AR70" s="1"/>
      <c r="AS70" s="1239">
        <f t="shared" si="11"/>
        <v>66347.685750435485</v>
      </c>
      <c r="AT70" s="1240">
        <f t="shared" si="12"/>
        <v>5894.700031540815</v>
      </c>
      <c r="AU70" s="1240">
        <f t="shared" si="13"/>
        <v>1643.1097662379286</v>
      </c>
      <c r="AV70" s="1236">
        <f t="shared" si="14"/>
        <v>0</v>
      </c>
      <c r="AW70" s="1240">
        <f t="shared" si="15"/>
        <v>10941.772702635897</v>
      </c>
      <c r="AX70" s="744">
        <f t="shared" si="16"/>
        <v>84827.268250850131</v>
      </c>
      <c r="AY70" s="1"/>
      <c r="AZ70" s="1150">
        <f t="shared" si="22"/>
        <v>110.82317528949993</v>
      </c>
      <c r="BA70" s="411">
        <f t="shared" si="17"/>
        <v>0.26281715323754568</v>
      </c>
      <c r="BB70" s="1360">
        <f>'Input data'!D114/10^6</f>
        <v>0</v>
      </c>
    </row>
    <row r="71" spans="1:54">
      <c r="A71" s="990">
        <f>'Input data'!A115</f>
        <v>2015</v>
      </c>
      <c r="B71" s="1647">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2">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5">
        <f t="shared" ref="S71:S73" si="45">SUM(L71:R71)</f>
        <v>0.99999999999999989</v>
      </c>
      <c r="T71" s="648">
        <f t="shared" si="38"/>
        <v>0.54853883608270282</v>
      </c>
      <c r="U71" s="411">
        <f t="shared" si="36"/>
        <v>0.33785995327523932</v>
      </c>
      <c r="V71" s="411">
        <f t="shared" si="37"/>
        <v>0.11360121064205767</v>
      </c>
      <c r="W71" s="411">
        <f t="shared" si="29"/>
        <v>0</v>
      </c>
      <c r="X71" s="1152">
        <f t="shared" ref="X71:X72" si="46">SUM(T71:W71)</f>
        <v>0.99999999999999978</v>
      </c>
      <c r="Y71" s="648">
        <f>'Input data'!$G$35</f>
        <v>0.66241124199764068</v>
      </c>
      <c r="Z71" s="1152">
        <f>'Input data'!$H$35</f>
        <v>0.33758875800235938</v>
      </c>
      <c r="AA71" s="1356">
        <f>'Input data'!J115</f>
        <v>28.06789123869763</v>
      </c>
      <c r="AB71" s="1236">
        <f>'Input data'!L115</f>
        <v>85894.248849119918</v>
      </c>
      <c r="AC71" s="411">
        <f t="shared" si="30"/>
        <v>0.7821504466492184</v>
      </c>
      <c r="AD71" s="411">
        <f t="shared" si="30"/>
        <v>8.8860692477895534E-2</v>
      </c>
      <c r="AE71" s="411">
        <f t="shared" si="30"/>
        <v>0</v>
      </c>
      <c r="AF71" s="411">
        <f t="shared" si="30"/>
        <v>0.12898886087288614</v>
      </c>
      <c r="AG71" s="411">
        <f t="shared" si="20"/>
        <v>1</v>
      </c>
      <c r="AH71" s="1354">
        <f t="shared" si="31"/>
        <v>0.78201761382701329</v>
      </c>
      <c r="AI71" s="1238">
        <f t="shared" si="31"/>
        <v>0.21798238617298668</v>
      </c>
      <c r="AJ71" s="1"/>
      <c r="AK71" s="990">
        <f t="shared" si="39"/>
        <v>2015</v>
      </c>
      <c r="AL71" s="766">
        <f t="shared" si="40"/>
        <v>13901.564482903679</v>
      </c>
      <c r="AM71" s="1236">
        <f t="shared" si="41"/>
        <v>5671.7974093505181</v>
      </c>
      <c r="AN71" s="1236">
        <f t="shared" si="42"/>
        <v>2890.5533627257801</v>
      </c>
      <c r="AO71" s="1236">
        <f t="shared" si="43"/>
        <v>2878.9840412291032</v>
      </c>
      <c r="AP71" s="1236">
        <f t="shared" si="44"/>
        <v>0</v>
      </c>
      <c r="AQ71" s="663">
        <f t="shared" ref="AQ71:AQ73" si="47">SUM(AL71:AP71)</f>
        <v>25342.899296209078</v>
      </c>
      <c r="AR71" s="1"/>
      <c r="AS71" s="1239">
        <f t="shared" ref="AS71:AS73" si="48">AC71*AB71</f>
        <v>67182.225101938253</v>
      </c>
      <c r="AT71" s="1240">
        <f t="shared" ref="AT71:AT73" si="49">AB71*AD71*AH71</f>
        <v>5968.8451819855409</v>
      </c>
      <c r="AU71" s="1240">
        <f t="shared" ref="AU71:AU73" si="50">AI71*AD71*AB71</f>
        <v>1663.7772506159363</v>
      </c>
      <c r="AV71" s="1236">
        <f t="shared" ref="AV71:AV73" si="51">AE71*AB71</f>
        <v>0</v>
      </c>
      <c r="AW71" s="1240">
        <f t="shared" ref="AW71:AW73" si="52">AF71*AB71</f>
        <v>11079.401314580189</v>
      </c>
      <c r="AX71" s="744">
        <f t="shared" ref="AX71:AX73" si="53">SUM(AS71:AW71)</f>
        <v>85894.248849119918</v>
      </c>
      <c r="AY71" s="1"/>
      <c r="AZ71" s="1150">
        <f t="shared" si="22"/>
        <v>111.237148145329</v>
      </c>
      <c r="BA71" s="411">
        <f t="shared" ref="BA71:BA73" si="54">(AX71+AQ71-AS71-AL71)/(AQ71+AX71)</f>
        <v>0.27107274020628741</v>
      </c>
      <c r="BB71" s="1360">
        <f>'Input data'!D115/10^6</f>
        <v>0</v>
      </c>
    </row>
    <row r="72" spans="1:54">
      <c r="A72" s="990">
        <f>'Input data'!A116</f>
        <v>2016</v>
      </c>
      <c r="B72" s="1647">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2">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5">
        <f t="shared" si="45"/>
        <v>0.99999999999999989</v>
      </c>
      <c r="T72" s="648">
        <f t="shared" si="38"/>
        <v>0.50662864209648661</v>
      </c>
      <c r="U72" s="411">
        <f t="shared" si="36"/>
        <v>0.37583661215444586</v>
      </c>
      <c r="V72" s="411">
        <f t="shared" si="37"/>
        <v>0.11753474574906728</v>
      </c>
      <c r="W72" s="411">
        <f t="shared" ref="W72" si="55">W71</f>
        <v>0</v>
      </c>
      <c r="X72" s="1152">
        <f t="shared" si="46"/>
        <v>0.99999999999999978</v>
      </c>
      <c r="Y72" s="648">
        <f>'Input data'!$G$35</f>
        <v>0.66241124199764068</v>
      </c>
      <c r="Z72" s="1152">
        <f>'Input data'!$H$35</f>
        <v>0.33758875800235938</v>
      </c>
      <c r="AA72" s="1356">
        <f>'Input data'!J116</f>
        <v>28.06789123869763</v>
      </c>
      <c r="AB72" s="1236">
        <f>'Input data'!L116</f>
        <v>86529.544755273513</v>
      </c>
      <c r="AC72" s="411">
        <f t="shared" ref="AC72:AF73" si="56">AC71</f>
        <v>0.7821504466492184</v>
      </c>
      <c r="AD72" s="411">
        <f t="shared" si="56"/>
        <v>8.8860692477895534E-2</v>
      </c>
      <c r="AE72" s="411">
        <f t="shared" si="56"/>
        <v>0</v>
      </c>
      <c r="AF72" s="411">
        <f t="shared" si="56"/>
        <v>0.12898886087288614</v>
      </c>
      <c r="AG72" s="411">
        <f t="shared" ref="AG72:AG73" si="57">SUM(AC72:AF72)</f>
        <v>1</v>
      </c>
      <c r="AH72" s="1354">
        <f t="shared" ref="AH72:AI73" si="58">AH71</f>
        <v>0.78201761382701329</v>
      </c>
      <c r="AI72" s="1238">
        <f t="shared" si="58"/>
        <v>0.21798238617298668</v>
      </c>
      <c r="AJ72" s="1"/>
      <c r="AK72" s="990">
        <f t="shared" si="39"/>
        <v>2016</v>
      </c>
      <c r="AL72" s="766">
        <f t="shared" si="40"/>
        <v>12499.24800705794</v>
      </c>
      <c r="AM72" s="1236">
        <f t="shared" si="41"/>
        <v>6142.1571730197802</v>
      </c>
      <c r="AN72" s="1236">
        <f t="shared" si="42"/>
        <v>3130.2657322691025</v>
      </c>
      <c r="AO72" s="1236">
        <f t="shared" si="43"/>
        <v>2899.7490755453655</v>
      </c>
      <c r="AP72" s="1236">
        <f t="shared" si="44"/>
        <v>0</v>
      </c>
      <c r="AQ72" s="663">
        <f t="shared" si="47"/>
        <v>24671.419987892186</v>
      </c>
      <c r="AR72" s="1"/>
      <c r="AS72" s="1239">
        <f t="shared" si="48"/>
        <v>67679.122078690707</v>
      </c>
      <c r="AT72" s="1240">
        <f t="shared" si="49"/>
        <v>6012.9922926406553</v>
      </c>
      <c r="AU72" s="1240">
        <f t="shared" si="50"/>
        <v>1676.0829741100024</v>
      </c>
      <c r="AV72" s="1236">
        <f t="shared" si="51"/>
        <v>0</v>
      </c>
      <c r="AW72" s="1240">
        <f t="shared" si="52"/>
        <v>11161.347409832149</v>
      </c>
      <c r="AX72" s="744">
        <f t="shared" si="53"/>
        <v>86529.544755273513</v>
      </c>
      <c r="AY72" s="1"/>
      <c r="AZ72" s="1150">
        <f t="shared" ref="AZ72:AZ73" si="59">(AX72+AQ72)*1000/10^6</f>
        <v>111.2009647431657</v>
      </c>
      <c r="BA72" s="411">
        <f t="shared" si="54"/>
        <v>0.27897774744192294</v>
      </c>
      <c r="BB72" s="1360">
        <f>'Input data'!D116/10^6</f>
        <v>0</v>
      </c>
    </row>
    <row r="73" spans="1:54" s="1" customFormat="1" ht="16.5" thickBot="1">
      <c r="A73" s="1650">
        <f>'Input data'!A117</f>
        <v>2017</v>
      </c>
      <c r="B73" s="1651">
        <f>'Input data'!I117</f>
        <v>424.26313389388866</v>
      </c>
      <c r="C73" s="538">
        <f>B73*'Input data'!B117</f>
        <v>23980.178809937162</v>
      </c>
      <c r="D73" s="1244">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5">
        <f>'Input data'!U117</f>
        <v>1</v>
      </c>
      <c r="L73" s="1244">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4">
        <f>'Input data'!B35</f>
        <v>0.46471844811027063</v>
      </c>
      <c r="U73" s="536">
        <f>'Input data'!C35</f>
        <v>0.41381327103365251</v>
      </c>
      <c r="V73" s="536">
        <f>'Input data'!D35</f>
        <v>0.12146828085607692</v>
      </c>
      <c r="W73" s="536">
        <f>'Input data'!E35</f>
        <v>0</v>
      </c>
      <c r="X73" s="1245">
        <f>SUM(T73:W73)</f>
        <v>1</v>
      </c>
      <c r="Y73" s="1244">
        <f>'Input data'!$G$35</f>
        <v>0.66241124199764068</v>
      </c>
      <c r="Z73" s="1245">
        <f>'Input data'!$H$35</f>
        <v>0.33758875800235938</v>
      </c>
      <c r="AA73" s="1357">
        <f>'Input data'!J117</f>
        <v>12.031045626813224</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6">
        <f t="shared" si="58"/>
        <v>0.78201761382701329</v>
      </c>
      <c r="AI73" s="1247">
        <f t="shared" si="58"/>
        <v>0.21798238617298668</v>
      </c>
      <c r="AJ73" s="413"/>
      <c r="AK73" s="1650">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2">
        <f t="shared" si="59"/>
        <v>111.48215319455257</v>
      </c>
      <c r="BA73" s="536">
        <f t="shared" si="54"/>
        <v>0.28613022309776337</v>
      </c>
      <c r="BB73" s="1653">
        <f>'Input data'!D117/10^6</f>
        <v>49.995050999999997</v>
      </c>
    </row>
    <row r="74" spans="1:54">
      <c r="B74" s="1248"/>
      <c r="F74" s="1249"/>
      <c r="G74" s="1249"/>
      <c r="H74" s="1249"/>
      <c r="I74" s="1249"/>
      <c r="J74" s="419"/>
      <c r="K74" s="419"/>
      <c r="L74" s="623"/>
      <c r="N74" s="1249"/>
      <c r="O74" s="1249"/>
      <c r="P74" s="1249"/>
      <c r="Q74" s="1249"/>
      <c r="R74" s="419"/>
      <c r="S74" s="419"/>
      <c r="T74" s="419"/>
      <c r="U74" s="419"/>
      <c r="V74" s="419"/>
      <c r="W74" s="419"/>
      <c r="X74" s="419"/>
    </row>
    <row r="75" spans="1:54">
      <c r="B75" s="1248"/>
      <c r="F75" s="1249"/>
      <c r="G75" s="1249"/>
      <c r="H75" s="1249"/>
      <c r="I75" s="1249"/>
      <c r="J75" s="419"/>
      <c r="K75" s="419"/>
      <c r="N75" s="1249"/>
      <c r="O75" s="1249"/>
      <c r="P75" s="1249"/>
      <c r="Q75" s="1249"/>
      <c r="R75" s="419"/>
      <c r="S75" s="419"/>
      <c r="T75" s="419"/>
      <c r="U75" s="419"/>
      <c r="V75" s="419"/>
      <c r="W75" s="419"/>
      <c r="X75" s="419"/>
    </row>
    <row r="76" spans="1:54">
      <c r="B76" s="1248"/>
      <c r="F76" s="1249"/>
      <c r="G76" s="1249"/>
      <c r="H76" s="1249"/>
      <c r="I76" s="1249"/>
      <c r="J76" s="419"/>
      <c r="K76" s="419"/>
      <c r="N76" s="1249"/>
      <c r="O76" s="1249"/>
      <c r="P76" s="1249"/>
      <c r="Q76" s="1249"/>
      <c r="R76" s="419"/>
      <c r="S76" s="419"/>
      <c r="T76" s="419"/>
      <c r="U76" s="419"/>
      <c r="V76" s="419"/>
      <c r="W76" s="419"/>
      <c r="X76" s="419"/>
    </row>
    <row r="77" spans="1:54">
      <c r="B77" s="1248"/>
      <c r="F77" s="1249"/>
      <c r="G77" s="1249"/>
      <c r="H77" s="1249"/>
      <c r="I77" s="1249"/>
      <c r="J77" s="419"/>
      <c r="K77" s="419"/>
      <c r="N77" s="1249"/>
      <c r="O77" s="1249"/>
      <c r="P77" s="1249"/>
      <c r="Q77" s="1249"/>
      <c r="R77" s="419"/>
      <c r="S77" s="419"/>
      <c r="T77" s="419"/>
      <c r="U77" s="419"/>
      <c r="V77" s="419"/>
      <c r="W77" s="419"/>
      <c r="X77" s="419"/>
    </row>
    <row r="78" spans="1:54">
      <c r="B78" s="1248"/>
      <c r="F78" s="1249"/>
      <c r="G78" s="1249"/>
      <c r="H78" s="1249"/>
      <c r="I78" s="1249"/>
      <c r="J78" s="419"/>
      <c r="K78" s="419"/>
      <c r="N78" s="1249"/>
      <c r="O78" s="1249"/>
      <c r="P78" s="1249"/>
      <c r="Q78" s="1249"/>
      <c r="R78" s="419"/>
      <c r="S78" s="419"/>
      <c r="T78" s="419"/>
      <c r="U78" s="419"/>
      <c r="V78" s="419"/>
      <c r="W78" s="419"/>
      <c r="X78" s="419"/>
    </row>
    <row r="79" spans="1:54">
      <c r="B79" s="1248"/>
      <c r="F79" s="1249"/>
      <c r="G79" s="1249"/>
      <c r="H79" s="1249"/>
      <c r="I79" s="1249"/>
      <c r="J79" s="419"/>
      <c r="K79" s="419"/>
      <c r="N79" s="1249"/>
      <c r="O79" s="1249"/>
      <c r="P79" s="1249"/>
      <c r="Q79" s="1249"/>
      <c r="R79" s="419"/>
      <c r="S79" s="419"/>
      <c r="T79" s="419"/>
      <c r="U79" s="419"/>
      <c r="V79" s="419"/>
      <c r="W79" s="419"/>
      <c r="X79" s="419"/>
    </row>
    <row r="80" spans="1:54">
      <c r="B80" s="1248"/>
      <c r="F80" s="1249"/>
      <c r="G80" s="1249"/>
      <c r="H80" s="1249"/>
      <c r="I80" s="1249"/>
      <c r="J80" s="419"/>
      <c r="K80" s="419"/>
      <c r="N80" s="1249"/>
      <c r="O80" s="1249"/>
      <c r="P80" s="1249"/>
      <c r="Q80" s="1249"/>
      <c r="R80" s="419"/>
      <c r="S80" s="419"/>
      <c r="T80" s="419"/>
      <c r="U80" s="419"/>
      <c r="V80" s="419"/>
      <c r="W80" s="419"/>
      <c r="X80" s="419"/>
    </row>
    <row r="81" spans="2:35" s="1" customFormat="1">
      <c r="B81" s="1248"/>
      <c r="F81" s="1249"/>
      <c r="G81" s="1249"/>
      <c r="H81" s="1249"/>
      <c r="I81" s="1249"/>
      <c r="J81" s="419"/>
      <c r="K81" s="419"/>
      <c r="N81" s="1249"/>
      <c r="O81" s="1249"/>
      <c r="P81" s="1249"/>
      <c r="Q81" s="1249"/>
      <c r="R81" s="419"/>
      <c r="S81" s="419"/>
      <c r="T81" s="419"/>
      <c r="U81" s="419"/>
      <c r="V81" s="419"/>
      <c r="W81" s="419"/>
      <c r="X81" s="419"/>
      <c r="AH81" s="1237"/>
      <c r="AI81" s="1237"/>
    </row>
    <row r="82" spans="2:35">
      <c r="B82" s="1248"/>
      <c r="F82" s="1249"/>
      <c r="G82" s="1249"/>
      <c r="H82" s="1249"/>
      <c r="I82" s="1249"/>
      <c r="J82" s="419"/>
      <c r="K82" s="419"/>
      <c r="N82" s="1249"/>
      <c r="O82" s="1249"/>
      <c r="P82" s="1249"/>
      <c r="Q82" s="1249"/>
      <c r="R82" s="419"/>
      <c r="S82" s="419"/>
      <c r="T82" s="419"/>
      <c r="U82" s="419"/>
      <c r="V82" s="419"/>
      <c r="W82" s="419"/>
      <c r="X82" s="419"/>
    </row>
    <row r="83" spans="2:35">
      <c r="B83" s="1248"/>
      <c r="F83" s="1249"/>
      <c r="G83" s="1249"/>
      <c r="H83" s="1249"/>
      <c r="I83" s="1249"/>
      <c r="J83" s="419"/>
      <c r="K83" s="419"/>
      <c r="N83" s="1249"/>
      <c r="O83" s="1249"/>
      <c r="P83" s="1249"/>
      <c r="Q83" s="1249"/>
      <c r="R83" s="419"/>
      <c r="S83" s="419"/>
      <c r="T83" s="419"/>
      <c r="U83" s="419"/>
      <c r="V83" s="419"/>
      <c r="W83" s="419"/>
      <c r="X83" s="419"/>
    </row>
    <row r="84" spans="2:35">
      <c r="B84" s="1248"/>
      <c r="F84" s="1249"/>
      <c r="G84" s="1249"/>
      <c r="H84" s="1249"/>
      <c r="I84" s="1249"/>
      <c r="J84" s="419"/>
      <c r="K84" s="419"/>
      <c r="N84" s="1249"/>
      <c r="O84" s="1249"/>
      <c r="P84" s="1249"/>
      <c r="Q84" s="1249"/>
      <c r="R84" s="419"/>
      <c r="S84" s="419"/>
      <c r="T84" s="419"/>
      <c r="U84" s="419"/>
      <c r="V84" s="419"/>
      <c r="W84" s="419"/>
      <c r="X84" s="419"/>
    </row>
    <row r="85" spans="2:35">
      <c r="B85" s="1248"/>
      <c r="F85" s="1249"/>
      <c r="G85" s="1249"/>
      <c r="H85" s="1249"/>
      <c r="I85" s="1249"/>
      <c r="J85" s="419"/>
      <c r="K85" s="419"/>
      <c r="N85" s="1249"/>
      <c r="O85" s="1249"/>
      <c r="P85" s="1249"/>
      <c r="Q85" s="1249"/>
      <c r="R85" s="419"/>
      <c r="S85" s="419"/>
      <c r="T85" s="419"/>
      <c r="U85" s="419"/>
      <c r="V85" s="419"/>
      <c r="W85" s="419"/>
      <c r="X85" s="419"/>
    </row>
    <row r="86" spans="2:35">
      <c r="B86" s="1248"/>
      <c r="F86" s="1249"/>
      <c r="G86" s="1249"/>
      <c r="H86" s="1249"/>
      <c r="I86" s="1249"/>
      <c r="J86" s="419"/>
      <c r="K86" s="419"/>
      <c r="N86" s="1249"/>
      <c r="O86" s="1249"/>
      <c r="P86" s="1249"/>
      <c r="Q86" s="1249"/>
      <c r="R86" s="419"/>
      <c r="S86" s="419"/>
      <c r="T86" s="419"/>
      <c r="U86" s="419"/>
      <c r="V86" s="419"/>
      <c r="W86" s="419"/>
      <c r="X86" s="419"/>
    </row>
    <row r="87" spans="2:35">
      <c r="B87" s="1248"/>
      <c r="F87" s="1249"/>
      <c r="G87" s="1249"/>
      <c r="H87" s="1249"/>
      <c r="I87" s="1249"/>
      <c r="J87" s="419"/>
      <c r="K87" s="419"/>
      <c r="N87" s="1249"/>
      <c r="O87" s="1249"/>
      <c r="P87" s="1249"/>
      <c r="Q87" s="1249"/>
      <c r="R87" s="419"/>
      <c r="S87" s="419"/>
      <c r="T87" s="419"/>
      <c r="U87" s="419"/>
      <c r="V87" s="419"/>
      <c r="W87" s="419"/>
      <c r="X87" s="419"/>
    </row>
    <row r="88" spans="2:35">
      <c r="B88" s="1248"/>
      <c r="F88" s="1249"/>
      <c r="G88" s="1249"/>
      <c r="H88" s="1249"/>
      <c r="I88" s="1249"/>
      <c r="J88" s="419"/>
      <c r="K88" s="419"/>
      <c r="N88" s="1249"/>
      <c r="O88" s="1249"/>
      <c r="P88" s="1249"/>
      <c r="Q88" s="1249"/>
      <c r="R88" s="419"/>
      <c r="S88" s="419"/>
      <c r="T88" s="419"/>
      <c r="U88" s="419"/>
      <c r="V88" s="419"/>
      <c r="W88" s="419"/>
      <c r="X88" s="419"/>
    </row>
    <row r="89" spans="2:35">
      <c r="B89" s="1248"/>
      <c r="F89" s="1249"/>
      <c r="G89" s="1249"/>
      <c r="H89" s="1249"/>
      <c r="I89" s="1249"/>
      <c r="J89" s="419"/>
      <c r="K89" s="419"/>
      <c r="N89" s="1249"/>
      <c r="O89" s="1249"/>
      <c r="P89" s="1249"/>
      <c r="Q89" s="1249"/>
      <c r="R89" s="419"/>
      <c r="S89" s="419"/>
      <c r="T89" s="419"/>
      <c r="U89" s="419"/>
      <c r="V89" s="419"/>
      <c r="W89" s="419"/>
      <c r="X89" s="419"/>
    </row>
    <row r="90" spans="2:35">
      <c r="B90" s="1248"/>
      <c r="F90" s="1249"/>
      <c r="G90" s="1249"/>
      <c r="H90" s="1249"/>
      <c r="I90" s="1249"/>
      <c r="J90" s="419"/>
      <c r="K90" s="419"/>
      <c r="N90" s="1249"/>
      <c r="O90" s="1249"/>
      <c r="P90" s="1249"/>
      <c r="Q90" s="1249"/>
      <c r="R90" s="419"/>
      <c r="S90" s="419"/>
      <c r="T90" s="419"/>
      <c r="U90" s="419"/>
      <c r="V90" s="419"/>
      <c r="W90" s="419"/>
      <c r="X90" s="419"/>
    </row>
    <row r="91" spans="2:35">
      <c r="B91" s="1248"/>
      <c r="F91" s="1249"/>
      <c r="G91" s="1249"/>
      <c r="H91" s="1249"/>
      <c r="I91" s="1249"/>
      <c r="J91" s="419"/>
      <c r="K91" s="419"/>
      <c r="N91" s="1249"/>
      <c r="O91" s="1249"/>
      <c r="P91" s="1249"/>
      <c r="Q91" s="1249"/>
      <c r="R91" s="419"/>
      <c r="S91" s="419"/>
      <c r="T91" s="419"/>
      <c r="U91" s="419"/>
      <c r="V91" s="419"/>
      <c r="W91" s="419"/>
      <c r="X91" s="419"/>
    </row>
    <row r="92" spans="2:35">
      <c r="B92" s="1248"/>
      <c r="F92" s="1249"/>
      <c r="G92" s="1249"/>
      <c r="H92" s="1249"/>
      <c r="I92" s="1249"/>
      <c r="J92" s="419"/>
      <c r="K92" s="419"/>
      <c r="N92" s="1249"/>
      <c r="O92" s="1249"/>
      <c r="P92" s="1249"/>
      <c r="Q92" s="1249"/>
      <c r="R92" s="419"/>
      <c r="S92" s="419"/>
      <c r="T92" s="419"/>
      <c r="U92" s="419"/>
      <c r="V92" s="419"/>
      <c r="W92" s="419"/>
      <c r="X92" s="419"/>
    </row>
    <row r="93" spans="2:35">
      <c r="B93" s="1248"/>
      <c r="F93" s="1249"/>
      <c r="G93" s="1249"/>
      <c r="H93" s="1249"/>
      <c r="I93" s="1249"/>
      <c r="J93" s="419"/>
      <c r="K93" s="419"/>
      <c r="N93" s="1249"/>
      <c r="O93" s="1249"/>
      <c r="P93" s="1249"/>
      <c r="Q93" s="1249"/>
      <c r="R93" s="419"/>
      <c r="S93" s="419"/>
      <c r="T93" s="419"/>
      <c r="U93" s="419"/>
      <c r="V93" s="419"/>
      <c r="W93" s="419"/>
      <c r="X93" s="419"/>
    </row>
    <row r="94" spans="2:35">
      <c r="B94" s="1248"/>
      <c r="F94" s="1249"/>
      <c r="G94" s="1249"/>
      <c r="H94" s="1249"/>
      <c r="I94" s="1249"/>
      <c r="J94" s="419"/>
      <c r="K94" s="419"/>
      <c r="N94" s="1249"/>
      <c r="O94" s="1249"/>
      <c r="P94" s="1249"/>
      <c r="Q94" s="1249"/>
      <c r="R94" s="419"/>
      <c r="S94" s="419"/>
      <c r="T94" s="419"/>
      <c r="U94" s="419"/>
      <c r="V94" s="419"/>
      <c r="W94" s="419"/>
      <c r="X94" s="419"/>
    </row>
    <row r="95" spans="2:35">
      <c r="B95" s="1248"/>
      <c r="F95" s="1249"/>
      <c r="G95" s="1249"/>
      <c r="H95" s="1249"/>
      <c r="I95" s="1249"/>
      <c r="J95" s="419"/>
      <c r="K95" s="419"/>
      <c r="N95" s="1249"/>
      <c r="O95" s="1249"/>
      <c r="P95" s="1249"/>
      <c r="Q95" s="1249"/>
      <c r="R95" s="419"/>
      <c r="S95" s="419"/>
      <c r="T95" s="419"/>
      <c r="U95" s="419"/>
      <c r="V95" s="419"/>
      <c r="W95" s="419"/>
      <c r="X95" s="419"/>
    </row>
    <row r="96" spans="2:35">
      <c r="B96" s="1248"/>
      <c r="F96" s="1249"/>
      <c r="G96" s="1249"/>
      <c r="H96" s="1249"/>
      <c r="I96" s="1249"/>
      <c r="J96" s="419"/>
      <c r="K96" s="419"/>
      <c r="N96" s="1249"/>
      <c r="O96" s="1249"/>
      <c r="P96" s="1249"/>
      <c r="Q96" s="1249"/>
      <c r="R96" s="419"/>
      <c r="S96" s="419"/>
      <c r="T96" s="419"/>
      <c r="U96" s="419"/>
      <c r="V96" s="419"/>
      <c r="W96" s="419"/>
      <c r="X96" s="419"/>
    </row>
    <row r="97" spans="2:24">
      <c r="B97" s="1248"/>
      <c r="F97" s="1249"/>
      <c r="G97" s="1249"/>
      <c r="H97" s="1249"/>
      <c r="I97" s="1249"/>
      <c r="J97" s="419"/>
      <c r="K97" s="419"/>
      <c r="N97" s="1249"/>
      <c r="O97" s="1249"/>
      <c r="P97" s="1249"/>
      <c r="Q97" s="1249"/>
      <c r="R97" s="419"/>
      <c r="S97" s="419"/>
      <c r="T97" s="419"/>
      <c r="U97" s="419"/>
      <c r="V97" s="419"/>
      <c r="W97" s="419"/>
      <c r="X97" s="419"/>
    </row>
    <row r="98" spans="2:24">
      <c r="B98" s="1248"/>
      <c r="F98" s="1249"/>
      <c r="G98" s="1249"/>
      <c r="H98" s="1249"/>
      <c r="I98" s="1249"/>
      <c r="J98" s="419"/>
      <c r="K98" s="419"/>
      <c r="N98" s="1249"/>
      <c r="O98" s="1249"/>
      <c r="P98" s="1249"/>
      <c r="Q98" s="1249"/>
      <c r="R98" s="419"/>
      <c r="S98" s="419"/>
      <c r="T98" s="419"/>
      <c r="U98" s="419"/>
      <c r="V98" s="419"/>
      <c r="W98" s="419"/>
      <c r="X98" s="419"/>
    </row>
    <row r="99" spans="2:24">
      <c r="B99" s="1248"/>
      <c r="F99" s="1249"/>
      <c r="G99" s="1249"/>
      <c r="H99" s="1249"/>
      <c r="I99" s="1249"/>
      <c r="J99" s="419"/>
      <c r="K99" s="419"/>
      <c r="N99" s="1249"/>
      <c r="O99" s="1249"/>
      <c r="P99" s="1249"/>
      <c r="Q99" s="1249"/>
      <c r="R99" s="419"/>
      <c r="S99" s="419"/>
      <c r="T99" s="419"/>
      <c r="U99" s="419"/>
      <c r="V99" s="419"/>
      <c r="W99" s="419"/>
      <c r="X99" s="419"/>
    </row>
    <row r="100" spans="2:24">
      <c r="B100" s="1248"/>
      <c r="F100" s="1249"/>
      <c r="G100" s="1249"/>
      <c r="H100" s="1249"/>
      <c r="I100" s="1249"/>
      <c r="J100" s="419"/>
      <c r="K100" s="419"/>
      <c r="N100" s="1249"/>
      <c r="O100" s="1249"/>
      <c r="P100" s="1249"/>
      <c r="Q100" s="1249"/>
      <c r="R100" s="419"/>
      <c r="S100" s="419"/>
      <c r="T100" s="419"/>
      <c r="U100" s="419"/>
      <c r="V100" s="419"/>
      <c r="W100" s="419"/>
      <c r="X100" s="419"/>
    </row>
    <row r="101" spans="2:24">
      <c r="B101" s="1248"/>
      <c r="F101" s="1249"/>
      <c r="G101" s="1249"/>
      <c r="H101" s="1249"/>
      <c r="I101" s="1249"/>
      <c r="J101" s="419"/>
      <c r="K101" s="419"/>
      <c r="N101" s="1249"/>
      <c r="O101" s="1249"/>
      <c r="P101" s="1249"/>
      <c r="Q101" s="1249"/>
      <c r="R101" s="419"/>
      <c r="S101" s="419"/>
      <c r="T101" s="419"/>
      <c r="U101" s="419"/>
      <c r="V101" s="419"/>
      <c r="W101" s="419"/>
      <c r="X101" s="419"/>
    </row>
    <row r="102" spans="2:24">
      <c r="B102" s="1248"/>
      <c r="F102" s="1249"/>
      <c r="G102" s="1249"/>
      <c r="H102" s="1249"/>
      <c r="I102" s="1249"/>
      <c r="J102" s="419"/>
      <c r="K102" s="419"/>
      <c r="N102" s="1249"/>
      <c r="O102" s="1249"/>
      <c r="P102" s="1249"/>
      <c r="Q102" s="1249"/>
      <c r="R102" s="419"/>
      <c r="S102" s="419"/>
      <c r="T102" s="419"/>
      <c r="U102" s="419"/>
      <c r="V102" s="419"/>
      <c r="W102" s="419"/>
      <c r="X102" s="419"/>
    </row>
    <row r="103" spans="2:24">
      <c r="B103" s="1248"/>
      <c r="F103" s="1249"/>
      <c r="G103" s="1249"/>
      <c r="H103" s="1249"/>
      <c r="I103" s="1249"/>
      <c r="J103" s="419"/>
      <c r="K103" s="419"/>
      <c r="N103" s="1249"/>
      <c r="O103" s="1249"/>
      <c r="P103" s="1249"/>
      <c r="Q103" s="1249"/>
      <c r="R103" s="419"/>
      <c r="S103" s="419"/>
      <c r="T103" s="419"/>
      <c r="U103" s="419"/>
      <c r="V103" s="419"/>
      <c r="W103" s="419"/>
      <c r="X103" s="419"/>
    </row>
    <row r="104" spans="2:24">
      <c r="B104" s="1248"/>
      <c r="F104" s="1249"/>
      <c r="G104" s="1249"/>
      <c r="H104" s="1249"/>
      <c r="I104" s="1249"/>
      <c r="J104" s="419"/>
      <c r="K104" s="419"/>
      <c r="N104" s="1249"/>
      <c r="O104" s="1249"/>
      <c r="P104" s="1249"/>
      <c r="Q104" s="1249"/>
      <c r="R104" s="419"/>
      <c r="S104" s="419"/>
      <c r="T104" s="419"/>
      <c r="U104" s="419"/>
      <c r="V104" s="419"/>
      <c r="W104" s="419"/>
      <c r="X104" s="419"/>
    </row>
    <row r="105" spans="2:24">
      <c r="B105" s="1248"/>
      <c r="F105" s="1249"/>
      <c r="G105" s="1249"/>
      <c r="H105" s="1249"/>
      <c r="I105" s="1249"/>
      <c r="J105" s="419"/>
      <c r="K105" s="419"/>
      <c r="N105" s="1249"/>
      <c r="O105" s="1249"/>
      <c r="P105" s="1249"/>
      <c r="Q105" s="1249"/>
      <c r="R105" s="419"/>
      <c r="S105" s="419"/>
      <c r="T105" s="419"/>
      <c r="U105" s="419"/>
      <c r="V105" s="419"/>
      <c r="W105" s="419"/>
      <c r="X105" s="419"/>
    </row>
    <row r="106" spans="2:24">
      <c r="B106" s="1248"/>
      <c r="F106" s="1249"/>
      <c r="G106" s="1249"/>
      <c r="H106" s="1249"/>
      <c r="I106" s="1249"/>
      <c r="J106" s="419"/>
      <c r="K106" s="419"/>
      <c r="N106" s="1249"/>
      <c r="O106" s="1249"/>
      <c r="P106" s="1249"/>
      <c r="Q106" s="1249"/>
      <c r="R106" s="419"/>
      <c r="S106" s="419"/>
      <c r="T106" s="419"/>
      <c r="U106" s="419"/>
      <c r="V106" s="419"/>
      <c r="W106" s="419"/>
      <c r="X106" s="419"/>
    </row>
    <row r="107" spans="2:24">
      <c r="E107" s="1226"/>
      <c r="J107" s="419"/>
      <c r="K107" s="419"/>
      <c r="M107" s="1226"/>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901" t="s">
        <v>556</v>
      </c>
      <c r="B4" s="1897" t="s">
        <v>557</v>
      </c>
      <c r="C4" s="579">
        <v>0.5</v>
      </c>
      <c r="D4" s="116">
        <v>2030</v>
      </c>
      <c r="E4" s="579">
        <f>C4</f>
        <v>0.5</v>
      </c>
      <c r="F4" s="116">
        <f>2017+5</f>
        <v>2022</v>
      </c>
      <c r="G4" s="579">
        <f>E4</f>
        <v>0.5</v>
      </c>
      <c r="H4" s="116">
        <f>F4</f>
        <v>2022</v>
      </c>
      <c r="J4" s="99"/>
      <c r="K4" s="99"/>
    </row>
    <row r="5" spans="1:11">
      <c r="A5" s="1851"/>
      <c r="B5" s="1877"/>
      <c r="C5" s="575">
        <v>0.65</v>
      </c>
      <c r="D5" s="130">
        <v>2040</v>
      </c>
      <c r="E5" s="575">
        <f t="shared" ref="E5:E6" si="0">C5</f>
        <v>0.65</v>
      </c>
      <c r="F5" s="130">
        <f>2017+10</f>
        <v>2027</v>
      </c>
      <c r="G5" s="575">
        <f t="shared" ref="G5:G6" si="1">E5</f>
        <v>0.65</v>
      </c>
      <c r="H5" s="130">
        <f t="shared" ref="H5:H6" si="2">F5</f>
        <v>2027</v>
      </c>
      <c r="J5" s="99"/>
      <c r="K5" s="99"/>
    </row>
    <row r="6" spans="1:11" ht="15.75" thickBot="1">
      <c r="A6" s="1852"/>
      <c r="B6" s="1878"/>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591"/>
      <c r="B28" s="591"/>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3"/>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4"/>
      <c r="E57" s="1304"/>
      <c r="F57" s="1304"/>
      <c r="G57" s="1304"/>
      <c r="H57" s="1304"/>
      <c r="I57" s="1304"/>
      <c r="J57" s="3"/>
      <c r="K57" s="3"/>
      <c r="L57" s="3"/>
      <c r="M57" s="3"/>
      <c r="N57" s="3"/>
    </row>
    <row r="58" spans="1:45" ht="16.5" thickBot="1">
      <c r="A58" s="1305" t="s">
        <v>742</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row>
    <row r="59" spans="1:45" ht="15.75">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AE59" s="1333"/>
      <c r="AF59" s="1333"/>
      <c r="AG59" s="198"/>
      <c r="AH59" s="198"/>
      <c r="AI59" s="198"/>
      <c r="AJ59" s="99"/>
      <c r="AK59" s="99"/>
      <c r="AL59" s="99"/>
      <c r="AM59" s="1334"/>
      <c r="AN59" s="99"/>
      <c r="AO59" s="1335"/>
      <c r="AP59" s="1335"/>
      <c r="AQ59" s="1335"/>
      <c r="AR59" s="99"/>
      <c r="AS59" s="99"/>
    </row>
    <row r="60" spans="1:45">
      <c r="A60" s="1311" t="s">
        <v>334</v>
      </c>
      <c r="B60" s="1308" t="s">
        <v>335</v>
      </c>
      <c r="C60" s="1312">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4">
        <f>'Input data'!N14</f>
        <v>4821430</v>
      </c>
      <c r="AE60" s="1336"/>
      <c r="AF60" s="1337"/>
      <c r="AG60" s="1337"/>
      <c r="AH60" s="1337"/>
      <c r="AI60" s="1337"/>
      <c r="AJ60" s="1337"/>
      <c r="AK60" s="1337"/>
      <c r="AL60" s="1337"/>
      <c r="AM60" s="1338"/>
      <c r="AN60" s="158"/>
      <c r="AO60" s="158"/>
      <c r="AP60" s="158"/>
      <c r="AQ60" s="158"/>
      <c r="AR60" s="158"/>
      <c r="AS60" s="99"/>
    </row>
    <row r="61" spans="1:45">
      <c r="A61" s="1311" t="s">
        <v>336</v>
      </c>
      <c r="B61" s="1308" t="s">
        <v>337</v>
      </c>
      <c r="C61" s="1312">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4">
        <f>'Input data'!N15</f>
        <v>360884</v>
      </c>
      <c r="AE61" s="1336"/>
      <c r="AF61" s="1337"/>
      <c r="AG61" s="1337"/>
      <c r="AH61" s="1339"/>
      <c r="AI61" s="1339"/>
      <c r="AJ61" s="1339"/>
      <c r="AK61" s="1339"/>
      <c r="AL61" s="1339"/>
      <c r="AM61" s="1339"/>
      <c r="AN61" s="158"/>
      <c r="AO61" s="158"/>
      <c r="AP61" s="158"/>
      <c r="AQ61" s="158"/>
      <c r="AR61" s="158"/>
      <c r="AS61" s="99"/>
    </row>
    <row r="62" spans="1:45" ht="15.75">
      <c r="A62" s="1311" t="s">
        <v>338</v>
      </c>
      <c r="B62" s="1308" t="s">
        <v>339</v>
      </c>
      <c r="C62" s="1312">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4">
        <f>'Input data'!N16</f>
        <v>1756686.4765390735</v>
      </c>
      <c r="AE62" s="1340"/>
      <c r="AF62" s="1340"/>
      <c r="AG62" s="1341"/>
      <c r="AH62" s="1341"/>
      <c r="AI62" s="1341"/>
      <c r="AJ62" s="1341"/>
      <c r="AK62" s="1341"/>
      <c r="AL62" s="1341"/>
      <c r="AM62" s="1341"/>
      <c r="AN62" s="1341"/>
      <c r="AO62" s="1341"/>
      <c r="AP62" s="1341"/>
      <c r="AQ62" s="1341"/>
      <c r="AR62" s="1341"/>
      <c r="AS62" s="99"/>
    </row>
    <row r="63" spans="1:45">
      <c r="A63" s="1311" t="s">
        <v>338</v>
      </c>
      <c r="B63" s="1308" t="s">
        <v>340</v>
      </c>
      <c r="C63" s="1312">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4">
        <f>'Input data'!N17</f>
        <v>6573316.2259999998</v>
      </c>
      <c r="AE63" s="340"/>
      <c r="AF63" s="340"/>
      <c r="AG63" s="1337"/>
      <c r="AH63" s="1337"/>
      <c r="AI63" s="1337"/>
      <c r="AJ63" s="1337"/>
      <c r="AK63" s="1337"/>
      <c r="AL63" s="1337"/>
      <c r="AM63" s="1337"/>
      <c r="AN63" s="1337"/>
      <c r="AO63" s="1337"/>
      <c r="AP63" s="1337"/>
      <c r="AQ63" s="1337"/>
      <c r="AR63" s="1337"/>
      <c r="AS63" s="99"/>
    </row>
    <row r="64" spans="1:45">
      <c r="A64" s="1311" t="s">
        <v>341</v>
      </c>
      <c r="B64" s="1308" t="s">
        <v>342</v>
      </c>
      <c r="C64" s="1312">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4">
        <f>'Input data'!N18</f>
        <v>6700000</v>
      </c>
      <c r="AE64" s="292"/>
      <c r="AF64" s="340"/>
      <c r="AG64" s="1337"/>
      <c r="AH64" s="1337"/>
      <c r="AI64" s="1337"/>
      <c r="AJ64" s="1337"/>
      <c r="AK64" s="1337"/>
      <c r="AL64" s="1337"/>
      <c r="AM64" s="1337"/>
      <c r="AN64" s="1337"/>
      <c r="AO64" s="1337"/>
      <c r="AP64" s="1337"/>
      <c r="AQ64" s="1337"/>
      <c r="AR64" s="1337"/>
      <c r="AS64" s="99"/>
    </row>
    <row r="65" spans="1:71">
      <c r="A65" s="1313"/>
      <c r="B65" s="1314" t="s">
        <v>343</v>
      </c>
      <c r="C65" s="1312">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4">
        <f>'Input data'!N19</f>
        <v>23980178.792267412</v>
      </c>
      <c r="AE65" s="292"/>
      <c r="AF65" s="340"/>
      <c r="AG65" s="1337"/>
      <c r="AH65" s="1337"/>
      <c r="AI65" s="1337"/>
      <c r="AJ65" s="1337"/>
      <c r="AK65" s="1337"/>
      <c r="AL65" s="1337"/>
      <c r="AM65" s="1337"/>
      <c r="AN65" s="1337"/>
      <c r="AO65" s="1337"/>
      <c r="AP65" s="1337"/>
      <c r="AQ65" s="1337"/>
      <c r="AR65" s="1337"/>
      <c r="AS65" s="99"/>
    </row>
    <row r="66" spans="1:71" ht="15.75">
      <c r="A66" s="1313"/>
      <c r="B66" s="1315" t="s">
        <v>496</v>
      </c>
      <c r="C66" s="1312">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4">
        <f>'Input data'!N20</f>
        <v>11144031.473749338</v>
      </c>
      <c r="AE66" s="292"/>
      <c r="AF66" s="340"/>
      <c r="AG66" s="1337"/>
      <c r="AH66" s="1337"/>
      <c r="AI66" s="1337"/>
      <c r="AJ66" s="1337"/>
      <c r="AK66" s="1337"/>
      <c r="AL66" s="1337"/>
      <c r="AM66" s="1337"/>
      <c r="AN66" s="1337"/>
      <c r="AO66" s="1337"/>
      <c r="AP66" s="1337"/>
      <c r="AQ66" s="1337"/>
      <c r="AR66" s="1337"/>
      <c r="AS66" s="99"/>
    </row>
    <row r="67" spans="1:71" ht="16.5" thickBot="1">
      <c r="A67" s="1313"/>
      <c r="B67" s="1315" t="s">
        <v>737</v>
      </c>
      <c r="C67" s="1312">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4">
        <f>'Input data'!N21</f>
        <v>2912831.0925180763</v>
      </c>
      <c r="AE67" s="292"/>
      <c r="AF67" s="340"/>
      <c r="AG67" s="1337"/>
      <c r="AH67" s="1337"/>
      <c r="AI67" s="1337"/>
      <c r="AJ67" s="1337"/>
      <c r="AK67" s="1337"/>
      <c r="AL67" s="1337"/>
      <c r="AM67" s="1337"/>
      <c r="AN67" s="1337"/>
      <c r="AO67" s="1337"/>
      <c r="AP67" s="1337"/>
      <c r="AQ67" s="1337"/>
      <c r="AR67" s="1337"/>
      <c r="AS67" s="99"/>
    </row>
    <row r="68" spans="1:71"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AE68" s="292"/>
      <c r="AF68" s="340"/>
      <c r="AG68" s="1337"/>
      <c r="AH68" s="1337"/>
      <c r="AI68" s="1337"/>
      <c r="AJ68" s="1337"/>
      <c r="AK68" s="1337"/>
      <c r="AL68" s="1337"/>
      <c r="AM68" s="1337"/>
      <c r="AN68" s="1337"/>
      <c r="AO68" s="1337"/>
      <c r="AP68" s="1337"/>
      <c r="AQ68" s="1337"/>
      <c r="AR68" s="1337"/>
      <c r="AS68" s="99"/>
    </row>
    <row r="69" spans="1:71" ht="15.75">
      <c r="A69" s="1313"/>
      <c r="B69" s="1317"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2"/>
      <c r="AG69" s="1337"/>
      <c r="AH69" s="1337"/>
      <c r="AI69" s="1337"/>
      <c r="AJ69" s="1337"/>
      <c r="AK69" s="1337"/>
      <c r="AL69" s="1337"/>
      <c r="AM69" s="1337"/>
      <c r="AN69" s="1337"/>
      <c r="AO69" s="1337"/>
      <c r="AP69" s="1337"/>
      <c r="AQ69" s="1337"/>
      <c r="AR69" s="1337"/>
      <c r="AS69" s="99"/>
    </row>
    <row r="70" spans="1:71" ht="15.75">
      <c r="A70" s="1311" t="s">
        <v>334</v>
      </c>
      <c r="B70" s="1317"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3"/>
      <c r="AG70" s="1337"/>
      <c r="AH70" s="1337"/>
      <c r="AI70" s="1337"/>
      <c r="AJ70" s="1337"/>
      <c r="AK70" s="1337"/>
      <c r="AL70" s="1337"/>
      <c r="AM70" s="1337"/>
      <c r="AN70" s="1337"/>
      <c r="AO70" s="1337"/>
      <c r="AP70" s="1337"/>
      <c r="AQ70" s="1337"/>
      <c r="AR70" s="1337"/>
      <c r="AS70" s="99"/>
    </row>
    <row r="71" spans="1:71" ht="15.75">
      <c r="A71" s="1311" t="s">
        <v>336</v>
      </c>
      <c r="B71" s="1317"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3"/>
      <c r="AG71" s="1337"/>
      <c r="AH71" s="1337"/>
      <c r="AI71" s="1337"/>
      <c r="AJ71" s="1337"/>
      <c r="AK71" s="1337"/>
      <c r="AL71" s="1337"/>
      <c r="AM71" s="1337"/>
      <c r="AN71" s="1337"/>
      <c r="AO71" s="1337"/>
      <c r="AP71" s="1337"/>
      <c r="AQ71" s="1337"/>
      <c r="AR71" s="1337"/>
      <c r="AS71" s="99"/>
    </row>
    <row r="72" spans="1:71" ht="15.75">
      <c r="A72" s="1311" t="s">
        <v>338</v>
      </c>
      <c r="B72" s="1317"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0"/>
      <c r="AG72" s="1344"/>
      <c r="AH72" s="1344"/>
      <c r="AI72" s="1344"/>
      <c r="AJ72" s="1344"/>
      <c r="AK72" s="1344"/>
      <c r="AL72" s="1344"/>
      <c r="AM72" s="1344"/>
      <c r="AN72" s="1344"/>
      <c r="AO72" s="1344"/>
      <c r="AP72" s="1344"/>
      <c r="AQ72" s="1344"/>
      <c r="AR72" s="1345"/>
      <c r="AS72" s="99"/>
    </row>
    <row r="73" spans="1:71" ht="15.75">
      <c r="A73" s="1311" t="s">
        <v>338</v>
      </c>
      <c r="B73" s="1317"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1" t="s">
        <v>341</v>
      </c>
      <c r="B74" s="1317"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3"/>
      <c r="B75" s="1315"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55"/>
      <c r="BK75" s="1855"/>
      <c r="BL75" s="1855"/>
      <c r="BM75" s="1855"/>
      <c r="BN75" s="1855"/>
      <c r="BO75" s="1855"/>
      <c r="BP75" s="1855"/>
      <c r="BQ75" s="1855"/>
      <c r="BR75" s="99"/>
      <c r="BS75" s="99"/>
    </row>
    <row r="76" spans="1:71" ht="15.75">
      <c r="A76" s="1313"/>
      <c r="B76" s="1315"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18"/>
      <c r="B77" s="1319" t="s">
        <v>738</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AE79" s="99"/>
      <c r="AF79" s="1343"/>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18"/>
      <c r="B80" s="1318" t="s">
        <v>374</v>
      </c>
      <c r="C80" s="1325">
        <f t="shared" ref="C80:H80" si="9">C79/$C$79</f>
        <v>1</v>
      </c>
      <c r="D80" s="1326">
        <f t="shared" si="9"/>
        <v>0</v>
      </c>
      <c r="E80" s="1326">
        <f t="shared" si="9"/>
        <v>0.93845226140483384</v>
      </c>
      <c r="F80" s="1326">
        <f t="shared" si="9"/>
        <v>0</v>
      </c>
      <c r="G80" s="1326">
        <f t="shared" si="9"/>
        <v>0</v>
      </c>
      <c r="H80" s="1327">
        <f t="shared" si="9"/>
        <v>6.154773859516615E-2</v>
      </c>
      <c r="L80" s="1322"/>
      <c r="M80" s="1322"/>
      <c r="N80" s="1322"/>
      <c r="AE80" s="99"/>
      <c r="AF80" s="1343"/>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3"/>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2"/>
      <c r="AF82" s="1332"/>
      <c r="AG82" s="198"/>
      <c r="AH82" s="1346"/>
      <c r="AI82" s="1346"/>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2"/>
      <c r="AF83" s="1332"/>
      <c r="AG83" s="198"/>
      <c r="AH83" s="1346"/>
      <c r="AI83" s="1346"/>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2"/>
      <c r="AF84" s="1332"/>
      <c r="AG84" s="198"/>
      <c r="AH84" s="1346"/>
      <c r="AI84" s="1346"/>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2"/>
      <c r="AF85" s="1332"/>
      <c r="AG85" s="198"/>
      <c r="AH85" s="1346"/>
      <c r="AI85" s="1346"/>
      <c r="AJ85" s="99"/>
      <c r="AK85" s="99"/>
      <c r="AL85" s="99"/>
      <c r="AM85" s="99"/>
      <c r="AN85" s="99"/>
      <c r="AO85" s="99"/>
      <c r="AP85" s="99"/>
      <c r="AQ85" s="99"/>
      <c r="AR85" s="99"/>
      <c r="AS85" s="99"/>
    </row>
    <row r="86" spans="1:91" ht="15.75" thickBot="1">
      <c r="A86" s="658" t="s">
        <v>726</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2"/>
      <c r="AF86" s="1332"/>
      <c r="AG86" s="198"/>
      <c r="AH86" s="1346"/>
      <c r="AI86" s="1346"/>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24" t="s">
        <v>602</v>
      </c>
      <c r="B94" s="1825"/>
      <c r="C94" s="1825"/>
      <c r="D94" s="1826"/>
      <c r="E94" s="1858" t="s">
        <v>600</v>
      </c>
      <c r="F94" s="1859"/>
      <c r="G94" s="1860"/>
      <c r="H94" s="1861" t="s">
        <v>601</v>
      </c>
      <c r="I94" s="1862"/>
      <c r="J94" s="1862"/>
      <c r="K94" s="1863"/>
      <c r="L94" s="1864" t="s">
        <v>598</v>
      </c>
      <c r="M94" s="1844"/>
      <c r="N94" s="1844"/>
      <c r="O94" s="1844"/>
      <c r="P94" s="1845"/>
      <c r="Q94" s="1843" t="s">
        <v>775</v>
      </c>
      <c r="R94" s="1844"/>
      <c r="S94" s="1844"/>
      <c r="T94" s="1844"/>
      <c r="U94" s="1845"/>
      <c r="V94" s="1799" t="s">
        <v>756</v>
      </c>
      <c r="W94" s="1781" t="s">
        <v>608</v>
      </c>
      <c r="X94" s="1865"/>
      <c r="Y94" s="1866" t="s">
        <v>594</v>
      </c>
      <c r="Z94" s="1846" t="s">
        <v>763</v>
      </c>
      <c r="AA94" s="1846" t="s">
        <v>771</v>
      </c>
      <c r="AB94" s="1839" t="s">
        <v>773</v>
      </c>
      <c r="AC94" s="1848" t="s">
        <v>781</v>
      </c>
      <c r="AD94" s="1839" t="s">
        <v>773</v>
      </c>
      <c r="AE94" s="1839" t="s">
        <v>772</v>
      </c>
      <c r="AF94" s="1895" t="s">
        <v>774</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734</v>
      </c>
      <c r="BN94" s="1715"/>
      <c r="BO94" s="1715"/>
      <c r="BP94" s="1715"/>
      <c r="BQ94" s="1715"/>
      <c r="BR94" s="1715"/>
      <c r="BS94" s="1715"/>
      <c r="BT94" s="1716"/>
      <c r="BV94" s="1793" t="s">
        <v>635</v>
      </c>
      <c r="BW94" s="1794"/>
      <c r="BX94" s="1813"/>
      <c r="BY94" s="1793" t="s">
        <v>638</v>
      </c>
      <c r="BZ94" s="1794"/>
      <c r="CA94" s="1795"/>
      <c r="CB94" s="1812" t="s">
        <v>636</v>
      </c>
      <c r="CC94" s="1811"/>
      <c r="CD94" s="1810" t="s">
        <v>639</v>
      </c>
      <c r="CE94" s="1811"/>
      <c r="CG94" s="1802" t="s">
        <v>735</v>
      </c>
      <c r="CH94" s="1803"/>
      <c r="CI94" s="1803"/>
      <c r="CJ94" s="1803"/>
      <c r="CK94" s="1803"/>
      <c r="CL94" s="1803"/>
      <c r="CM94" s="1804"/>
    </row>
    <row r="95" spans="1:91" s="10" customFormat="1" ht="42.6" customHeight="1" thickBot="1">
      <c r="A95" s="1822" t="s">
        <v>217</v>
      </c>
      <c r="B95" s="1582" t="s">
        <v>218</v>
      </c>
      <c r="C95" s="1582" t="s">
        <v>390</v>
      </c>
      <c r="D95" s="1562" t="s">
        <v>500</v>
      </c>
      <c r="E95" s="1583" t="s">
        <v>501</v>
      </c>
      <c r="F95" s="1584" t="s">
        <v>504</v>
      </c>
      <c r="G95" s="1585" t="s">
        <v>528</v>
      </c>
      <c r="H95" s="1586" t="s">
        <v>478</v>
      </c>
      <c r="I95" s="1587" t="s">
        <v>288</v>
      </c>
      <c r="J95" s="1588" t="s">
        <v>766</v>
      </c>
      <c r="K95" s="1589" t="s">
        <v>596</v>
      </c>
      <c r="L95" s="1590" t="s">
        <v>87</v>
      </c>
      <c r="M95" s="1591" t="s">
        <v>323</v>
      </c>
      <c r="N95" s="1591" t="s">
        <v>324</v>
      </c>
      <c r="O95" s="1591" t="s">
        <v>325</v>
      </c>
      <c r="P95" s="1592" t="s">
        <v>582</v>
      </c>
      <c r="Q95" s="1593" t="s">
        <v>87</v>
      </c>
      <c r="R95" s="1591" t="s">
        <v>323</v>
      </c>
      <c r="S95" s="1591" t="s">
        <v>324</v>
      </c>
      <c r="T95" s="1591" t="s">
        <v>325</v>
      </c>
      <c r="U95" s="1594" t="s">
        <v>582</v>
      </c>
      <c r="V95" s="1842"/>
      <c r="W95" s="1595" t="s">
        <v>605</v>
      </c>
      <c r="X95" s="1641" t="s">
        <v>576</v>
      </c>
      <c r="Y95" s="1867"/>
      <c r="Z95" s="1847"/>
      <c r="AA95" s="1847"/>
      <c r="AB95" s="1840"/>
      <c r="AC95" s="1849"/>
      <c r="AD95" s="1840"/>
      <c r="AE95" s="1840"/>
      <c r="AF95" s="1896"/>
      <c r="AG95" s="1092" t="s">
        <v>473</v>
      </c>
      <c r="AH95" s="1580" t="s">
        <v>489</v>
      </c>
      <c r="AI95" s="1580" t="s">
        <v>807</v>
      </c>
      <c r="AJ95" s="1580" t="s">
        <v>377</v>
      </c>
      <c r="AK95" s="1580" t="s">
        <v>225</v>
      </c>
      <c r="AL95" s="713" t="s">
        <v>591</v>
      </c>
      <c r="AM95" s="1579" t="s">
        <v>473</v>
      </c>
      <c r="AN95" s="1580" t="s">
        <v>489</v>
      </c>
      <c r="AO95" s="1580" t="s">
        <v>376</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1" t="s">
        <v>531</v>
      </c>
      <c r="BW95" s="1252" t="s">
        <v>624</v>
      </c>
      <c r="BX95" s="1253" t="str">
        <f>D135</f>
        <v xml:space="preserve">Coal ash generated - ‘IRP realistic’ </v>
      </c>
      <c r="BY95" s="1251" t="s">
        <v>531</v>
      </c>
      <c r="BZ95" s="1252" t="s">
        <v>624</v>
      </c>
      <c r="CA95" s="1254" t="s">
        <v>630</v>
      </c>
      <c r="CB95" s="1255" t="s">
        <v>267</v>
      </c>
      <c r="CC95" s="1256" t="s">
        <v>633</v>
      </c>
      <c r="CD95" s="1257" t="s">
        <v>267</v>
      </c>
      <c r="CE95" s="1256" t="s">
        <v>633</v>
      </c>
      <c r="CF95"/>
      <c r="CG95" s="1258" t="s">
        <v>87</v>
      </c>
      <c r="CH95" s="1259" t="s">
        <v>323</v>
      </c>
      <c r="CI95" s="1259" t="s">
        <v>324</v>
      </c>
      <c r="CJ95" s="1259" t="s">
        <v>325</v>
      </c>
      <c r="CK95" s="1260" t="s">
        <v>582</v>
      </c>
      <c r="CL95" s="1259" t="s">
        <v>303</v>
      </c>
      <c r="CM95" s="1805" t="s">
        <v>736</v>
      </c>
    </row>
    <row r="96" spans="1:91" ht="16.5" thickBot="1">
      <c r="A96" s="1857"/>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1472" t="s">
        <v>229</v>
      </c>
      <c r="X96" s="1642" t="s">
        <v>228</v>
      </c>
      <c r="Y96" s="709" t="s">
        <v>228</v>
      </c>
      <c r="Z96" s="1644" t="s">
        <v>228</v>
      </c>
      <c r="AA96" s="1644" t="s">
        <v>228</v>
      </c>
      <c r="AB96" s="1841"/>
      <c r="AC96" s="1849"/>
      <c r="AD96" s="1841"/>
      <c r="AE96" s="1644" t="s">
        <v>28</v>
      </c>
      <c r="AF96" s="1645" t="s">
        <v>3</v>
      </c>
      <c r="AG96" s="1643"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1153" t="s">
        <v>625</v>
      </c>
      <c r="BW96" s="1154" t="s">
        <v>229</v>
      </c>
      <c r="BX96" s="1483" t="s">
        <v>625</v>
      </c>
      <c r="BY96" s="1153" t="s">
        <v>625</v>
      </c>
      <c r="BZ96" s="1154" t="s">
        <v>229</v>
      </c>
      <c r="CA96" s="1155" t="s">
        <v>625</v>
      </c>
      <c r="CB96" s="1476" t="s">
        <v>229</v>
      </c>
      <c r="CC96" s="1477" t="s">
        <v>229</v>
      </c>
      <c r="CD96" s="1478" t="s">
        <v>229</v>
      </c>
      <c r="CE96" s="1477" t="s">
        <v>229</v>
      </c>
      <c r="CG96" s="1267" t="s">
        <v>228</v>
      </c>
      <c r="CH96" s="1267" t="s">
        <v>228</v>
      </c>
      <c r="CI96" s="1267" t="s">
        <v>228</v>
      </c>
      <c r="CJ96" s="1267" t="s">
        <v>228</v>
      </c>
      <c r="CK96" s="1267" t="s">
        <v>228</v>
      </c>
      <c r="CL96" s="1267" t="s">
        <v>228</v>
      </c>
      <c r="CM96" s="1806"/>
    </row>
    <row r="97" spans="1:91">
      <c r="A97" s="127">
        <f>'Input data'!A117</f>
        <v>2017</v>
      </c>
      <c r="B97" s="662">
        <f>'Input data'!B117</f>
        <v>56.521948041648095</v>
      </c>
      <c r="C97" s="236">
        <f>'Input data'!C117</f>
        <v>3117.5115237718705</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7">
        <f>H97*$M$75*P97*B97-H97*$M$75*$P$97*B97</f>
        <v>0</v>
      </c>
      <c r="V97" s="528">
        <f t="shared" ref="V97:V130" si="10">SUM(Q97:U97)</f>
        <v>0</v>
      </c>
      <c r="W97" s="708">
        <v>0</v>
      </c>
      <c r="X97" s="1467">
        <f>W97*($C$76+$D$76)*$B$10*$I$97</f>
        <v>0</v>
      </c>
      <c r="Y97" s="528">
        <f>X97+V97</f>
        <v>0</v>
      </c>
      <c r="Z97" s="528">
        <f>$J$97-Y97</f>
        <v>11144.031481960794</v>
      </c>
      <c r="AA97" s="530">
        <f>Z97-J97</f>
        <v>0</v>
      </c>
      <c r="AB97" s="1091">
        <f>AA97/Z97</f>
        <v>0</v>
      </c>
      <c r="AC97" s="1489"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5">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1552">
        <f>'Input data'!D118</f>
        <v>50359792.847133137</v>
      </c>
      <c r="E98" s="1454">
        <f t="shared" ref="E98:E129" si="29">($E$130-$E$97)/($A$130-$A$97)+E97</f>
        <v>0.72344242424242422</v>
      </c>
      <c r="F98" s="1504">
        <f t="shared" ref="F98:F129" si="30">($F$130-$F$97)/($A$130-$A$97)+F97</f>
        <v>0.29195303030303027</v>
      </c>
      <c r="G98" s="1509">
        <f>B98*F98*'Input data'!$C$9</f>
        <v>513.23849841295737</v>
      </c>
      <c r="H98" s="1508">
        <f>'Input data'!I118</f>
        <v>424.26313389388866</v>
      </c>
      <c r="I98" s="1509">
        <f>'Input data'!K118</f>
        <v>24367.977620226877</v>
      </c>
      <c r="J98" s="1509">
        <f>$J$97*(1+(($J$110/$J$97)^(1/($A$110-$A$97))-1))^(A98-$A$97)</f>
        <v>10565.405667134863</v>
      </c>
      <c r="K98" s="1511">
        <f>I98*$B$10-J98</f>
        <v>758.84307612277735</v>
      </c>
      <c r="L98" s="1504">
        <f t="shared" ref="L98:L106" si="31">($L$110-$L$97)/($A$110-$A$97)+L97</f>
        <v>0.57999999999999996</v>
      </c>
      <c r="M98" s="1504">
        <f t="shared" ref="M98:M106" si="32">($M$110-$M$97)/($A$110-$A$97)+M97</f>
        <v>0.437</v>
      </c>
      <c r="N98" s="1504">
        <f t="shared" ref="N98:N106" si="33">($N$110-$N$97)/($A$110-$A$97)+N97</f>
        <v>0.71200000000000008</v>
      </c>
      <c r="O98" s="1504">
        <f t="shared" ref="O98:O106" si="34">($O$110-$O$97)/($A$110-$A$97)+O97</f>
        <v>0.8</v>
      </c>
      <c r="P98" s="1504">
        <f t="shared" ref="P98:P109" si="35">($P$110-$P$97)/($A$110-$A$97)+P97</f>
        <v>0.23600000000000002</v>
      </c>
      <c r="Q98" s="1508">
        <f t="shared" ref="Q98:Q130" si="36">H98*$E$75*L98*B98-H98*$E$75*$L$97*B98</f>
        <v>0</v>
      </c>
      <c r="R98" s="1509">
        <f t="shared" ref="R98:R130" si="37">H98*$J$75*M98*B98-H98*$J$75*$M$97*B98</f>
        <v>0</v>
      </c>
      <c r="S98" s="1509">
        <f t="shared" ref="S98:S130" si="38">H98*$K$75*N98*B98-H98*$K$75*$N$97*B98</f>
        <v>0</v>
      </c>
      <c r="T98" s="1509">
        <f t="shared" ref="T98:T130" si="39">H98*$L$75*O98*B98-H98*$L$75*$O$97*B98</f>
        <v>0</v>
      </c>
      <c r="U98" s="1511">
        <f t="shared" ref="U98:U130" si="40">H98*$M$75*P98*B98-H98*$M$75*$P$97*B98</f>
        <v>0</v>
      </c>
      <c r="V98" s="1509">
        <f t="shared" si="10"/>
        <v>0</v>
      </c>
      <c r="W98" s="1454">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108.3176056127139</v>
      </c>
      <c r="BW98" s="114">
        <f t="shared" ref="BW98:BW130" si="65">((AK98-AM98*AK98)+(AC138-AC138*AE138))/(AK98+AC138)</f>
        <v>0.30342298638676968</v>
      </c>
      <c r="BX98" s="1686">
        <f t="shared" si="25"/>
        <v>50.359792847133136</v>
      </c>
      <c r="BY98" s="527">
        <f t="shared" ref="BY98:BY130" si="66">(AK98+AC178)*1000/10^6</f>
        <v>108.3176056127139</v>
      </c>
      <c r="BZ98" s="417">
        <f t="shared" ref="BZ98:BZ130" si="67">((AK98-AM98*AK98)+(AC178-AC178*AE178))/(AK98+AC178)</f>
        <v>0.30342298638676968</v>
      </c>
      <c r="CA98" s="544">
        <f t="shared" si="26"/>
        <v>50.359792847133136</v>
      </c>
      <c r="CB98" s="649">
        <f t="shared" si="27"/>
        <v>2.3712632285903479E-2</v>
      </c>
      <c r="CC98" s="525">
        <f t="shared" ref="CC98:CC130" si="68">W178</f>
        <v>4.2790890844820795E-2</v>
      </c>
      <c r="CD98" s="417">
        <f t="shared" si="28"/>
        <v>2.3712632285903479E-2</v>
      </c>
      <c r="CE98" s="525">
        <f t="shared" ref="CE98:CE130" si="69">W178</f>
        <v>4.2790890844820795E-2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1">
        <f>'Input data'!B119</f>
        <v>58.364834921819444</v>
      </c>
      <c r="C99" s="1550">
        <f>'Input data'!C119</f>
        <v>4436.7699999999986</v>
      </c>
      <c r="D99" s="1552">
        <f>'Input data'!D119</f>
        <v>53464172.913892828</v>
      </c>
      <c r="E99" s="1454">
        <f t="shared" si="29"/>
        <v>0.73208484848484845</v>
      </c>
      <c r="F99" s="1504">
        <f t="shared" si="30"/>
        <v>0.29430606060606057</v>
      </c>
      <c r="G99" s="1509">
        <f>B99*F99*'Input data'!$C$9</f>
        <v>525.74180751182632</v>
      </c>
      <c r="H99" s="1508">
        <f>'Input data'!I119</f>
        <v>424.26313389388866</v>
      </c>
      <c r="I99" s="1509">
        <f>'Input data'!K119</f>
        <v>24762.047773130591</v>
      </c>
      <c r="J99" s="1509">
        <f t="shared" ref="J99:J109" si="77">$J$97*(1+(($J$110/$J$97)^(1/($A$110-$A$97))-1))^(A99-$A$97)</f>
        <v>10016.823542882215</v>
      </c>
      <c r="K99" s="1511">
        <f t="shared" ref="K99:K130" si="78">I99*$B$10-J99</f>
        <v>1490.5568702794153</v>
      </c>
      <c r="L99" s="1504">
        <f t="shared" si="31"/>
        <v>0.57999999999999996</v>
      </c>
      <c r="M99" s="1504">
        <f t="shared" si="32"/>
        <v>0.437</v>
      </c>
      <c r="N99" s="1504">
        <f t="shared" si="33"/>
        <v>0.71200000000000008</v>
      </c>
      <c r="O99" s="1504">
        <f t="shared" si="34"/>
        <v>0.8</v>
      </c>
      <c r="P99" s="1504">
        <f t="shared" si="35"/>
        <v>0.23600000000000002</v>
      </c>
      <c r="Q99" s="1508">
        <f t="shared" si="36"/>
        <v>0</v>
      </c>
      <c r="R99" s="1509">
        <f t="shared" si="37"/>
        <v>0</v>
      </c>
      <c r="S99" s="1509">
        <f t="shared" si="38"/>
        <v>0</v>
      </c>
      <c r="T99" s="1509">
        <f t="shared" si="39"/>
        <v>0</v>
      </c>
      <c r="U99" s="1511">
        <f t="shared" si="40"/>
        <v>0</v>
      </c>
      <c r="V99" s="1509">
        <f t="shared" si="10"/>
        <v>0</v>
      </c>
      <c r="W99" s="1454">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111.94119921542054</v>
      </c>
      <c r="BW99" s="114">
        <f t="shared" si="65"/>
        <v>0.36096877201846911</v>
      </c>
      <c r="BX99" s="1686">
        <f t="shared" si="25"/>
        <v>53.464172913892831</v>
      </c>
      <c r="BY99" s="527">
        <f t="shared" si="66"/>
        <v>111.94119921542054</v>
      </c>
      <c r="BZ99" s="417">
        <f t="shared" si="67"/>
        <v>0.36096877201846911</v>
      </c>
      <c r="CA99" s="544">
        <f t="shared" si="26"/>
        <v>53.464172913892831</v>
      </c>
      <c r="CB99" s="649">
        <f t="shared" si="27"/>
        <v>4.7766344222348933E-2</v>
      </c>
      <c r="CC99" s="525">
        <f t="shared" si="68"/>
        <v>0.17297515448432232</v>
      </c>
      <c r="CD99" s="417">
        <f t="shared" si="28"/>
        <v>4.7766344222348933E-2</v>
      </c>
      <c r="CE99" s="525">
        <f t="shared" si="69"/>
        <v>0.17297515448432232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1">
        <f>'Input data'!B120</f>
        <v>59.233695328537607</v>
      </c>
      <c r="C100" s="1550">
        <f>'Input data'!C120</f>
        <v>4157.24</v>
      </c>
      <c r="D100" s="1552">
        <f>'Input data'!D120</f>
        <v>51247282.188414559</v>
      </c>
      <c r="E100" s="1454">
        <f t="shared" si="29"/>
        <v>0.74072727272727268</v>
      </c>
      <c r="F100" s="1504">
        <f t="shared" si="30"/>
        <v>0.29665909090909087</v>
      </c>
      <c r="G100" s="1509">
        <f>B100*F100*'Input data'!$C$9</f>
        <v>537.83434951735569</v>
      </c>
      <c r="H100" s="1508">
        <f>'Input data'!I120</f>
        <v>424.26313389388866</v>
      </c>
      <c r="I100" s="1509">
        <f>'Input data'!K120</f>
        <v>25130.67321220116</v>
      </c>
      <c r="J100" s="1509">
        <f t="shared" si="77"/>
        <v>9496.7251661098635</v>
      </c>
      <c r="K100" s="1511">
        <f t="shared" si="78"/>
        <v>2181.9622890306091</v>
      </c>
      <c r="L100" s="1504">
        <f t="shared" si="31"/>
        <v>0.57999999999999996</v>
      </c>
      <c r="M100" s="1504">
        <f t="shared" si="32"/>
        <v>0.437</v>
      </c>
      <c r="N100" s="1504">
        <f t="shared" si="33"/>
        <v>0.71200000000000008</v>
      </c>
      <c r="O100" s="1504">
        <f t="shared" si="34"/>
        <v>0.8</v>
      </c>
      <c r="P100" s="1504">
        <f t="shared" si="35"/>
        <v>0.23600000000000002</v>
      </c>
      <c r="Q100" s="1508">
        <f t="shared" si="36"/>
        <v>0</v>
      </c>
      <c r="R100" s="1509">
        <f t="shared" si="37"/>
        <v>0</v>
      </c>
      <c r="S100" s="1509">
        <f t="shared" si="38"/>
        <v>0</v>
      </c>
      <c r="T100" s="1509">
        <f t="shared" si="39"/>
        <v>0</v>
      </c>
      <c r="U100" s="1511">
        <f t="shared" si="40"/>
        <v>0</v>
      </c>
      <c r="V100" s="1509">
        <f t="shared" si="10"/>
        <v>0</v>
      </c>
      <c r="W100" s="1454">
        <f>($W$102-$W$97)/($A$102-$A$97)+W99</f>
        <v>0.15000000000000002</v>
      </c>
      <c r="X100" s="530">
        <f t="shared" si="41"/>
        <v>910.0456410906213</v>
      </c>
      <c r="Y100" s="528">
        <f t="shared" si="79"/>
        <v>910.0456410906213</v>
      </c>
      <c r="Z100" s="528">
        <f t="shared" si="80"/>
        <v>10768.641814049852</v>
      </c>
      <c r="AA100" s="530">
        <f t="shared" si="81"/>
        <v>1271.9166479399883</v>
      </c>
      <c r="AB100" s="1091">
        <f t="shared" si="42"/>
        <v>0.1181130053263094</v>
      </c>
      <c r="AC100" s="135" t="str">
        <f t="shared" si="43"/>
        <v>Yes</v>
      </c>
      <c r="AD100" s="1091">
        <f t="shared" si="44"/>
        <v>0.1181130053263094</v>
      </c>
      <c r="AE100" s="649">
        <f t="shared" si="11"/>
        <v>6.9198846415845283E-2</v>
      </c>
      <c r="AF100" s="530">
        <f t="shared" si="45"/>
        <v>394.90461445166028</v>
      </c>
      <c r="AG100" s="527">
        <f t="shared" si="46"/>
        <v>9496.7251661098635</v>
      </c>
      <c r="AH100" s="528">
        <f t="shared" si="82"/>
        <v>6888.6835009475735</v>
      </c>
      <c r="AI100" s="528">
        <f t="shared" si="83"/>
        <v>4314.2206364031299</v>
      </c>
      <c r="AJ100" s="528">
        <f t="shared" si="12"/>
        <v>2692.0303128026885</v>
      </c>
      <c r="AK100" s="528">
        <f t="shared" si="47"/>
        <v>23391.659616263256</v>
      </c>
      <c r="AL100" s="716">
        <f t="shared" si="13"/>
        <v>0</v>
      </c>
      <c r="AM100" s="649">
        <f t="shared" si="48"/>
        <v>0.40598766064068331</v>
      </c>
      <c r="AN100" s="417">
        <f t="shared" si="49"/>
        <v>0.29449314900932277</v>
      </c>
      <c r="AO100" s="417">
        <f t="shared" si="50"/>
        <v>0.18443414050893722</v>
      </c>
      <c r="AP100" s="417">
        <f t="shared" si="51"/>
        <v>0.11508504984105664</v>
      </c>
      <c r="AQ100" s="525">
        <f t="shared" si="52"/>
        <v>1</v>
      </c>
      <c r="AR100" s="1086">
        <f t="shared" si="14"/>
        <v>2118.1424360450819</v>
      </c>
      <c r="AS100" s="938">
        <f t="shared" si="15"/>
        <v>2686.3776439881099</v>
      </c>
      <c r="AT100" s="938">
        <f t="shared" si="16"/>
        <v>607.63955189183389</v>
      </c>
      <c r="AU100" s="938">
        <f t="shared" si="17"/>
        <v>0</v>
      </c>
      <c r="AV100" s="938">
        <f t="shared" si="18"/>
        <v>0</v>
      </c>
      <c r="AW100" s="938">
        <f t="shared" si="19"/>
        <v>0</v>
      </c>
      <c r="AX100" s="938">
        <f t="shared" si="20"/>
        <v>2586.3192217770479</v>
      </c>
      <c r="AY100" s="938">
        <f t="shared" si="21"/>
        <v>373.92279145906576</v>
      </c>
      <c r="AZ100" s="938">
        <f t="shared" si="22"/>
        <v>543.49484720891996</v>
      </c>
      <c r="BA100" s="938">
        <f t="shared" si="23"/>
        <v>477.77511480269021</v>
      </c>
      <c r="BB100" s="938">
        <f t="shared" si="24"/>
        <v>103.05355893711118</v>
      </c>
      <c r="BC100" s="530">
        <f t="shared" si="53"/>
        <v>9496.7251661098635</v>
      </c>
      <c r="BD100" s="724">
        <f t="shared" si="54"/>
        <v>0</v>
      </c>
      <c r="BE100" s="436">
        <f t="shared" si="55"/>
        <v>0.22303924763495447</v>
      </c>
      <c r="BF100" s="624">
        <f t="shared" si="56"/>
        <v>0.28287410628400111</v>
      </c>
      <c r="BG100" s="624">
        <f t="shared" si="57"/>
        <v>6.3984114656730748E-2</v>
      </c>
      <c r="BH100" s="624">
        <f t="shared" si="58"/>
        <v>0</v>
      </c>
      <c r="BI100" s="624">
        <f t="shared" si="59"/>
        <v>0</v>
      </c>
      <c r="BJ100" s="624">
        <f t="shared" si="60"/>
        <v>0</v>
      </c>
      <c r="BK100" s="624">
        <f t="shared" si="61"/>
        <v>0.43010253142431332</v>
      </c>
      <c r="BL100" s="624">
        <f t="shared" si="62"/>
        <v>0.99999999999999956</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107.39659859637534</v>
      </c>
      <c r="BW100" s="114">
        <f t="shared" si="65"/>
        <v>0.36851163031595591</v>
      </c>
      <c r="BX100" s="1686">
        <f t="shared" si="25"/>
        <v>51.247282188414559</v>
      </c>
      <c r="BY100" s="527">
        <f t="shared" si="66"/>
        <v>107.39659859637534</v>
      </c>
      <c r="BZ100" s="417">
        <f t="shared" si="67"/>
        <v>0.36851163031595591</v>
      </c>
      <c r="CA100" s="544">
        <f t="shared" si="26"/>
        <v>51.247282188414559</v>
      </c>
      <c r="CB100" s="649">
        <f t="shared" si="27"/>
        <v>6.9198846415845283E-2</v>
      </c>
      <c r="CC100" s="525">
        <f t="shared" si="68"/>
        <v>0.17042995723914101</v>
      </c>
      <c r="CD100" s="417">
        <f t="shared" si="28"/>
        <v>6.9198846415845283E-2</v>
      </c>
      <c r="CE100" s="525">
        <f t="shared" si="69"/>
        <v>0.17042995723914101</v>
      </c>
      <c r="CG100" s="527">
        <f t="shared" si="70"/>
        <v>1300.5702158753174</v>
      </c>
      <c r="CH100" s="528">
        <f t="shared" si="71"/>
        <v>503.42084885827961</v>
      </c>
      <c r="CI100" s="528">
        <f t="shared" si="72"/>
        <v>2082.533532115357</v>
      </c>
      <c r="CJ100" s="528">
        <f t="shared" si="73"/>
        <v>2962.0513487432922</v>
      </c>
      <c r="CK100" s="528">
        <f t="shared" si="74"/>
        <v>40.107555355327428</v>
      </c>
      <c r="CL100" s="528">
        <f t="shared" si="75"/>
        <v>6888.6835009475744</v>
      </c>
      <c r="CM100" s="646">
        <f t="shared" si="76"/>
        <v>0</v>
      </c>
    </row>
    <row r="101" spans="1:91">
      <c r="A101" s="873">
        <f>'Input data'!A121</f>
        <v>2021</v>
      </c>
      <c r="B101" s="1551">
        <f>'Input data'!B121</f>
        <v>60.170135702880636</v>
      </c>
      <c r="C101" s="1550">
        <f>'Input data'!C121</f>
        <v>4296.6100000000006</v>
      </c>
      <c r="D101" s="1552">
        <f>'Input data'!D121</f>
        <v>50719928.257477686</v>
      </c>
      <c r="E101" s="1454">
        <f t="shared" si="29"/>
        <v>0.74936969696969691</v>
      </c>
      <c r="F101" s="1504">
        <f t="shared" si="30"/>
        <v>0.29901212121212117</v>
      </c>
      <c r="G101" s="1509">
        <f>B101*F101*'Input data'!$C$9</f>
        <v>550.6705256528777</v>
      </c>
      <c r="H101" s="1508">
        <f>'Input data'!I121</f>
        <v>424.26313389388866</v>
      </c>
      <c r="I101" s="1509">
        <f>'Input data'!K121</f>
        <v>25527.970340124699</v>
      </c>
      <c r="J101" s="1509">
        <f t="shared" si="77"/>
        <v>9003.6315898476932</v>
      </c>
      <c r="K101" s="1511">
        <f t="shared" si="78"/>
        <v>2859.6871700200736</v>
      </c>
      <c r="L101" s="1504">
        <f t="shared" si="31"/>
        <v>0.57999999999999996</v>
      </c>
      <c r="M101" s="1504">
        <f t="shared" si="32"/>
        <v>0.437</v>
      </c>
      <c r="N101" s="1504">
        <f t="shared" si="33"/>
        <v>0.71200000000000008</v>
      </c>
      <c r="O101" s="1504">
        <f t="shared" si="34"/>
        <v>0.8</v>
      </c>
      <c r="P101" s="1504">
        <f t="shared" si="35"/>
        <v>0.23600000000000002</v>
      </c>
      <c r="Q101" s="1508">
        <f t="shared" si="36"/>
        <v>0</v>
      </c>
      <c r="R101" s="1509">
        <f t="shared" si="37"/>
        <v>0</v>
      </c>
      <c r="S101" s="1509">
        <f t="shared" si="38"/>
        <v>0</v>
      </c>
      <c r="T101" s="1509">
        <f t="shared" si="39"/>
        <v>0</v>
      </c>
      <c r="U101" s="1511">
        <f t="shared" si="40"/>
        <v>0</v>
      </c>
      <c r="V101" s="1509">
        <f t="shared" si="10"/>
        <v>0</v>
      </c>
      <c r="W101" s="1454">
        <f>($W$102-$W$97)/($A$102-$A$97)+W100</f>
        <v>0.2</v>
      </c>
      <c r="X101" s="530">
        <f t="shared" si="41"/>
        <v>1213.3941881208284</v>
      </c>
      <c r="Y101" s="528">
        <f t="shared" si="79"/>
        <v>1213.3941881208284</v>
      </c>
      <c r="Z101" s="528">
        <f t="shared" si="80"/>
        <v>10649.924571746938</v>
      </c>
      <c r="AA101" s="530">
        <f t="shared" si="81"/>
        <v>1646.2929818992452</v>
      </c>
      <c r="AB101" s="1091">
        <f t="shared" si="42"/>
        <v>0.15458259547365027</v>
      </c>
      <c r="AC101" s="135" t="str">
        <f t="shared" si="43"/>
        <v>Yes</v>
      </c>
      <c r="AD101" s="1091">
        <f t="shared" si="44"/>
        <v>0.15458259547365027</v>
      </c>
      <c r="AE101" s="649">
        <f t="shared" si="11"/>
        <v>8.961457279319629E-2</v>
      </c>
      <c r="AF101" s="530">
        <f t="shared" si="45"/>
        <v>386.24297439808521</v>
      </c>
      <c r="AG101" s="527">
        <f t="shared" si="46"/>
        <v>9003.6315898476932</v>
      </c>
      <c r="AH101" s="528">
        <f t="shared" si="82"/>
        <v>6997.588429478179</v>
      </c>
      <c r="AI101" s="528">
        <f t="shared" si="83"/>
        <v>4617.5691834333375</v>
      </c>
      <c r="AJ101" s="528">
        <f t="shared" si="12"/>
        <v>2621.5029810578276</v>
      </c>
      <c r="AK101" s="528">
        <f t="shared" si="47"/>
        <v>23240.292183817037</v>
      </c>
      <c r="AL101" s="716">
        <f t="shared" si="13"/>
        <v>0</v>
      </c>
      <c r="AM101" s="649">
        <f t="shared" si="48"/>
        <v>0.387414732940286</v>
      </c>
      <c r="AN101" s="417">
        <f t="shared" si="49"/>
        <v>0.30109726565102418</v>
      </c>
      <c r="AO101" s="417">
        <f t="shared" si="50"/>
        <v>0.19868808648837469</v>
      </c>
      <c r="AP101" s="417">
        <f t="shared" si="51"/>
        <v>0.11279991492031517</v>
      </c>
      <c r="AQ101" s="525">
        <f t="shared" si="52"/>
        <v>1</v>
      </c>
      <c r="AR101" s="1086">
        <f t="shared" si="14"/>
        <v>1954.9500261108299</v>
      </c>
      <c r="AS101" s="938">
        <f t="shared" si="15"/>
        <v>2479.4055186694382</v>
      </c>
      <c r="AT101" s="938">
        <f t="shared" si="16"/>
        <v>591.72026745667574</v>
      </c>
      <c r="AU101" s="938">
        <f t="shared" si="17"/>
        <v>0</v>
      </c>
      <c r="AV101" s="938">
        <f t="shared" si="18"/>
        <v>0</v>
      </c>
      <c r="AW101" s="938">
        <f t="shared" si="19"/>
        <v>0</v>
      </c>
      <c r="AX101" s="938">
        <f t="shared" si="20"/>
        <v>2518.5613689457123</v>
      </c>
      <c r="AY101" s="938">
        <f t="shared" si="21"/>
        <v>364.12655081690815</v>
      </c>
      <c r="AZ101" s="938">
        <f t="shared" si="22"/>
        <v>529.25606200340769</v>
      </c>
      <c r="BA101" s="938">
        <f t="shared" si="23"/>
        <v>465.25809229336824</v>
      </c>
      <c r="BB101" s="938">
        <f t="shared" si="24"/>
        <v>100.3537035513524</v>
      </c>
      <c r="BC101" s="530">
        <f t="shared" si="53"/>
        <v>9003.6315898476932</v>
      </c>
      <c r="BD101" s="724">
        <f t="shared" si="54"/>
        <v>0</v>
      </c>
      <c r="BE101" s="436">
        <f t="shared" si="55"/>
        <v>0.21712905582622802</v>
      </c>
      <c r="BF101" s="624">
        <f t="shared" si="56"/>
        <v>0.27537838414725496</v>
      </c>
      <c r="BG101" s="624">
        <f t="shared" si="57"/>
        <v>6.5720177636309232E-2</v>
      </c>
      <c r="BH101" s="624">
        <f t="shared" si="58"/>
        <v>0</v>
      </c>
      <c r="BI101" s="624">
        <f t="shared" si="59"/>
        <v>0</v>
      </c>
      <c r="BJ101" s="624">
        <f t="shared" si="60"/>
        <v>0</v>
      </c>
      <c r="BK101" s="624">
        <f t="shared" si="61"/>
        <v>0.44177238239020766</v>
      </c>
      <c r="BL101" s="624">
        <f t="shared" si="62"/>
        <v>0.99999999999999989</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105.35297165506665</v>
      </c>
      <c r="BW101" s="114">
        <f t="shared" si="65"/>
        <v>0.38968655185697604</v>
      </c>
      <c r="BX101" s="1686">
        <f t="shared" si="25"/>
        <v>50.719928257477683</v>
      </c>
      <c r="BY101" s="527">
        <f t="shared" si="66"/>
        <v>105.35297165506665</v>
      </c>
      <c r="BZ101" s="417">
        <f t="shared" si="67"/>
        <v>0.38968655185697604</v>
      </c>
      <c r="CA101" s="544">
        <f t="shared" si="26"/>
        <v>50.719928257477683</v>
      </c>
      <c r="CB101" s="649">
        <f t="shared" si="27"/>
        <v>8.961457279319629E-2</v>
      </c>
      <c r="CC101" s="525">
        <f t="shared" si="68"/>
        <v>0.19821732838659767</v>
      </c>
      <c r="CD101" s="417">
        <f t="shared" si="28"/>
        <v>8.961457279319629E-2</v>
      </c>
      <c r="CE101" s="525">
        <f t="shared" si="69"/>
        <v>0.19821732838659767</v>
      </c>
      <c r="CG101" s="527">
        <f t="shared" si="70"/>
        <v>1321.1312572396725</v>
      </c>
      <c r="CH101" s="528">
        <f t="shared" si="71"/>
        <v>511.37955556300557</v>
      </c>
      <c r="CI101" s="528">
        <f t="shared" si="72"/>
        <v>2115.4568280464905</v>
      </c>
      <c r="CJ101" s="528">
        <f t="shared" si="73"/>
        <v>3008.8791628524023</v>
      </c>
      <c r="CK101" s="528">
        <f t="shared" si="74"/>
        <v>40.74162577660725</v>
      </c>
      <c r="CL101" s="528">
        <f t="shared" si="75"/>
        <v>6997.5884294781781</v>
      </c>
      <c r="CM101" s="646">
        <f t="shared" si="76"/>
        <v>0</v>
      </c>
    </row>
    <row r="102" spans="1:91" s="1" customFormat="1">
      <c r="A102" s="873">
        <f>'Input data'!A122</f>
        <v>2022</v>
      </c>
      <c r="B102" s="1551">
        <f>'Input data'!B122</f>
        <v>61.14166465104848</v>
      </c>
      <c r="C102" s="1550">
        <f>'Input data'!C122</f>
        <v>4408.5100000000011</v>
      </c>
      <c r="D102" s="1552">
        <f>'Input data'!D122</f>
        <v>50359792.847133137</v>
      </c>
      <c r="E102" s="1454">
        <f t="shared" si="29"/>
        <v>0.75801212121212114</v>
      </c>
      <c r="F102" s="1504">
        <f t="shared" si="30"/>
        <v>0.30136515151515147</v>
      </c>
      <c r="G102" s="1509">
        <f>B102*F102*'Input data'!$C$9</f>
        <v>563.96523942008184</v>
      </c>
      <c r="H102" s="1508">
        <f>'Input data'!I122</f>
        <v>424.26313389388866</v>
      </c>
      <c r="I102" s="1509">
        <f>'Input data'!K122</f>
        <v>25940.154256343019</v>
      </c>
      <c r="J102" s="1509">
        <f>$J$97*(1+(($J$110/$J$97)^(1/($A$110-$A$97))-1))^(A102-$A$97)</f>
        <v>8536.1406577284433</v>
      </c>
      <c r="K102" s="1511">
        <f t="shared" si="78"/>
        <v>3518.7275720203161</v>
      </c>
      <c r="L102" s="1504">
        <f t="shared" si="31"/>
        <v>0.57999999999999996</v>
      </c>
      <c r="M102" s="1504">
        <f t="shared" si="32"/>
        <v>0.437</v>
      </c>
      <c r="N102" s="1504">
        <f t="shared" si="33"/>
        <v>0.71200000000000008</v>
      </c>
      <c r="O102" s="1504">
        <f t="shared" si="34"/>
        <v>0.8</v>
      </c>
      <c r="P102" s="1504">
        <f t="shared" si="35"/>
        <v>0.23600000000000002</v>
      </c>
      <c r="Q102" s="1508">
        <f t="shared" si="36"/>
        <v>0</v>
      </c>
      <c r="R102" s="1509">
        <f t="shared" si="37"/>
        <v>0</v>
      </c>
      <c r="S102" s="1509">
        <f t="shared" si="38"/>
        <v>0</v>
      </c>
      <c r="T102" s="1509">
        <f t="shared" si="39"/>
        <v>0</v>
      </c>
      <c r="U102" s="1511">
        <f t="shared" si="40"/>
        <v>0</v>
      </c>
      <c r="V102" s="1509">
        <f t="shared" si="10"/>
        <v>0</v>
      </c>
      <c r="W102" s="1454">
        <f>$C$26</f>
        <v>0.25</v>
      </c>
      <c r="X102" s="530">
        <f t="shared" si="41"/>
        <v>1516.7427351510353</v>
      </c>
      <c r="Y102" s="528">
        <f t="shared" si="79"/>
        <v>1516.7427351510353</v>
      </c>
      <c r="Z102" s="528">
        <f t="shared" si="80"/>
        <v>10538.125494597723</v>
      </c>
      <c r="AA102" s="530">
        <f t="shared" si="81"/>
        <v>2001.9848368692801</v>
      </c>
      <c r="AB102" s="1091">
        <f t="shared" si="42"/>
        <v>0.18997542189980371</v>
      </c>
      <c r="AC102" s="135" t="str">
        <f t="shared" si="43"/>
        <v>Yes</v>
      </c>
      <c r="AD102" s="1091">
        <f t="shared" si="44"/>
        <v>0.18997542189980371</v>
      </c>
      <c r="AE102" s="649">
        <f t="shared" si="11"/>
        <v>0.10871988423705314</v>
      </c>
      <c r="AF102" s="530">
        <f t="shared" si="45"/>
        <v>378.13729509089569</v>
      </c>
      <c r="AG102" s="527">
        <f t="shared" si="46"/>
        <v>8536.1406577284433</v>
      </c>
      <c r="AH102" s="528">
        <f t="shared" si="82"/>
        <v>7110.5740434740073</v>
      </c>
      <c r="AI102" s="528">
        <f t="shared" si="83"/>
        <v>4920.9177304635441</v>
      </c>
      <c r="AJ102" s="528">
        <f t="shared" si="12"/>
        <v>2552.3112568361084</v>
      </c>
      <c r="AK102" s="528">
        <f t="shared" si="47"/>
        <v>23119.943688502106</v>
      </c>
      <c r="AL102" s="716">
        <f t="shared" si="13"/>
        <v>0</v>
      </c>
      <c r="AM102" s="649">
        <f t="shared" si="48"/>
        <v>0.36921113531836125</v>
      </c>
      <c r="AN102" s="417">
        <f t="shared" si="49"/>
        <v>0.30755152950524711</v>
      </c>
      <c r="AO102" s="417">
        <f t="shared" si="50"/>
        <v>0.2128429807945765</v>
      </c>
      <c r="AP102" s="417">
        <f t="shared" si="51"/>
        <v>0.110394354381815</v>
      </c>
      <c r="AQ102" s="525">
        <f t="shared" si="52"/>
        <v>0.99999999999999989</v>
      </c>
      <c r="AR102" s="1086">
        <f t="shared" si="14"/>
        <v>1802.0185977105079</v>
      </c>
      <c r="AS102" s="938">
        <f t="shared" si="15"/>
        <v>2285.4470939069929</v>
      </c>
      <c r="AT102" s="938">
        <f t="shared" si="16"/>
        <v>576.10245360786473</v>
      </c>
      <c r="AU102" s="938">
        <f t="shared" si="17"/>
        <v>0</v>
      </c>
      <c r="AV102" s="938">
        <f t="shared" si="18"/>
        <v>0</v>
      </c>
      <c r="AW102" s="938">
        <f t="shared" si="19"/>
        <v>0</v>
      </c>
      <c r="AX102" s="938">
        <f t="shared" si="20"/>
        <v>2452.0866767806674</v>
      </c>
      <c r="AY102" s="938">
        <f t="shared" si="21"/>
        <v>354.51582595106692</v>
      </c>
      <c r="AZ102" s="938">
        <f t="shared" si="22"/>
        <v>515.28692302114484</v>
      </c>
      <c r="BA102" s="938">
        <f t="shared" si="23"/>
        <v>452.97811021953663</v>
      </c>
      <c r="BB102" s="938">
        <f t="shared" si="24"/>
        <v>97.704976530660076</v>
      </c>
      <c r="BC102" s="530">
        <f t="shared" si="53"/>
        <v>8536.1406577284415</v>
      </c>
      <c r="BD102" s="724">
        <f t="shared" si="54"/>
        <v>0</v>
      </c>
      <c r="BE102" s="436">
        <f t="shared" si="55"/>
        <v>0.21110460452394236</v>
      </c>
      <c r="BF102" s="624">
        <f t="shared" si="56"/>
        <v>0.26773775006129935</v>
      </c>
      <c r="BG102" s="624">
        <f t="shared" si="57"/>
        <v>6.7489803262118661E-2</v>
      </c>
      <c r="BH102" s="624">
        <f t="shared" si="58"/>
        <v>0</v>
      </c>
      <c r="BI102" s="624">
        <f t="shared" si="59"/>
        <v>0</v>
      </c>
      <c r="BJ102" s="624">
        <f t="shared" si="60"/>
        <v>0</v>
      </c>
      <c r="BK102" s="624">
        <f t="shared" si="61"/>
        <v>0.45366784215263961</v>
      </c>
      <c r="BL102" s="624">
        <f t="shared" si="62"/>
        <v>1</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103.4013639364434</v>
      </c>
      <c r="BW102" s="114">
        <f t="shared" si="65"/>
        <v>0.410454527056197</v>
      </c>
      <c r="BX102" s="1686">
        <f t="shared" si="25"/>
        <v>50.359792847133136</v>
      </c>
      <c r="BY102" s="527">
        <f t="shared" si="66"/>
        <v>103.4013639364434</v>
      </c>
      <c r="BZ102" s="417">
        <f t="shared" si="67"/>
        <v>0.410454527056197</v>
      </c>
      <c r="CA102" s="544">
        <f t="shared" si="26"/>
        <v>50.359792847133136</v>
      </c>
      <c r="CB102" s="649">
        <f t="shared" si="27"/>
        <v>0.10871988423705314</v>
      </c>
      <c r="CC102" s="525">
        <f t="shared" si="68"/>
        <v>0.2235747660326316</v>
      </c>
      <c r="CD102" s="417">
        <f t="shared" si="28"/>
        <v>0.10871988423705314</v>
      </c>
      <c r="CE102" s="525">
        <f t="shared" si="69"/>
        <v>0.2235747660326316</v>
      </c>
      <c r="CG102" s="527">
        <f t="shared" si="70"/>
        <v>1342.4627241832688</v>
      </c>
      <c r="CH102" s="528">
        <f t="shared" si="71"/>
        <v>519.6364763082729</v>
      </c>
      <c r="CI102" s="528">
        <f t="shared" si="72"/>
        <v>2149.6137652552602</v>
      </c>
      <c r="CJ102" s="528">
        <f t="shared" si="73"/>
        <v>3057.4616228070367</v>
      </c>
      <c r="CK102" s="528">
        <f t="shared" si="74"/>
        <v>41.39945492016858</v>
      </c>
      <c r="CL102" s="528">
        <f t="shared" si="75"/>
        <v>7110.5740434740073</v>
      </c>
      <c r="CM102" s="646">
        <f t="shared" si="76"/>
        <v>0</v>
      </c>
    </row>
    <row r="103" spans="1:91">
      <c r="A103" s="873">
        <f>'Input data'!A123</f>
        <v>2023</v>
      </c>
      <c r="B103" s="1551">
        <f>'Input data'!B123</f>
        <v>62.126086164056694</v>
      </c>
      <c r="C103" s="1550">
        <f>'Input data'!C123</f>
        <v>4511.7199999999984</v>
      </c>
      <c r="D103" s="1552">
        <f>'Input data'!D123</f>
        <v>48748213.106871188</v>
      </c>
      <c r="E103" s="1454">
        <f t="shared" si="29"/>
        <v>0.76665454545454537</v>
      </c>
      <c r="F103" s="1504">
        <f t="shared" si="30"/>
        <v>0.30371818181818178</v>
      </c>
      <c r="G103" s="1509">
        <f>B103*F103*'Input data'!$C$9</f>
        <v>577.51973945156942</v>
      </c>
      <c r="H103" s="1508">
        <f>'Input data'!I123</f>
        <v>424.26313389388866</v>
      </c>
      <c r="I103" s="1509">
        <f>'Input data'!K123</f>
        <v>26357.808012524449</v>
      </c>
      <c r="J103" s="1509">
        <f t="shared" si="77"/>
        <v>8092.9230168287222</v>
      </c>
      <c r="K103" s="1511">
        <f t="shared" si="78"/>
        <v>4156.0366183400956</v>
      </c>
      <c r="L103" s="1504">
        <f t="shared" si="31"/>
        <v>0.57999999999999996</v>
      </c>
      <c r="M103" s="1504">
        <f t="shared" si="32"/>
        <v>0.437</v>
      </c>
      <c r="N103" s="1504">
        <f t="shared" si="33"/>
        <v>0.71200000000000008</v>
      </c>
      <c r="O103" s="1504">
        <f t="shared" si="34"/>
        <v>0.8</v>
      </c>
      <c r="P103" s="1504">
        <f t="shared" si="35"/>
        <v>0.23600000000000002</v>
      </c>
      <c r="Q103" s="1508">
        <f t="shared" si="36"/>
        <v>0</v>
      </c>
      <c r="R103" s="1509">
        <f t="shared" si="37"/>
        <v>0</v>
      </c>
      <c r="S103" s="1509">
        <f t="shared" si="38"/>
        <v>0</v>
      </c>
      <c r="T103" s="1509">
        <f t="shared" si="39"/>
        <v>0</v>
      </c>
      <c r="U103" s="1511">
        <f t="shared" si="40"/>
        <v>0</v>
      </c>
      <c r="V103" s="1509">
        <f t="shared" si="10"/>
        <v>0</v>
      </c>
      <c r="W103" s="1454">
        <f>($W$107-$W$102)/($A$107-$A$102)+W102</f>
        <v>0.3</v>
      </c>
      <c r="X103" s="530">
        <f t="shared" si="41"/>
        <v>1820.0912821812424</v>
      </c>
      <c r="Y103" s="528">
        <f t="shared" si="79"/>
        <v>1820.0912821812424</v>
      </c>
      <c r="Z103" s="528">
        <f t="shared" si="80"/>
        <v>10428.868352987576</v>
      </c>
      <c r="AA103" s="530">
        <f t="shared" si="81"/>
        <v>2335.9453361588539</v>
      </c>
      <c r="AB103" s="1091">
        <f t="shared" si="42"/>
        <v>0.22398838081887107</v>
      </c>
      <c r="AC103" s="135" t="str">
        <f t="shared" si="43"/>
        <v>Yes</v>
      </c>
      <c r="AD103" s="1091">
        <f t="shared" si="44"/>
        <v>0.22398838081887107</v>
      </c>
      <c r="AE103" s="649">
        <f t="shared" si="11"/>
        <v>0.12637817597931233</v>
      </c>
      <c r="AF103" s="530">
        <f t="shared" si="45"/>
        <v>370.64553289711228</v>
      </c>
      <c r="AG103" s="527">
        <f t="shared" si="46"/>
        <v>8092.9230168287222</v>
      </c>
      <c r="AH103" s="528">
        <f t="shared" si="82"/>
        <v>7225.0590202600233</v>
      </c>
      <c r="AI103" s="528">
        <f t="shared" si="83"/>
        <v>5224.2662774937517</v>
      </c>
      <c r="AJ103" s="528">
        <f t="shared" si="12"/>
        <v>2484.5079985062089</v>
      </c>
      <c r="AK103" s="528">
        <f t="shared" si="47"/>
        <v>23026.756313088707</v>
      </c>
      <c r="AL103" s="716">
        <f t="shared" si="13"/>
        <v>0</v>
      </c>
      <c r="AM103" s="649">
        <f t="shared" si="48"/>
        <v>0.35145736146209183</v>
      </c>
      <c r="AN103" s="417">
        <f t="shared" si="49"/>
        <v>0.31376798894394026</v>
      </c>
      <c r="AO103" s="417">
        <f t="shared" si="50"/>
        <v>0.22687808071882928</v>
      </c>
      <c r="AP103" s="417">
        <f t="shared" si="51"/>
        <v>0.10789656887513863</v>
      </c>
      <c r="AQ103" s="525">
        <f t="shared" si="52"/>
        <v>1</v>
      </c>
      <c r="AR103" s="1086">
        <f t="shared" si="14"/>
        <v>1658.7214685487584</v>
      </c>
      <c r="AS103" s="938">
        <f t="shared" si="15"/>
        <v>2103.7075670097529</v>
      </c>
      <c r="AT103" s="938">
        <f t="shared" si="16"/>
        <v>560.79804142779062</v>
      </c>
      <c r="AU103" s="938">
        <f t="shared" si="17"/>
        <v>0</v>
      </c>
      <c r="AV103" s="938">
        <f t="shared" si="18"/>
        <v>0</v>
      </c>
      <c r="AW103" s="938">
        <f t="shared" si="19"/>
        <v>0</v>
      </c>
      <c r="AX103" s="938">
        <f t="shared" si="20"/>
        <v>2386.9459279994385</v>
      </c>
      <c r="AY103" s="938">
        <f t="shared" si="21"/>
        <v>345.09795888465158</v>
      </c>
      <c r="AZ103" s="938">
        <f t="shared" si="22"/>
        <v>501.59810185482218</v>
      </c>
      <c r="BA103" s="938">
        <f t="shared" si="23"/>
        <v>440.94454975831081</v>
      </c>
      <c r="BB103" s="938">
        <f t="shared" si="24"/>
        <v>95.109401345195749</v>
      </c>
      <c r="BC103" s="530">
        <f t="shared" si="53"/>
        <v>8092.9230168287195</v>
      </c>
      <c r="BD103" s="724">
        <f t="shared" si="54"/>
        <v>0</v>
      </c>
      <c r="BE103" s="436">
        <f t="shared" si="55"/>
        <v>0.20495950166578286</v>
      </c>
      <c r="BF103" s="624">
        <f t="shared" si="56"/>
        <v>0.2599440971618322</v>
      </c>
      <c r="BG103" s="624">
        <f t="shared" si="57"/>
        <v>6.9294869142045051E-2</v>
      </c>
      <c r="BH103" s="624">
        <f t="shared" si="58"/>
        <v>0</v>
      </c>
      <c r="BI103" s="624">
        <f t="shared" si="59"/>
        <v>0</v>
      </c>
      <c r="BJ103" s="624">
        <f t="shared" si="60"/>
        <v>0</v>
      </c>
      <c r="BK103" s="624">
        <f t="shared" si="61"/>
        <v>0.46580153203034003</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101.48251277964827</v>
      </c>
      <c r="BW103" s="114">
        <f t="shared" si="65"/>
        <v>0.43049674501795965</v>
      </c>
      <c r="BX103" s="1686">
        <f t="shared" si="25"/>
        <v>48.748213106871191</v>
      </c>
      <c r="BY103" s="527">
        <f t="shared" si="66"/>
        <v>101.48251277964827</v>
      </c>
      <c r="BZ103" s="417">
        <f t="shared" si="67"/>
        <v>0.43049674501795965</v>
      </c>
      <c r="CA103" s="544">
        <f t="shared" si="26"/>
        <v>48.748213106871191</v>
      </c>
      <c r="CB103" s="649">
        <f t="shared" si="27"/>
        <v>0.12637817597931233</v>
      </c>
      <c r="CC103" s="525">
        <f t="shared" si="68"/>
        <v>0.23850745277517538</v>
      </c>
      <c r="CD103" s="417">
        <f t="shared" si="28"/>
        <v>0.12637817597931233</v>
      </c>
      <c r="CE103" s="525">
        <f t="shared" si="69"/>
        <v>0.23850745277517538</v>
      </c>
      <c r="CG103" s="527">
        <f t="shared" si="70"/>
        <v>1364.0772679422596</v>
      </c>
      <c r="CH103" s="528">
        <f t="shared" si="71"/>
        <v>528.00296958484864</v>
      </c>
      <c r="CI103" s="528">
        <f t="shared" si="72"/>
        <v>2184.2239782295578</v>
      </c>
      <c r="CJ103" s="528">
        <f t="shared" si="73"/>
        <v>3106.6887907925038</v>
      </c>
      <c r="CK103" s="528">
        <f t="shared" si="74"/>
        <v>42.066013710852879</v>
      </c>
      <c r="CL103" s="528">
        <f t="shared" si="75"/>
        <v>7225.0590202600224</v>
      </c>
      <c r="CM103" s="646">
        <f t="shared" si="76"/>
        <v>0</v>
      </c>
    </row>
    <row r="104" spans="1:91">
      <c r="A104" s="873">
        <f>'Input data'!A124</f>
        <v>2024</v>
      </c>
      <c r="B104" s="1551">
        <f>'Input data'!B124</f>
        <v>63.126357518916684</v>
      </c>
      <c r="C104" s="1550">
        <f>'Input data'!C124</f>
        <v>4622.4800000000005</v>
      </c>
      <c r="D104" s="1552">
        <f>'Input data'!D124</f>
        <v>46900203.343432628</v>
      </c>
      <c r="E104" s="1454">
        <f t="shared" si="29"/>
        <v>0.7752969696969696</v>
      </c>
      <c r="F104" s="1504">
        <f t="shared" si="30"/>
        <v>0.30607121212121208</v>
      </c>
      <c r="G104" s="1509">
        <f>B104*F104*'Input data'!$C$9</f>
        <v>591.36451491315404</v>
      </c>
      <c r="H104" s="1508">
        <f>'Input data'!I124</f>
        <v>424.26313389388866</v>
      </c>
      <c r="I104" s="1509">
        <f>'Input data'!K124</f>
        <v>26782.186272281633</v>
      </c>
      <c r="J104" s="1509">
        <f t="shared" si="77"/>
        <v>7672.7183375332434</v>
      </c>
      <c r="K104" s="1511">
        <f t="shared" si="78"/>
        <v>4773.457703921672</v>
      </c>
      <c r="L104" s="1504">
        <f t="shared" si="31"/>
        <v>0.57999999999999996</v>
      </c>
      <c r="M104" s="1504">
        <f t="shared" si="32"/>
        <v>0.437</v>
      </c>
      <c r="N104" s="1504">
        <f t="shared" si="33"/>
        <v>0.71200000000000008</v>
      </c>
      <c r="O104" s="1504">
        <f t="shared" si="34"/>
        <v>0.8</v>
      </c>
      <c r="P104" s="1504">
        <f t="shared" si="35"/>
        <v>0.23600000000000002</v>
      </c>
      <c r="Q104" s="1508">
        <f t="shared" si="36"/>
        <v>0</v>
      </c>
      <c r="R104" s="1509">
        <f t="shared" si="37"/>
        <v>0</v>
      </c>
      <c r="S104" s="1509">
        <f t="shared" si="38"/>
        <v>0</v>
      </c>
      <c r="T104" s="1509">
        <f t="shared" si="39"/>
        <v>0</v>
      </c>
      <c r="U104" s="1511">
        <f t="shared" si="40"/>
        <v>0</v>
      </c>
      <c r="V104" s="1509">
        <f t="shared" si="10"/>
        <v>0</v>
      </c>
      <c r="W104" s="1454">
        <f>($W$107-$W$102)/($A$107-$A$102)+W103</f>
        <v>0.35</v>
      </c>
      <c r="X104" s="530">
        <f t="shared" si="41"/>
        <v>2123.4398292114493</v>
      </c>
      <c r="Y104" s="528">
        <f t="shared" si="79"/>
        <v>2123.4398292114493</v>
      </c>
      <c r="Z104" s="528">
        <f t="shared" si="80"/>
        <v>10322.736212243466</v>
      </c>
      <c r="AA104" s="530">
        <f t="shared" si="81"/>
        <v>2650.0178747102227</v>
      </c>
      <c r="AB104" s="1091">
        <f t="shared" si="42"/>
        <v>0.25671661274915863</v>
      </c>
      <c r="AC104" s="135" t="str">
        <f t="shared" si="43"/>
        <v>Yes</v>
      </c>
      <c r="AD104" s="1091">
        <f t="shared" si="44"/>
        <v>0.25671661274915863</v>
      </c>
      <c r="AE104" s="649">
        <f t="shared" si="11"/>
        <v>0.14272272578160961</v>
      </c>
      <c r="AF104" s="530">
        <f t="shared" si="45"/>
        <v>363.71114297590486</v>
      </c>
      <c r="AG104" s="527">
        <f t="shared" si="46"/>
        <v>7672.7183375332434</v>
      </c>
      <c r="AH104" s="528">
        <f t="shared" si="82"/>
        <v>7341.3872814038923</v>
      </c>
      <c r="AI104" s="528">
        <f t="shared" si="83"/>
        <v>5527.6148245239583</v>
      </c>
      <c r="AJ104" s="528">
        <f t="shared" si="12"/>
        <v>2418.0392016496985</v>
      </c>
      <c r="AK104" s="528">
        <f t="shared" si="47"/>
        <v>22959.759645110793</v>
      </c>
      <c r="AL104" s="716">
        <f t="shared" si="13"/>
        <v>0</v>
      </c>
      <c r="AM104" s="649">
        <f t="shared" si="48"/>
        <v>0.33418112628923463</v>
      </c>
      <c r="AN104" s="417">
        <f t="shared" si="49"/>
        <v>0.31975018009246525</v>
      </c>
      <c r="AO104" s="417">
        <f t="shared" si="50"/>
        <v>0.24075229488306277</v>
      </c>
      <c r="AP104" s="417">
        <f t="shared" si="51"/>
        <v>0.10531639873523729</v>
      </c>
      <c r="AQ104" s="525">
        <f t="shared" si="52"/>
        <v>0.99999999999999978</v>
      </c>
      <c r="AR104" s="1086">
        <f t="shared" si="14"/>
        <v>1524.5445024278256</v>
      </c>
      <c r="AS104" s="938">
        <f t="shared" si="15"/>
        <v>1933.5348741862988</v>
      </c>
      <c r="AT104" s="938">
        <f t="shared" si="16"/>
        <v>545.7948411500679</v>
      </c>
      <c r="AU104" s="938">
        <f t="shared" si="17"/>
        <v>0</v>
      </c>
      <c r="AV104" s="938">
        <f t="shared" si="18"/>
        <v>0</v>
      </c>
      <c r="AW104" s="938">
        <f t="shared" si="19"/>
        <v>0</v>
      </c>
      <c r="AX104" s="938">
        <f t="shared" si="20"/>
        <v>2323.0872388380185</v>
      </c>
      <c r="AY104" s="938">
        <f t="shared" si="21"/>
        <v>335.86544840833528</v>
      </c>
      <c r="AZ104" s="938">
        <f t="shared" si="22"/>
        <v>488.17869553540396</v>
      </c>
      <c r="BA104" s="938">
        <f t="shared" si="23"/>
        <v>429.14782633440052</v>
      </c>
      <c r="BB104" s="938">
        <f t="shared" si="24"/>
        <v>92.564910652890049</v>
      </c>
      <c r="BC104" s="530">
        <f t="shared" si="53"/>
        <v>7672.7183375332397</v>
      </c>
      <c r="BD104" s="724">
        <f t="shared" si="54"/>
        <v>0</v>
      </c>
      <c r="BE104" s="436">
        <f t="shared" si="55"/>
        <v>0.19869678976355634</v>
      </c>
      <c r="BF104" s="624">
        <f t="shared" si="56"/>
        <v>0.25200128417693557</v>
      </c>
      <c r="BG104" s="624">
        <f t="shared" si="57"/>
        <v>7.1134481567003485E-2</v>
      </c>
      <c r="BH104" s="624">
        <f t="shared" si="58"/>
        <v>0</v>
      </c>
      <c r="BI104" s="624">
        <f t="shared" si="59"/>
        <v>0</v>
      </c>
      <c r="BJ104" s="624">
        <f t="shared" si="60"/>
        <v>0</v>
      </c>
      <c r="BK104" s="624">
        <f t="shared" si="61"/>
        <v>0.47816744449250476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99.753932230241077</v>
      </c>
      <c r="BW104" s="114">
        <f t="shared" si="65"/>
        <v>0.45071056620718358</v>
      </c>
      <c r="BX104" s="1686">
        <f t="shared" si="25"/>
        <v>46.900203343432629</v>
      </c>
      <c r="BY104" s="527">
        <f t="shared" si="66"/>
        <v>99.753932230241077</v>
      </c>
      <c r="BZ104" s="417">
        <f t="shared" si="67"/>
        <v>0.45071056620718358</v>
      </c>
      <c r="CA104" s="544">
        <f t="shared" si="26"/>
        <v>46.900203343432629</v>
      </c>
      <c r="CB104" s="649">
        <f t="shared" si="27"/>
        <v>0.14272272578160961</v>
      </c>
      <c r="CC104" s="525">
        <f t="shared" si="68"/>
        <v>0.25088701283073711</v>
      </c>
      <c r="CD104" s="417">
        <f t="shared" si="28"/>
        <v>0.14272272578160961</v>
      </c>
      <c r="CE104" s="525">
        <f t="shared" si="69"/>
        <v>0.25088701283073711</v>
      </c>
      <c r="CG104" s="527">
        <f t="shared" si="70"/>
        <v>1386.0398202481495</v>
      </c>
      <c r="CH104" s="528">
        <f t="shared" si="71"/>
        <v>536.50416897413675</v>
      </c>
      <c r="CI104" s="528">
        <f t="shared" si="72"/>
        <v>2219.3914386784891</v>
      </c>
      <c r="CJ104" s="528">
        <f t="shared" si="73"/>
        <v>3156.7085489612109</v>
      </c>
      <c r="CK104" s="528">
        <f t="shared" si="74"/>
        <v>42.743304541905701</v>
      </c>
      <c r="CL104" s="528">
        <f t="shared" si="75"/>
        <v>7341.3872814038914</v>
      </c>
      <c r="CM104" s="646">
        <f t="shared" si="76"/>
        <v>0</v>
      </c>
    </row>
    <row r="105" spans="1:91">
      <c r="A105" s="873">
        <f>'Input data'!A125</f>
        <v>2025</v>
      </c>
      <c r="B105" s="1551">
        <f>'Input data'!B125</f>
        <v>64.142733908636146</v>
      </c>
      <c r="C105" s="1550">
        <f>'Input data'!C125</f>
        <v>4727.3100000000004</v>
      </c>
      <c r="D105" s="1552">
        <f>'Input data'!D125</f>
        <v>41859241.005426526</v>
      </c>
      <c r="E105" s="1454">
        <f t="shared" si="29"/>
        <v>0.78393939393939382</v>
      </c>
      <c r="F105" s="1504">
        <f t="shared" si="30"/>
        <v>0.30842424242424238</v>
      </c>
      <c r="G105" s="1509">
        <f>B105*F105*'Input data'!$C$9</f>
        <v>605.50539930767434</v>
      </c>
      <c r="H105" s="1508">
        <f>'Input data'!I125</f>
        <v>424.26313389388866</v>
      </c>
      <c r="I105" s="1509">
        <f>'Input data'!K125</f>
        <v>27213.39730459977</v>
      </c>
      <c r="J105" s="1509">
        <f t="shared" si="77"/>
        <v>7274.3317296730966</v>
      </c>
      <c r="K105" s="1511">
        <f t="shared" si="78"/>
        <v>5372.2360335287303</v>
      </c>
      <c r="L105" s="1504">
        <f t="shared" si="31"/>
        <v>0.57999999999999996</v>
      </c>
      <c r="M105" s="1504">
        <f t="shared" si="32"/>
        <v>0.437</v>
      </c>
      <c r="N105" s="1504">
        <f t="shared" si="33"/>
        <v>0.71200000000000008</v>
      </c>
      <c r="O105" s="1504">
        <f t="shared" si="34"/>
        <v>0.8</v>
      </c>
      <c r="P105" s="1504">
        <f t="shared" si="35"/>
        <v>0.23600000000000002</v>
      </c>
      <c r="Q105" s="1508">
        <f t="shared" si="36"/>
        <v>0</v>
      </c>
      <c r="R105" s="1509">
        <f t="shared" si="37"/>
        <v>0</v>
      </c>
      <c r="S105" s="1509">
        <f t="shared" si="38"/>
        <v>0</v>
      </c>
      <c r="T105" s="1509">
        <f t="shared" si="39"/>
        <v>0</v>
      </c>
      <c r="U105" s="1511">
        <f t="shared" si="40"/>
        <v>0</v>
      </c>
      <c r="V105" s="1509">
        <f t="shared" si="10"/>
        <v>0</v>
      </c>
      <c r="W105" s="1454">
        <f>($W$107-$W$102)/($A$107-$A$102)+W104</f>
        <v>0.39999999999999997</v>
      </c>
      <c r="X105" s="530">
        <f t="shared" si="41"/>
        <v>2426.7883762416564</v>
      </c>
      <c r="Y105" s="528">
        <f t="shared" si="79"/>
        <v>2426.7883762416564</v>
      </c>
      <c r="Z105" s="528">
        <f t="shared" si="80"/>
        <v>10219.77938696017</v>
      </c>
      <c r="AA105" s="530">
        <f t="shared" si="81"/>
        <v>2945.4476572870735</v>
      </c>
      <c r="AB105" s="1091">
        <f t="shared" si="42"/>
        <v>0.28821049317809044</v>
      </c>
      <c r="AC105" s="135" t="str">
        <f t="shared" si="43"/>
        <v>Yes</v>
      </c>
      <c r="AD105" s="1091">
        <f t="shared" si="44"/>
        <v>0.28821049317809044</v>
      </c>
      <c r="AE105" s="649">
        <f t="shared" si="11"/>
        <v>0.15785046840139405</v>
      </c>
      <c r="AF105" s="530">
        <f t="shared" si="45"/>
        <v>357.29299948329498</v>
      </c>
      <c r="AG105" s="527">
        <f t="shared" si="46"/>
        <v>7274.3317296730966</v>
      </c>
      <c r="AH105" s="528">
        <f t="shared" si="82"/>
        <v>7459.5885050111592</v>
      </c>
      <c r="AI105" s="528">
        <f t="shared" si="83"/>
        <v>5830.9633715541659</v>
      </c>
      <c r="AJ105" s="528">
        <f t="shared" si="12"/>
        <v>2352.866187037042</v>
      </c>
      <c r="AK105" s="528">
        <f t="shared" si="47"/>
        <v>22917.749793275463</v>
      </c>
      <c r="AL105" s="716">
        <f t="shared" si="13"/>
        <v>0</v>
      </c>
      <c r="AM105" s="649">
        <f t="shared" si="48"/>
        <v>0.31741038257637033</v>
      </c>
      <c r="AN105" s="417">
        <f t="shared" si="49"/>
        <v>0.32549393253258901</v>
      </c>
      <c r="AO105" s="417">
        <f t="shared" si="50"/>
        <v>0.25443001272599153</v>
      </c>
      <c r="AP105" s="417">
        <f t="shared" si="51"/>
        <v>0.10266567216504917</v>
      </c>
      <c r="AQ105" s="525">
        <f t="shared" si="52"/>
        <v>1</v>
      </c>
      <c r="AR105" s="1086">
        <f t="shared" si="14"/>
        <v>1398.9906368027032</v>
      </c>
      <c r="AS105" s="938">
        <f t="shared" si="15"/>
        <v>1774.298605655943</v>
      </c>
      <c r="AT105" s="938">
        <f t="shared" si="16"/>
        <v>531.08412217846569</v>
      </c>
      <c r="AU105" s="938">
        <f t="shared" si="17"/>
        <v>0</v>
      </c>
      <c r="AV105" s="938">
        <f t="shared" si="18"/>
        <v>0</v>
      </c>
      <c r="AW105" s="938">
        <f t="shared" si="19"/>
        <v>0</v>
      </c>
      <c r="AX105" s="938">
        <f t="shared" si="20"/>
        <v>2260.4734489292468</v>
      </c>
      <c r="AY105" s="938">
        <f t="shared" si="21"/>
        <v>326.81292198028189</v>
      </c>
      <c r="AZ105" s="938">
        <f t="shared" si="22"/>
        <v>475.0208951010643</v>
      </c>
      <c r="BA105" s="938">
        <f t="shared" si="23"/>
        <v>417.58107525046438</v>
      </c>
      <c r="BB105" s="938">
        <f t="shared" si="24"/>
        <v>90.070023774925332</v>
      </c>
      <c r="BC105" s="530">
        <f t="shared" si="53"/>
        <v>7274.3317296730947</v>
      </c>
      <c r="BD105" s="724">
        <f t="shared" si="54"/>
        <v>0</v>
      </c>
      <c r="BE105" s="436">
        <f t="shared" si="55"/>
        <v>0.19231878456903603</v>
      </c>
      <c r="BF105" s="624">
        <f t="shared" si="56"/>
        <v>0.24391224810635342</v>
      </c>
      <c r="BG105" s="624">
        <f t="shared" si="57"/>
        <v>7.3007960306799527E-2</v>
      </c>
      <c r="BH105" s="624">
        <f t="shared" si="58"/>
        <v>0</v>
      </c>
      <c r="BI105" s="624">
        <f t="shared" si="59"/>
        <v>0</v>
      </c>
      <c r="BJ105" s="624">
        <f t="shared" si="60"/>
        <v>0</v>
      </c>
      <c r="BK105" s="624">
        <f t="shared" si="61"/>
        <v>0.49076100701781095</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97.753897051718553</v>
      </c>
      <c r="BW105" s="114">
        <f t="shared" si="65"/>
        <v>0.46857615691762733</v>
      </c>
      <c r="BX105" s="1686">
        <f t="shared" si="25"/>
        <v>41.859241005426526</v>
      </c>
      <c r="BY105" s="527">
        <f t="shared" si="66"/>
        <v>97.753897051718553</v>
      </c>
      <c r="BZ105" s="417">
        <f t="shared" si="67"/>
        <v>0.46857615691762733</v>
      </c>
      <c r="CA105" s="544">
        <f t="shared" si="26"/>
        <v>41.859241005426526</v>
      </c>
      <c r="CB105" s="649">
        <f t="shared" si="27"/>
        <v>0.15785046840139405</v>
      </c>
      <c r="CC105" s="525">
        <f t="shared" si="68"/>
        <v>0.24204066501819499</v>
      </c>
      <c r="CD105" s="417">
        <f t="shared" si="28"/>
        <v>0.15785046840139405</v>
      </c>
      <c r="CE105" s="525">
        <f t="shared" si="69"/>
        <v>0.24204066501819499</v>
      </c>
      <c r="CG105" s="527">
        <f t="shared" si="70"/>
        <v>1408.3559842702709</v>
      </c>
      <c r="CH105" s="528">
        <f t="shared" si="71"/>
        <v>545.14224333424806</v>
      </c>
      <c r="CI105" s="528">
        <f t="shared" si="72"/>
        <v>2255.1251186574486</v>
      </c>
      <c r="CJ105" s="528">
        <f t="shared" si="73"/>
        <v>3207.5336585428672</v>
      </c>
      <c r="CK105" s="528">
        <f t="shared" si="74"/>
        <v>43.431500206323115</v>
      </c>
      <c r="CL105" s="528">
        <f t="shared" si="75"/>
        <v>7459.5885050111574</v>
      </c>
      <c r="CM105" s="646">
        <f t="shared" si="76"/>
        <v>0</v>
      </c>
    </row>
    <row r="106" spans="1:91">
      <c r="A106" s="873">
        <f>'Input data'!A126</f>
        <v>2026</v>
      </c>
      <c r="B106" s="1551">
        <f>'Input data'!B126</f>
        <v>65.115730264701668</v>
      </c>
      <c r="C106" s="1550">
        <f>'Input data'!C126</f>
        <v>4818.42</v>
      </c>
      <c r="D106" s="1552">
        <f>'Input data'!D126</f>
        <v>37757514.205797322</v>
      </c>
      <c r="E106" s="1454">
        <f t="shared" si="29"/>
        <v>0.79258181818181805</v>
      </c>
      <c r="F106" s="1504">
        <f t="shared" si="30"/>
        <v>0.31077727272727268</v>
      </c>
      <c r="G106" s="1509">
        <f>B106*F106*'Input data'!$C$9</f>
        <v>619.38005099706015</v>
      </c>
      <c r="H106" s="1508">
        <f>'Input data'!I126</f>
        <v>424.26313389388866</v>
      </c>
      <c r="I106" s="1509">
        <f>'Input data'!K126</f>
        <v>27626.203787891463</v>
      </c>
      <c r="J106" s="1509">
        <f t="shared" si="77"/>
        <v>6896.6303447470355</v>
      </c>
      <c r="K106" s="1511">
        <f t="shared" si="78"/>
        <v>5941.7762067399663</v>
      </c>
      <c r="L106" s="1504">
        <f t="shared" si="31"/>
        <v>0.57999999999999996</v>
      </c>
      <c r="M106" s="1504">
        <f t="shared" si="32"/>
        <v>0.437</v>
      </c>
      <c r="N106" s="1504">
        <f t="shared" si="33"/>
        <v>0.71200000000000008</v>
      </c>
      <c r="O106" s="1504">
        <f t="shared" si="34"/>
        <v>0.8</v>
      </c>
      <c r="P106" s="1504">
        <f t="shared" si="35"/>
        <v>0.23600000000000002</v>
      </c>
      <c r="Q106" s="1508">
        <f t="shared" si="36"/>
        <v>0</v>
      </c>
      <c r="R106" s="1509">
        <f t="shared" si="37"/>
        <v>0</v>
      </c>
      <c r="S106" s="1509">
        <f t="shared" si="38"/>
        <v>0</v>
      </c>
      <c r="T106" s="1509">
        <f t="shared" si="39"/>
        <v>0</v>
      </c>
      <c r="U106" s="1511">
        <f t="shared" si="40"/>
        <v>0</v>
      </c>
      <c r="V106" s="1509">
        <f t="shared" si="10"/>
        <v>0</v>
      </c>
      <c r="W106" s="1454">
        <f>($W$107-$W$102)/($A$107-$A$102)+W105</f>
        <v>0.44999999999999996</v>
      </c>
      <c r="X106" s="530">
        <f t="shared" si="41"/>
        <v>2730.1369232718635</v>
      </c>
      <c r="Y106" s="528">
        <f t="shared" si="79"/>
        <v>2730.1369232718635</v>
      </c>
      <c r="Z106" s="528">
        <f t="shared" si="80"/>
        <v>10108.269628215137</v>
      </c>
      <c r="AA106" s="530">
        <f t="shared" si="81"/>
        <v>3211.6392834681019</v>
      </c>
      <c r="AB106" s="1091">
        <f t="shared" si="42"/>
        <v>0.31772394302813978</v>
      </c>
      <c r="AC106" s="135" t="str">
        <f t="shared" si="43"/>
        <v>Yes</v>
      </c>
      <c r="AD106" s="1091">
        <f t="shared" si="44"/>
        <v>0.31772394302813978</v>
      </c>
      <c r="AE106" s="649">
        <f t="shared" si="11"/>
        <v>0.17132277452637046</v>
      </c>
      <c r="AF106" s="530">
        <f t="shared" si="45"/>
        <v>351.57719666593471</v>
      </c>
      <c r="AG106" s="527">
        <f t="shared" si="46"/>
        <v>6896.6303447470355</v>
      </c>
      <c r="AH106" s="528">
        <f t="shared" si="82"/>
        <v>7572.744773708132</v>
      </c>
      <c r="AI106" s="528">
        <f t="shared" si="83"/>
        <v>6134.3119185843725</v>
      </c>
      <c r="AJ106" s="528">
        <f t="shared" si="12"/>
        <v>2289.5188682794342</v>
      </c>
      <c r="AK106" s="528">
        <f t="shared" si="47"/>
        <v>22893.205905318973</v>
      </c>
      <c r="AL106" s="716">
        <f t="shared" si="13"/>
        <v>0</v>
      </c>
      <c r="AM106" s="649">
        <f t="shared" si="48"/>
        <v>0.30125227428914542</v>
      </c>
      <c r="AN106" s="417">
        <f t="shared" si="49"/>
        <v>0.3307856839722344</v>
      </c>
      <c r="AO106" s="417">
        <f t="shared" si="50"/>
        <v>0.26795338075210934</v>
      </c>
      <c r="AP106" s="417">
        <f t="shared" si="51"/>
        <v>0.10000866098651089</v>
      </c>
      <c r="AQ106" s="525">
        <f t="shared" si="52"/>
        <v>0.99999999999999989</v>
      </c>
      <c r="AR106" s="1086">
        <f t="shared" si="14"/>
        <v>1281.1532394377873</v>
      </c>
      <c r="AS106" s="938">
        <f t="shared" si="15"/>
        <v>1624.8489064667258</v>
      </c>
      <c r="AT106" s="938">
        <f t="shared" si="16"/>
        <v>516.78549552468655</v>
      </c>
      <c r="AU106" s="938">
        <f t="shared" si="17"/>
        <v>0</v>
      </c>
      <c r="AV106" s="938">
        <f t="shared" si="18"/>
        <v>0</v>
      </c>
      <c r="AW106" s="938">
        <f t="shared" si="19"/>
        <v>0</v>
      </c>
      <c r="AX106" s="938">
        <f t="shared" si="20"/>
        <v>2199.6136631490981</v>
      </c>
      <c r="AY106" s="938">
        <f t="shared" si="21"/>
        <v>318.01398455797954</v>
      </c>
      <c r="AZ106" s="938">
        <f t="shared" si="22"/>
        <v>462.23168497756592</v>
      </c>
      <c r="BA106" s="938">
        <f t="shared" si="23"/>
        <v>406.33834430946365</v>
      </c>
      <c r="BB106" s="938">
        <f t="shared" si="24"/>
        <v>87.645026323727024</v>
      </c>
      <c r="BC106" s="530">
        <f t="shared" si="53"/>
        <v>6896.6303447470336</v>
      </c>
      <c r="BD106" s="724">
        <f t="shared" si="54"/>
        <v>0</v>
      </c>
      <c r="BE106" s="436">
        <f t="shared" si="55"/>
        <v>0.18576510199848614</v>
      </c>
      <c r="BF106" s="624">
        <f t="shared" si="56"/>
        <v>0.23560040559580328</v>
      </c>
      <c r="BG106" s="624">
        <f t="shared" si="57"/>
        <v>7.4933042615268966E-2</v>
      </c>
      <c r="BH106" s="624">
        <f t="shared" si="58"/>
        <v>0</v>
      </c>
      <c r="BI106" s="624">
        <f t="shared" si="59"/>
        <v>0</v>
      </c>
      <c r="BJ106" s="624">
        <f t="shared" si="60"/>
        <v>0</v>
      </c>
      <c r="BK106" s="624">
        <f t="shared" si="61"/>
        <v>0.50370144979044174</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95.886151051128607</v>
      </c>
      <c r="BW106" s="114">
        <f t="shared" si="65"/>
        <v>0.48635498666824672</v>
      </c>
      <c r="BX106" s="1686">
        <f t="shared" si="25"/>
        <v>37.757514205797321</v>
      </c>
      <c r="BY106" s="527">
        <f t="shared" si="66"/>
        <v>95.886151051128607</v>
      </c>
      <c r="BZ106" s="417">
        <f t="shared" si="67"/>
        <v>0.48635498666824672</v>
      </c>
      <c r="CA106" s="544">
        <f t="shared" si="26"/>
        <v>37.757514205797321</v>
      </c>
      <c r="CB106" s="649">
        <f t="shared" si="27"/>
        <v>0.17132277452637046</v>
      </c>
      <c r="CC106" s="525">
        <f t="shared" si="68"/>
        <v>0.23749755008140383</v>
      </c>
      <c r="CD106" s="417">
        <f t="shared" si="28"/>
        <v>0.17132277452637046</v>
      </c>
      <c r="CE106" s="525">
        <f t="shared" si="69"/>
        <v>0.23749755008140383</v>
      </c>
      <c r="CG106" s="527">
        <f t="shared" si="70"/>
        <v>1429.7196704937164</v>
      </c>
      <c r="CH106" s="528">
        <f t="shared" si="71"/>
        <v>553.41163542247955</v>
      </c>
      <c r="CI106" s="528">
        <f t="shared" si="72"/>
        <v>2289.3336468759517</v>
      </c>
      <c r="CJ106" s="528">
        <f t="shared" si="73"/>
        <v>3256.1894979738013</v>
      </c>
      <c r="CK106" s="528">
        <f t="shared" si="74"/>
        <v>44.090322942182866</v>
      </c>
      <c r="CL106" s="528">
        <f t="shared" si="75"/>
        <v>7572.744773708132</v>
      </c>
      <c r="CM106" s="646">
        <f t="shared" si="76"/>
        <v>0</v>
      </c>
    </row>
    <row r="107" spans="1:91" s="1" customFormat="1">
      <c r="A107" s="873">
        <f>'Input data'!A127</f>
        <v>2027</v>
      </c>
      <c r="B107" s="1551">
        <f>'Input data'!B127</f>
        <v>66.042835586617315</v>
      </c>
      <c r="C107" s="1550">
        <f>'Input data'!C127</f>
        <v>4908.8799999999992</v>
      </c>
      <c r="D107" s="1552">
        <f>'Input data'!D127</f>
        <v>35019614.880897872</v>
      </c>
      <c r="E107" s="1454">
        <f t="shared" si="29"/>
        <v>0.80122424242424228</v>
      </c>
      <c r="F107" s="1504">
        <f t="shared" si="30"/>
        <v>0.31313030303030298</v>
      </c>
      <c r="G107" s="1509">
        <f>B107*F107*'Input data'!$C$9</f>
        <v>632.95503192025558</v>
      </c>
      <c r="H107" s="1508">
        <f>'Input data'!I127</f>
        <v>424.26313389388866</v>
      </c>
      <c r="I107" s="1509">
        <f>'Input data'!K127</f>
        <v>28019.540397217097</v>
      </c>
      <c r="J107" s="1509">
        <f t="shared" si="77"/>
        <v>6538.5401545638715</v>
      </c>
      <c r="K107" s="1511">
        <f t="shared" si="78"/>
        <v>6482.657175593894</v>
      </c>
      <c r="L107" s="1504">
        <f>($L$110-$L$97)/($A$110-$A$97)*L106+L106</f>
        <v>0.57999999999999996</v>
      </c>
      <c r="M107" s="1504">
        <f>($M$110-$M$97)/($A$110-$A$97)*M106+M106</f>
        <v>0.437</v>
      </c>
      <c r="N107" s="1504">
        <f>($N$110-$N$97)/($A$110-$A$97)*N106+N106</f>
        <v>0.71200000000000008</v>
      </c>
      <c r="O107" s="1504">
        <f>($L$110-$L$97)/($A$110-$A$97)*O106+O106</f>
        <v>0.8</v>
      </c>
      <c r="P107" s="1504">
        <f t="shared" si="35"/>
        <v>0.23600000000000002</v>
      </c>
      <c r="Q107" s="1508">
        <f t="shared" si="36"/>
        <v>0</v>
      </c>
      <c r="R107" s="1509">
        <f t="shared" si="37"/>
        <v>0</v>
      </c>
      <c r="S107" s="1509">
        <f t="shared" si="38"/>
        <v>0</v>
      </c>
      <c r="T107" s="1509">
        <f t="shared" si="39"/>
        <v>0</v>
      </c>
      <c r="U107" s="1511">
        <f t="shared" si="40"/>
        <v>0</v>
      </c>
      <c r="V107" s="1509">
        <f t="shared" si="10"/>
        <v>0</v>
      </c>
      <c r="W107" s="1454">
        <f>$C$27</f>
        <v>0.5</v>
      </c>
      <c r="X107" s="530">
        <f t="shared" si="41"/>
        <v>3033.4854703020706</v>
      </c>
      <c r="Y107" s="528">
        <f t="shared" si="79"/>
        <v>3033.4854703020706</v>
      </c>
      <c r="Z107" s="528">
        <f t="shared" si="80"/>
        <v>9987.7118598556954</v>
      </c>
      <c r="AA107" s="530">
        <f t="shared" si="81"/>
        <v>3449.1717052918239</v>
      </c>
      <c r="AB107" s="1091">
        <f t="shared" si="42"/>
        <v>0.34534153104229204</v>
      </c>
      <c r="AC107" s="135" t="str">
        <f t="shared" si="43"/>
        <v>Yes</v>
      </c>
      <c r="AD107" s="1091">
        <f t="shared" si="44"/>
        <v>0.34534153104229204</v>
      </c>
      <c r="AE107" s="649">
        <f t="shared" si="11"/>
        <v>0.18325265493865428</v>
      </c>
      <c r="AF107" s="530">
        <f t="shared" si="45"/>
        <v>346.51578821523981</v>
      </c>
      <c r="AG107" s="527">
        <f t="shared" si="46"/>
        <v>6538.5401545638715</v>
      </c>
      <c r="AH107" s="528">
        <f t="shared" si="82"/>
        <v>7680.5640664147295</v>
      </c>
      <c r="AI107" s="528">
        <f t="shared" si="83"/>
        <v>6437.6604656145792</v>
      </c>
      <c r="AJ107" s="528">
        <f t="shared" si="12"/>
        <v>2228.1205426730035</v>
      </c>
      <c r="AK107" s="528">
        <f t="shared" si="47"/>
        <v>22884.885229266187</v>
      </c>
      <c r="AL107" s="716">
        <f t="shared" si="13"/>
        <v>0</v>
      </c>
      <c r="AM107" s="649">
        <f t="shared" si="48"/>
        <v>0.28571435203013829</v>
      </c>
      <c r="AN107" s="417">
        <f t="shared" si="49"/>
        <v>0.33561732949363843</v>
      </c>
      <c r="AO107" s="417">
        <f t="shared" si="50"/>
        <v>0.28130621592027122</v>
      </c>
      <c r="AP107" s="417">
        <f t="shared" si="51"/>
        <v>9.7362102555951902E-2</v>
      </c>
      <c r="AQ107" s="525">
        <f t="shared" si="52"/>
        <v>0.99999999999999978</v>
      </c>
      <c r="AR107" s="1086">
        <f t="shared" si="14"/>
        <v>1170.4640645326679</v>
      </c>
      <c r="AS107" s="938">
        <f t="shared" si="15"/>
        <v>1484.4650872124314</v>
      </c>
      <c r="AT107" s="938">
        <f t="shared" si="16"/>
        <v>502.92679160111942</v>
      </c>
      <c r="AU107" s="938">
        <f t="shared" si="17"/>
        <v>0</v>
      </c>
      <c r="AV107" s="938">
        <f t="shared" si="18"/>
        <v>0</v>
      </c>
      <c r="AW107" s="938">
        <f t="shared" si="19"/>
        <v>0</v>
      </c>
      <c r="AX107" s="938">
        <f t="shared" si="20"/>
        <v>2140.6263371351083</v>
      </c>
      <c r="AY107" s="938">
        <f t="shared" si="21"/>
        <v>309.48576212583049</v>
      </c>
      <c r="AZ107" s="938">
        <f t="shared" si="22"/>
        <v>449.83595769483367</v>
      </c>
      <c r="BA107" s="938">
        <f t="shared" si="23"/>
        <v>395.44151602123952</v>
      </c>
      <c r="BB107" s="938">
        <f t="shared" si="24"/>
        <v>85.294638240639358</v>
      </c>
      <c r="BC107" s="530">
        <f t="shared" si="53"/>
        <v>6538.5401545638688</v>
      </c>
      <c r="BD107" s="724">
        <f t="shared" si="54"/>
        <v>0</v>
      </c>
      <c r="BE107" s="436">
        <f t="shared" si="55"/>
        <v>0.17900999869453882</v>
      </c>
      <c r="BF107" s="624">
        <f t="shared" si="56"/>
        <v>0.2270331071036219</v>
      </c>
      <c r="BG107" s="624">
        <f t="shared" si="57"/>
        <v>7.6917290360307575E-2</v>
      </c>
      <c r="BH107" s="624">
        <f t="shared" si="58"/>
        <v>0</v>
      </c>
      <c r="BI107" s="624">
        <f t="shared" si="59"/>
        <v>0</v>
      </c>
      <c r="BJ107" s="624">
        <f t="shared" si="60"/>
        <v>0</v>
      </c>
      <c r="BK107" s="624">
        <f t="shared" si="61"/>
        <v>0.51703960384153191</v>
      </c>
      <c r="BL107" s="624">
        <f t="shared" si="62"/>
        <v>1.0000000000000002</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94.299124556981511</v>
      </c>
      <c r="BW107" s="114">
        <f t="shared" si="65"/>
        <v>0.50482906183889453</v>
      </c>
      <c r="BX107" s="1686">
        <f t="shared" si="25"/>
        <v>35.019614880897869</v>
      </c>
      <c r="BY107" s="527">
        <f t="shared" si="66"/>
        <v>94.299124556981511</v>
      </c>
      <c r="BZ107" s="417">
        <f t="shared" si="67"/>
        <v>0.50482906183889453</v>
      </c>
      <c r="CA107" s="544">
        <f t="shared" si="26"/>
        <v>35.019614880897869</v>
      </c>
      <c r="CB107" s="649">
        <f t="shared" si="27"/>
        <v>0.18325265493865428</v>
      </c>
      <c r="CC107" s="525">
        <f t="shared" si="68"/>
        <v>0.24090857049577374</v>
      </c>
      <c r="CD107" s="417">
        <f t="shared" si="28"/>
        <v>0.18325265493865428</v>
      </c>
      <c r="CE107" s="525">
        <f t="shared" si="69"/>
        <v>0.24090857049577374</v>
      </c>
      <c r="CG107" s="527">
        <f t="shared" si="70"/>
        <v>1450.075745899366</v>
      </c>
      <c r="CH107" s="528">
        <f t="shared" si="71"/>
        <v>561.29100451385784</v>
      </c>
      <c r="CI107" s="528">
        <f t="shared" si="72"/>
        <v>2321.9287417790001</v>
      </c>
      <c r="CJ107" s="528">
        <f t="shared" si="73"/>
        <v>3302.5505016892707</v>
      </c>
      <c r="CK107" s="528">
        <f t="shared" si="74"/>
        <v>44.718072533234221</v>
      </c>
      <c r="CL107" s="528">
        <f t="shared" si="75"/>
        <v>7680.5640664147286</v>
      </c>
      <c r="CM107" s="646">
        <f t="shared" si="76"/>
        <v>0</v>
      </c>
    </row>
    <row r="108" spans="1:91">
      <c r="A108" s="873">
        <f>'Input data'!A128</f>
        <v>2028</v>
      </c>
      <c r="B108" s="1551">
        <f>'Input data'!B128</f>
        <v>66.921626677758155</v>
      </c>
      <c r="C108" s="1550">
        <f>'Input data'!C128</f>
        <v>5001.3400000000011</v>
      </c>
      <c r="D108" s="1552">
        <f>'Input data'!D128</f>
        <v>32897025.730580334</v>
      </c>
      <c r="E108" s="1454">
        <f t="shared" si="29"/>
        <v>0.80986666666666651</v>
      </c>
      <c r="F108" s="1504">
        <f t="shared" si="30"/>
        <v>0.31548333333333328</v>
      </c>
      <c r="G108" s="1509">
        <f>B108*F108*'Input data'!$C$9</f>
        <v>646.19702848963664</v>
      </c>
      <c r="H108" s="1508">
        <f>'Input data'!I128</f>
        <v>424.26313389388866</v>
      </c>
      <c r="I108" s="1509">
        <f>'Input data'!K128</f>
        <v>28392.379059582541</v>
      </c>
      <c r="J108" s="1509">
        <f t="shared" si="77"/>
        <v>6199.0428971457768</v>
      </c>
      <c r="K108" s="1511">
        <f t="shared" si="78"/>
        <v>6995.4194375819661</v>
      </c>
      <c r="L108" s="1504">
        <f>($L$110-$L$97)/($A$110-$A$97)*L107+L107</f>
        <v>0.57999999999999996</v>
      </c>
      <c r="M108" s="1504">
        <f>($M$110-$M$97)/($A$110-$A$97)*M107+M107</f>
        <v>0.437</v>
      </c>
      <c r="N108" s="1504">
        <f>($N$110-$N$97)/($A$110-$A$97)*N107+N107</f>
        <v>0.71200000000000008</v>
      </c>
      <c r="O108" s="1504">
        <f>($L$110-$L$97)/($A$110-$A$97)*O107+O107</f>
        <v>0.8</v>
      </c>
      <c r="P108" s="1504">
        <f t="shared" si="35"/>
        <v>0.23600000000000002</v>
      </c>
      <c r="Q108" s="1508">
        <f t="shared" si="36"/>
        <v>0</v>
      </c>
      <c r="R108" s="1509">
        <f t="shared" si="37"/>
        <v>0</v>
      </c>
      <c r="S108" s="1509">
        <f t="shared" si="38"/>
        <v>0</v>
      </c>
      <c r="T108" s="1509">
        <f t="shared" si="39"/>
        <v>0</v>
      </c>
      <c r="U108" s="1511">
        <f t="shared" si="40"/>
        <v>0</v>
      </c>
      <c r="V108" s="1509">
        <f t="shared" si="10"/>
        <v>0</v>
      </c>
      <c r="W108" s="1454">
        <f>W107</f>
        <v>0.5</v>
      </c>
      <c r="X108" s="530">
        <f t="shared" si="41"/>
        <v>3033.4854703020706</v>
      </c>
      <c r="Y108" s="528">
        <f t="shared" si="79"/>
        <v>3033.4854703020706</v>
      </c>
      <c r="Z108" s="528">
        <f t="shared" si="80"/>
        <v>10160.976864425673</v>
      </c>
      <c r="AA108" s="530">
        <f t="shared" si="81"/>
        <v>3961.933967279896</v>
      </c>
      <c r="AB108" s="1091">
        <f t="shared" si="42"/>
        <v>0.38991664090397826</v>
      </c>
      <c r="AC108" s="135" t="str">
        <f t="shared" si="43"/>
        <v>Yes</v>
      </c>
      <c r="AD108" s="1091">
        <f t="shared" si="44"/>
        <v>0.38991664090397826</v>
      </c>
      <c r="AE108" s="649">
        <f t="shared" si="11"/>
        <v>0.20670588419197256</v>
      </c>
      <c r="AF108" s="530">
        <f t="shared" si="45"/>
        <v>336.56544767229519</v>
      </c>
      <c r="AG108" s="527">
        <f t="shared" si="46"/>
        <v>6199.0428971457768</v>
      </c>
      <c r="AH108" s="528">
        <f t="shared" si="82"/>
        <v>7782.7645733516165</v>
      </c>
      <c r="AI108" s="528">
        <f t="shared" si="83"/>
        <v>6437.6604656145792</v>
      </c>
      <c r="AJ108" s="528">
        <f t="shared" si="12"/>
        <v>2104.0393056459152</v>
      </c>
      <c r="AK108" s="528">
        <f t="shared" si="47"/>
        <v>22523.507241757885</v>
      </c>
      <c r="AL108" s="716">
        <f t="shared" si="13"/>
        <v>0</v>
      </c>
      <c r="AM108" s="649">
        <f t="shared" si="48"/>
        <v>0.27522547135345526</v>
      </c>
      <c r="AN108" s="417">
        <f t="shared" si="49"/>
        <v>0.34553963953369626</v>
      </c>
      <c r="AO108" s="417">
        <f t="shared" si="50"/>
        <v>0.28581962820068074</v>
      </c>
      <c r="AP108" s="417">
        <f t="shared" si="51"/>
        <v>9.3415260912167869E-2</v>
      </c>
      <c r="AQ108" s="525">
        <f t="shared" si="52"/>
        <v>1</v>
      </c>
      <c r="AR108" s="1086">
        <f t="shared" si="14"/>
        <v>1116.1390481396286</v>
      </c>
      <c r="AS108" s="938">
        <f t="shared" si="15"/>
        <v>1415.566269520059</v>
      </c>
      <c r="AT108" s="938">
        <f t="shared" si="16"/>
        <v>474.91942968295865</v>
      </c>
      <c r="AU108" s="938">
        <f t="shared" si="17"/>
        <v>0</v>
      </c>
      <c r="AV108" s="938">
        <f t="shared" si="18"/>
        <v>0</v>
      </c>
      <c r="AW108" s="938">
        <f t="shared" si="19"/>
        <v>0</v>
      </c>
      <c r="AX108" s="938">
        <f t="shared" si="20"/>
        <v>2021.417542620856</v>
      </c>
      <c r="AY108" s="938">
        <f t="shared" si="21"/>
        <v>292.25088839643371</v>
      </c>
      <c r="AZ108" s="938">
        <f t="shared" si="22"/>
        <v>424.78515769499211</v>
      </c>
      <c r="BA108" s="938">
        <f t="shared" si="23"/>
        <v>373.41987422042445</v>
      </c>
      <c r="BB108" s="938">
        <f t="shared" si="24"/>
        <v>80.544686870423135</v>
      </c>
      <c r="BC108" s="530">
        <f t="shared" si="53"/>
        <v>6199.0428971457759</v>
      </c>
      <c r="BD108" s="724">
        <f t="shared" si="54"/>
        <v>0</v>
      </c>
      <c r="BE108" s="436">
        <f t="shared" si="55"/>
        <v>0.18005022172915311</v>
      </c>
      <c r="BF108" s="624">
        <f t="shared" si="56"/>
        <v>0.2283523913299306</v>
      </c>
      <c r="BG108" s="624">
        <f t="shared" si="57"/>
        <v>7.6611734676271678E-2</v>
      </c>
      <c r="BH108" s="624">
        <f t="shared" si="58"/>
        <v>0</v>
      </c>
      <c r="BI108" s="624">
        <f t="shared" si="59"/>
        <v>0</v>
      </c>
      <c r="BJ108" s="624">
        <f t="shared" si="60"/>
        <v>0</v>
      </c>
      <c r="BK108" s="624">
        <f t="shared" si="61"/>
        <v>0.51498565226464454</v>
      </c>
      <c r="BL108" s="624">
        <f t="shared" si="62"/>
        <v>1</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92.479085672149751</v>
      </c>
      <c r="BW108" s="114">
        <f t="shared" si="65"/>
        <v>0.52130033021865774</v>
      </c>
      <c r="BX108" s="1686">
        <f t="shared" si="25"/>
        <v>32.897025730580332</v>
      </c>
      <c r="BY108" s="527">
        <f t="shared" si="66"/>
        <v>92.479085672149751</v>
      </c>
      <c r="BZ108" s="417">
        <f t="shared" si="67"/>
        <v>0.52130033021865774</v>
      </c>
      <c r="CA108" s="544">
        <f t="shared" si="26"/>
        <v>32.897025730580332</v>
      </c>
      <c r="CB108" s="649">
        <f t="shared" si="27"/>
        <v>0.20670588419197256</v>
      </c>
      <c r="CC108" s="525">
        <f t="shared" si="68"/>
        <v>0.24834211320139787</v>
      </c>
      <c r="CD108" s="417">
        <f t="shared" si="28"/>
        <v>0.20670588419197256</v>
      </c>
      <c r="CE108" s="525">
        <f t="shared" si="69"/>
        <v>0.24834211320139787</v>
      </c>
      <c r="CG108" s="527">
        <f t="shared" si="70"/>
        <v>1469.3710053420721</v>
      </c>
      <c r="CH108" s="528">
        <f t="shared" si="71"/>
        <v>568.75975611912997</v>
      </c>
      <c r="CI108" s="528">
        <f t="shared" si="72"/>
        <v>2352.8252088130826</v>
      </c>
      <c r="CJ108" s="528">
        <f t="shared" si="73"/>
        <v>3346.4954948614804</v>
      </c>
      <c r="CK108" s="528">
        <f t="shared" si="74"/>
        <v>45.313108215850484</v>
      </c>
      <c r="CL108" s="528">
        <f t="shared" si="75"/>
        <v>7782.7645733516156</v>
      </c>
      <c r="CM108" s="646">
        <f t="shared" si="76"/>
        <v>0</v>
      </c>
    </row>
    <row r="109" spans="1:91">
      <c r="A109" s="873">
        <f>'Input data'!A129</f>
        <v>2029</v>
      </c>
      <c r="B109" s="1551">
        <f>'Input data'!B129</f>
        <v>67.749778587208695</v>
      </c>
      <c r="C109" s="1550">
        <f>'Input data'!C129</f>
        <v>5124.16</v>
      </c>
      <c r="D109" s="1552">
        <f>'Input data'!D129</f>
        <v>31986451.408819646</v>
      </c>
      <c r="E109" s="1454">
        <f t="shared" si="29"/>
        <v>0.81850909090909074</v>
      </c>
      <c r="F109" s="1504">
        <f t="shared" si="30"/>
        <v>0.31783636363636358</v>
      </c>
      <c r="G109" s="1509">
        <f>B109*F109*'Input data'!$C$9</f>
        <v>659.07298478761447</v>
      </c>
      <c r="H109" s="1508">
        <f>'Input data'!I129</f>
        <v>424.26313389388866</v>
      </c>
      <c r="I109" s="1509">
        <f>'Input data'!K129</f>
        <v>28743.733384026233</v>
      </c>
      <c r="J109" s="1509">
        <f t="shared" si="77"/>
        <v>5877.1731812078651</v>
      </c>
      <c r="K109" s="1511">
        <f t="shared" si="78"/>
        <v>7480.5699899121828</v>
      </c>
      <c r="L109" s="1504">
        <f>($L$110-$L$97)/($A$110-$A$97)*L108+L108</f>
        <v>0.57999999999999996</v>
      </c>
      <c r="M109" s="1504">
        <f>($L$110-$L$97)/($A$110-$A$97)*M108+M108</f>
        <v>0.437</v>
      </c>
      <c r="N109" s="1504">
        <f>($N$110-$N$97)/($A$110-$A$97)*N108+N108</f>
        <v>0.71200000000000008</v>
      </c>
      <c r="O109" s="1504">
        <f>($L$110-$L$97)/($A$110-$A$97)*O108+O108</f>
        <v>0.8</v>
      </c>
      <c r="P109" s="1504">
        <f t="shared" si="35"/>
        <v>0.23600000000000002</v>
      </c>
      <c r="Q109" s="1508">
        <f t="shared" si="36"/>
        <v>0</v>
      </c>
      <c r="R109" s="1509">
        <f t="shared" si="37"/>
        <v>0</v>
      </c>
      <c r="S109" s="1509">
        <f t="shared" si="38"/>
        <v>0</v>
      </c>
      <c r="T109" s="1509">
        <f t="shared" si="39"/>
        <v>0</v>
      </c>
      <c r="U109" s="1511">
        <f t="shared" si="40"/>
        <v>0</v>
      </c>
      <c r="V109" s="1509">
        <f t="shared" si="10"/>
        <v>0</v>
      </c>
      <c r="W109" s="1454">
        <f t="shared" ref="W109:W130" si="86">W108</f>
        <v>0.5</v>
      </c>
      <c r="X109" s="530">
        <f t="shared" si="41"/>
        <v>3033.4854703020706</v>
      </c>
      <c r="Y109" s="528">
        <f t="shared" si="79"/>
        <v>3033.4854703020706</v>
      </c>
      <c r="Z109" s="528">
        <f t="shared" si="80"/>
        <v>10324.257700817978</v>
      </c>
      <c r="AA109" s="530">
        <f t="shared" si="81"/>
        <v>4447.0845196101127</v>
      </c>
      <c r="AB109" s="1091">
        <f t="shared" si="42"/>
        <v>0.43074133254711144</v>
      </c>
      <c r="AC109" s="135" t="str">
        <f t="shared" si="43"/>
        <v>Yes</v>
      </c>
      <c r="AD109" s="1091">
        <f t="shared" si="44"/>
        <v>0.43074133254711144</v>
      </c>
      <c r="AE109" s="649">
        <f t="shared" si="11"/>
        <v>0.22830313984315176</v>
      </c>
      <c r="AF109" s="530">
        <f t="shared" si="45"/>
        <v>327.40252830621836</v>
      </c>
      <c r="AG109" s="527">
        <f t="shared" si="46"/>
        <v>5877.1731812078651</v>
      </c>
      <c r="AH109" s="528">
        <f t="shared" si="82"/>
        <v>7879.0759103915934</v>
      </c>
      <c r="AI109" s="528">
        <f t="shared" si="83"/>
        <v>6437.6604656145792</v>
      </c>
      <c r="AJ109" s="528">
        <f t="shared" si="12"/>
        <v>1987.539244424584</v>
      </c>
      <c r="AK109" s="528">
        <f t="shared" si="47"/>
        <v>22181.44880163862</v>
      </c>
      <c r="AL109" s="716">
        <f t="shared" si="13"/>
        <v>0</v>
      </c>
      <c r="AM109" s="649">
        <f t="shared" si="48"/>
        <v>0.26495894085934091</v>
      </c>
      <c r="AN109" s="417">
        <f t="shared" si="49"/>
        <v>0.35521015695825686</v>
      </c>
      <c r="AO109" s="417">
        <f t="shared" si="50"/>
        <v>0.29022723101563169</v>
      </c>
      <c r="AP109" s="417">
        <f t="shared" si="51"/>
        <v>8.9603671166770565E-2</v>
      </c>
      <c r="AQ109" s="525">
        <f t="shared" si="52"/>
        <v>1</v>
      </c>
      <c r="AR109" s="1086">
        <f t="shared" si="14"/>
        <v>1063.7598149050184</v>
      </c>
      <c r="AS109" s="938">
        <f t="shared" si="15"/>
        <v>1349.1352312781614</v>
      </c>
      <c r="AT109" s="938">
        <f t="shared" si="16"/>
        <v>448.62327519344956</v>
      </c>
      <c r="AU109" s="938">
        <f t="shared" si="17"/>
        <v>0</v>
      </c>
      <c r="AV109" s="938">
        <f t="shared" si="18"/>
        <v>0</v>
      </c>
      <c r="AW109" s="938">
        <f t="shared" si="19"/>
        <v>0</v>
      </c>
      <c r="AX109" s="938">
        <f t="shared" si="20"/>
        <v>1909.4922250484697</v>
      </c>
      <c r="AY109" s="938">
        <f t="shared" si="21"/>
        <v>276.06903936974885</v>
      </c>
      <c r="AZ109" s="938">
        <f t="shared" si="22"/>
        <v>401.26492366486434</v>
      </c>
      <c r="BA109" s="938">
        <f t="shared" si="23"/>
        <v>352.74372140749671</v>
      </c>
      <c r="BB109" s="938">
        <f t="shared" si="24"/>
        <v>76.084950340654927</v>
      </c>
      <c r="BC109" s="530">
        <f t="shared" si="53"/>
        <v>5877.1731812078642</v>
      </c>
      <c r="BD109" s="724">
        <f t="shared" si="54"/>
        <v>0</v>
      </c>
      <c r="BE109" s="436">
        <f t="shared" si="55"/>
        <v>0.18099854846992899</v>
      </c>
      <c r="BF109" s="624">
        <f t="shared" si="56"/>
        <v>0.2295551261943399</v>
      </c>
      <c r="BG109" s="624">
        <f t="shared" si="57"/>
        <v>7.6333172659929935E-2</v>
      </c>
      <c r="BH109" s="624">
        <f t="shared" si="58"/>
        <v>0</v>
      </c>
      <c r="BI109" s="624">
        <f t="shared" si="59"/>
        <v>0</v>
      </c>
      <c r="BJ109" s="624">
        <f t="shared" si="60"/>
        <v>0</v>
      </c>
      <c r="BK109" s="624">
        <f t="shared" si="61"/>
        <v>0.51311315267580104</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91.144532772738543</v>
      </c>
      <c r="BW109" s="114">
        <f t="shared" si="65"/>
        <v>0.53951034440496126</v>
      </c>
      <c r="BX109" s="1686">
        <f t="shared" si="25"/>
        <v>31.986451408819647</v>
      </c>
      <c r="BY109" s="527">
        <f t="shared" si="66"/>
        <v>91.144532772738543</v>
      </c>
      <c r="BZ109" s="417">
        <f t="shared" si="67"/>
        <v>0.53951034440496126</v>
      </c>
      <c r="CA109" s="544">
        <f t="shared" si="26"/>
        <v>31.986451408819647</v>
      </c>
      <c r="CB109" s="649">
        <f t="shared" si="27"/>
        <v>0.22830313984315176</v>
      </c>
      <c r="CC109" s="525">
        <f t="shared" si="68"/>
        <v>0.26349389145448554</v>
      </c>
      <c r="CD109" s="417">
        <f t="shared" si="28"/>
        <v>0.22830313984315176</v>
      </c>
      <c r="CE109" s="525">
        <f t="shared" si="69"/>
        <v>0.26349389145448554</v>
      </c>
      <c r="CG109" s="527">
        <f t="shared" si="70"/>
        <v>1487.5544008178688</v>
      </c>
      <c r="CH109" s="528">
        <f t="shared" si="71"/>
        <v>575.79813072883178</v>
      </c>
      <c r="CI109" s="528">
        <f t="shared" si="72"/>
        <v>2381.9413075394978</v>
      </c>
      <c r="CJ109" s="528">
        <f t="shared" si="73"/>
        <v>3387.9082155561227</v>
      </c>
      <c r="CK109" s="528">
        <f t="shared" si="74"/>
        <v>45.873855749271804</v>
      </c>
      <c r="CL109" s="528">
        <f t="shared" si="75"/>
        <v>7879.0759103915925</v>
      </c>
      <c r="CM109" s="646">
        <f t="shared" si="76"/>
        <v>0</v>
      </c>
    </row>
    <row r="110" spans="1:91" s="1" customFormat="1">
      <c r="A110" s="873">
        <f>'Input data'!A130</f>
        <v>2030</v>
      </c>
      <c r="B110" s="1551">
        <f>'Input data'!B130</f>
        <v>68.525074762177482</v>
      </c>
      <c r="C110" s="1550">
        <f>'Input data'!C130</f>
        <v>5234.6499999999996</v>
      </c>
      <c r="D110" s="1552">
        <f>'Input data'!D130</f>
        <v>29783743.542171866</v>
      </c>
      <c r="E110" s="1454">
        <f t="shared" si="29"/>
        <v>0.82715151515151497</v>
      </c>
      <c r="F110" s="1504">
        <f t="shared" si="30"/>
        <v>0.32018939393939388</v>
      </c>
      <c r="G110" s="1509">
        <f>B110*F110*'Input data'!$C$9</f>
        <v>671.55023743895697</v>
      </c>
      <c r="H110" s="1508">
        <f>'Input data'!I130</f>
        <v>424.26313389388866</v>
      </c>
      <c r="I110" s="1509">
        <f>'Input data'!K130</f>
        <v>29072.662968914436</v>
      </c>
      <c r="J110" s="1509">
        <f>J97*(1-$C$4)</f>
        <v>5572.0157409803969</v>
      </c>
      <c r="K110" s="1511">
        <f t="shared" si="78"/>
        <v>7938.5870763664525</v>
      </c>
      <c r="L110" s="1504">
        <f>C18</f>
        <v>0.57999999999999996</v>
      </c>
      <c r="M110" s="1504">
        <f>D18</f>
        <v>0.437</v>
      </c>
      <c r="N110" s="1504">
        <f>E18</f>
        <v>0.71200000000000008</v>
      </c>
      <c r="O110" s="1504">
        <f>F18</f>
        <v>0.8</v>
      </c>
      <c r="P110" s="1504">
        <f>G18</f>
        <v>0.23600000000000002</v>
      </c>
      <c r="Q110" s="1508">
        <f t="shared" si="36"/>
        <v>0</v>
      </c>
      <c r="R110" s="1509">
        <f t="shared" si="37"/>
        <v>0</v>
      </c>
      <c r="S110" s="1509">
        <f t="shared" si="38"/>
        <v>0</v>
      </c>
      <c r="T110" s="1509">
        <f t="shared" si="39"/>
        <v>0</v>
      </c>
      <c r="U110" s="1511">
        <f t="shared" si="40"/>
        <v>0</v>
      </c>
      <c r="V110" s="1509">
        <f t="shared" si="10"/>
        <v>0</v>
      </c>
      <c r="W110" s="1454">
        <f t="shared" si="86"/>
        <v>0.5</v>
      </c>
      <c r="X110" s="530">
        <f t="shared" si="41"/>
        <v>3033.4854703020706</v>
      </c>
      <c r="Y110" s="528">
        <f t="shared" si="79"/>
        <v>3033.4854703020706</v>
      </c>
      <c r="Z110" s="528">
        <f t="shared" si="80"/>
        <v>10477.117347044779</v>
      </c>
      <c r="AA110" s="530">
        <f t="shared" si="81"/>
        <v>4905.1016060643824</v>
      </c>
      <c r="AB110" s="1091">
        <f t="shared" si="42"/>
        <v>0.46817282307599012</v>
      </c>
      <c r="AC110" s="135" t="str">
        <f t="shared" si="43"/>
        <v>Yes</v>
      </c>
      <c r="AD110" s="1091">
        <f t="shared" si="44"/>
        <v>0.46817282307599012</v>
      </c>
      <c r="AE110" s="649">
        <f t="shared" si="11"/>
        <v>0.24819358924646606</v>
      </c>
      <c r="AF110" s="530">
        <f t="shared" si="45"/>
        <v>318.96374390781045</v>
      </c>
      <c r="AG110" s="527">
        <f t="shared" si="46"/>
        <v>5572.0157409803969</v>
      </c>
      <c r="AH110" s="528">
        <f t="shared" si="82"/>
        <v>7969.2402997519548</v>
      </c>
      <c r="AI110" s="528">
        <f t="shared" si="83"/>
        <v>6437.6604656145792</v>
      </c>
      <c r="AJ110" s="528">
        <f t="shared" si="12"/>
        <v>1878.097891359813</v>
      </c>
      <c r="AK110" s="528">
        <f t="shared" si="47"/>
        <v>21857.014397706742</v>
      </c>
      <c r="AL110" s="716">
        <f t="shared" si="13"/>
        <v>0</v>
      </c>
      <c r="AM110" s="649">
        <f t="shared" si="48"/>
        <v>0.25493032303465096</v>
      </c>
      <c r="AN110" s="417">
        <f t="shared" si="49"/>
        <v>0.36460790823233818</v>
      </c>
      <c r="AO110" s="417">
        <f t="shared" si="50"/>
        <v>0.29453521640586122</v>
      </c>
      <c r="AP110" s="417">
        <f t="shared" si="51"/>
        <v>8.5926552327149713E-2</v>
      </c>
      <c r="AQ110" s="525">
        <f t="shared" si="52"/>
        <v>1</v>
      </c>
      <c r="AR110" s="1086">
        <f t="shared" si="14"/>
        <v>1013.324334478072</v>
      </c>
      <c r="AS110" s="938">
        <f t="shared" si="15"/>
        <v>1285.1693974526861</v>
      </c>
      <c r="AT110" s="938">
        <f t="shared" si="16"/>
        <v>423.92039780813548</v>
      </c>
      <c r="AU110" s="938">
        <f t="shared" si="17"/>
        <v>0</v>
      </c>
      <c r="AV110" s="938">
        <f t="shared" si="18"/>
        <v>0</v>
      </c>
      <c r="AW110" s="938">
        <f t="shared" si="19"/>
        <v>0</v>
      </c>
      <c r="AX110" s="938">
        <f t="shared" si="20"/>
        <v>1804.3484331147081</v>
      </c>
      <c r="AY110" s="938">
        <f t="shared" si="21"/>
        <v>260.86764433180389</v>
      </c>
      <c r="AZ110" s="938">
        <f t="shared" si="22"/>
        <v>379.16977444629953</v>
      </c>
      <c r="BA110" s="938">
        <f t="shared" si="23"/>
        <v>333.32033127105916</v>
      </c>
      <c r="BB110" s="938">
        <f t="shared" si="24"/>
        <v>71.895428077632687</v>
      </c>
      <c r="BC110" s="530">
        <f t="shared" si="53"/>
        <v>5572.0157409803969</v>
      </c>
      <c r="BD110" s="724">
        <f t="shared" si="54"/>
        <v>0</v>
      </c>
      <c r="BE110" s="436">
        <f t="shared" si="55"/>
        <v>0.18185956062998801</v>
      </c>
      <c r="BF110" s="624">
        <f t="shared" si="56"/>
        <v>0.23064712254860939</v>
      </c>
      <c r="BG110" s="624">
        <f t="shared" si="57"/>
        <v>7.6080258476360046E-2</v>
      </c>
      <c r="BH110" s="624">
        <f t="shared" si="58"/>
        <v>0</v>
      </c>
      <c r="BI110" s="624">
        <f t="shared" si="59"/>
        <v>0</v>
      </c>
      <c r="BJ110" s="624">
        <f t="shared" si="60"/>
        <v>0</v>
      </c>
      <c r="BK110" s="624">
        <f t="shared" si="61"/>
        <v>0.51141305834504258</v>
      </c>
      <c r="BL110" s="624">
        <f t="shared" si="62"/>
        <v>1</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89.626442887275189</v>
      </c>
      <c r="BW110" s="114">
        <f t="shared" si="65"/>
        <v>0.55602533546003752</v>
      </c>
      <c r="BX110" s="1686">
        <f t="shared" si="25"/>
        <v>29.783743542171866</v>
      </c>
      <c r="BY110" s="527">
        <f t="shared" si="66"/>
        <v>89.626442887275189</v>
      </c>
      <c r="BZ110" s="417">
        <f t="shared" si="67"/>
        <v>0.55602533546003752</v>
      </c>
      <c r="CA110" s="544">
        <f t="shared" si="26"/>
        <v>29.783743542171866</v>
      </c>
      <c r="CB110" s="649">
        <f t="shared" si="27"/>
        <v>0.24819358924646606</v>
      </c>
      <c r="CC110" s="525">
        <f t="shared" si="68"/>
        <v>0.26942727422419854</v>
      </c>
      <c r="CD110" s="417">
        <f t="shared" si="28"/>
        <v>0.24819358924646606</v>
      </c>
      <c r="CE110" s="525">
        <f t="shared" si="69"/>
        <v>0.26942727422419854</v>
      </c>
      <c r="CG110" s="527">
        <f t="shared" si="70"/>
        <v>1504.5772643764196</v>
      </c>
      <c r="CH110" s="528">
        <f t="shared" si="71"/>
        <v>582.38729009757583</v>
      </c>
      <c r="CI110" s="528">
        <f t="shared" si="72"/>
        <v>2409.1991085721374</v>
      </c>
      <c r="CJ110" s="528">
        <f t="shared" si="73"/>
        <v>3426.6778224159443</v>
      </c>
      <c r="CK110" s="528">
        <f t="shared" si="74"/>
        <v>46.398814289877208</v>
      </c>
      <c r="CL110" s="528">
        <f t="shared" si="75"/>
        <v>7969.2402997519539</v>
      </c>
      <c r="CM110" s="646">
        <f t="shared" si="76"/>
        <v>0</v>
      </c>
    </row>
    <row r="111" spans="1:91">
      <c r="A111" s="873">
        <f>'Input data'!A131</f>
        <v>2031</v>
      </c>
      <c r="B111" s="1551">
        <f>'Input data'!B131</f>
        <v>69.286388472916428</v>
      </c>
      <c r="C111" s="1550">
        <f>'Input data'!C131</f>
        <v>5365.4400000000005</v>
      </c>
      <c r="D111" s="1552">
        <f>'Input data'!D131</f>
        <v>28782558.928955987</v>
      </c>
      <c r="E111" s="1454">
        <f t="shared" si="29"/>
        <v>0.8357939393939392</v>
      </c>
      <c r="F111" s="1504">
        <f t="shared" si="30"/>
        <v>0.32254242424242419</v>
      </c>
      <c r="G111" s="1509">
        <f>B111*F111*'Input data'!$C$9</f>
        <v>684.00112676101799</v>
      </c>
      <c r="H111" s="1508">
        <f>'Input data'!I131</f>
        <v>424.26313389388866</v>
      </c>
      <c r="I111" s="1509">
        <f>'Input data'!K131</f>
        <v>29395.660309708928</v>
      </c>
      <c r="J111" s="1509">
        <f t="shared" ref="J111:J116" si="87">($J$117-$J$107)/($A$117-$A$107)+J110</f>
        <v>5308.2028273926371</v>
      </c>
      <c r="K111" s="1511">
        <f t="shared" si="78"/>
        <v>8352.5028129119728</v>
      </c>
      <c r="L111" s="1504">
        <f>L110</f>
        <v>0.57999999999999996</v>
      </c>
      <c r="M111" s="1504">
        <f t="shared" ref="M111:P111" si="88">M110</f>
        <v>0.437</v>
      </c>
      <c r="N111" s="1504">
        <f t="shared" si="88"/>
        <v>0.71200000000000008</v>
      </c>
      <c r="O111" s="1504">
        <f t="shared" si="88"/>
        <v>0.8</v>
      </c>
      <c r="P111" s="1504">
        <f t="shared" si="88"/>
        <v>0.23600000000000002</v>
      </c>
      <c r="Q111" s="1508">
        <f t="shared" si="36"/>
        <v>0</v>
      </c>
      <c r="R111" s="1509">
        <f t="shared" si="37"/>
        <v>0</v>
      </c>
      <c r="S111" s="1509">
        <f t="shared" si="38"/>
        <v>0</v>
      </c>
      <c r="T111" s="1509">
        <f t="shared" si="39"/>
        <v>0</v>
      </c>
      <c r="U111" s="1511">
        <f t="shared" si="40"/>
        <v>0</v>
      </c>
      <c r="V111" s="1509">
        <f t="shared" si="10"/>
        <v>0</v>
      </c>
      <c r="W111" s="1454">
        <f t="shared" si="86"/>
        <v>0.5</v>
      </c>
      <c r="X111" s="530">
        <f t="shared" si="41"/>
        <v>3033.4854703020706</v>
      </c>
      <c r="Y111" s="528">
        <f t="shared" si="79"/>
        <v>3033.4854703020706</v>
      </c>
      <c r="Z111" s="528">
        <f t="shared" si="80"/>
        <v>10627.22017000254</v>
      </c>
      <c r="AA111" s="530">
        <f t="shared" si="81"/>
        <v>5319.0173426099027</v>
      </c>
      <c r="AB111" s="1091">
        <f t="shared" si="42"/>
        <v>0.50050881204323738</v>
      </c>
      <c r="AC111" s="135" t="str">
        <f t="shared" si="43"/>
        <v>Yes</v>
      </c>
      <c r="AD111" s="1091">
        <f t="shared" si="44"/>
        <v>0.50050881204323738</v>
      </c>
      <c r="AE111" s="649">
        <f t="shared" si="11"/>
        <v>0.26563496051422275</v>
      </c>
      <c r="AF111" s="530">
        <f t="shared" si="45"/>
        <v>311.56401307434516</v>
      </c>
      <c r="AG111" s="527">
        <f t="shared" si="46"/>
        <v>5308.2028273926371</v>
      </c>
      <c r="AH111" s="528">
        <f t="shared" si="82"/>
        <v>8057.7785746160243</v>
      </c>
      <c r="AI111" s="528">
        <f t="shared" si="83"/>
        <v>6437.6604656145792</v>
      </c>
      <c r="AJ111" s="528">
        <f t="shared" si="12"/>
        <v>1783.5033764266473</v>
      </c>
      <c r="AK111" s="528">
        <f t="shared" si="47"/>
        <v>21587.145244049891</v>
      </c>
      <c r="AL111" s="716">
        <f t="shared" si="13"/>
        <v>0</v>
      </c>
      <c r="AM111" s="649">
        <f t="shared" si="48"/>
        <v>0.24589647067185727</v>
      </c>
      <c r="AN111" s="417">
        <f t="shared" si="49"/>
        <v>0.37326744613612151</v>
      </c>
      <c r="AO111" s="417">
        <f t="shared" si="50"/>
        <v>0.2982173137223415</v>
      </c>
      <c r="AP111" s="417">
        <f t="shared" si="51"/>
        <v>8.2618769469679554E-2</v>
      </c>
      <c r="AQ111" s="525">
        <f t="shared" si="52"/>
        <v>0.99999999999999978</v>
      </c>
      <c r="AR111" s="1086">
        <f t="shared" si="14"/>
        <v>969.70748886719593</v>
      </c>
      <c r="AS111" s="938">
        <f t="shared" si="15"/>
        <v>1229.8514372643631</v>
      </c>
      <c r="AT111" s="938">
        <f t="shared" si="16"/>
        <v>402.56871822560794</v>
      </c>
      <c r="AU111" s="938">
        <f t="shared" si="17"/>
        <v>0</v>
      </c>
      <c r="AV111" s="938">
        <f t="shared" si="18"/>
        <v>0</v>
      </c>
      <c r="AW111" s="938">
        <f t="shared" si="19"/>
        <v>0</v>
      </c>
      <c r="AX111" s="938">
        <f t="shared" si="20"/>
        <v>1713.4684712202168</v>
      </c>
      <c r="AY111" s="938">
        <f t="shared" si="21"/>
        <v>247.72847390258957</v>
      </c>
      <c r="AZ111" s="938">
        <f t="shared" si="22"/>
        <v>360.07205805139091</v>
      </c>
      <c r="BA111" s="938">
        <f t="shared" si="23"/>
        <v>316.53192253102327</v>
      </c>
      <c r="BB111" s="938">
        <f t="shared" si="24"/>
        <v>68.27425733024856</v>
      </c>
      <c r="BC111" s="530">
        <f t="shared" si="53"/>
        <v>5308.2028273926362</v>
      </c>
      <c r="BD111" s="724">
        <f t="shared" si="54"/>
        <v>0</v>
      </c>
      <c r="BE111" s="436">
        <f t="shared" si="55"/>
        <v>0.18268094125248632</v>
      </c>
      <c r="BF111" s="624">
        <f t="shared" si="56"/>
        <v>0.23168885539146969</v>
      </c>
      <c r="BG111" s="624">
        <f t="shared" si="57"/>
        <v>7.5838985682343971E-2</v>
      </c>
      <c r="BH111" s="624">
        <f t="shared" si="58"/>
        <v>0</v>
      </c>
      <c r="BI111" s="624">
        <f t="shared" si="59"/>
        <v>0</v>
      </c>
      <c r="BJ111" s="624">
        <f t="shared" si="60"/>
        <v>0</v>
      </c>
      <c r="BK111" s="624">
        <f t="shared" si="61"/>
        <v>0.50979121767369995</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88.627942335366967</v>
      </c>
      <c r="BW111" s="114">
        <f t="shared" si="65"/>
        <v>0.56752882019133377</v>
      </c>
      <c r="BX111" s="1686">
        <f t="shared" si="25"/>
        <v>28.782558928955986</v>
      </c>
      <c r="BY111" s="527">
        <f t="shared" si="66"/>
        <v>88.627942335366967</v>
      </c>
      <c r="BZ111" s="417">
        <f t="shared" si="67"/>
        <v>0.56752882019133377</v>
      </c>
      <c r="CA111" s="544">
        <f t="shared" si="26"/>
        <v>28.782558928955986</v>
      </c>
      <c r="CB111" s="649">
        <f t="shared" si="27"/>
        <v>0.26563496051422275</v>
      </c>
      <c r="CC111" s="525">
        <f t="shared" si="68"/>
        <v>0.28171404968398939</v>
      </c>
      <c r="CD111" s="417">
        <f t="shared" si="28"/>
        <v>0.26563496051422275</v>
      </c>
      <c r="CE111" s="525">
        <f t="shared" si="69"/>
        <v>0.28171404968398939</v>
      </c>
      <c r="CG111" s="527">
        <f t="shared" si="70"/>
        <v>1521.2931206408787</v>
      </c>
      <c r="CH111" s="528">
        <f t="shared" si="71"/>
        <v>588.85761399653074</v>
      </c>
      <c r="CI111" s="528">
        <f t="shared" si="72"/>
        <v>2435.9653152435144</v>
      </c>
      <c r="CJ111" s="528">
        <f t="shared" si="73"/>
        <v>3464.7482195303478</v>
      </c>
      <c r="CK111" s="528">
        <f t="shared" si="74"/>
        <v>46.914305204750477</v>
      </c>
      <c r="CL111" s="528">
        <f t="shared" si="75"/>
        <v>8057.7785746160216</v>
      </c>
      <c r="CM111" s="646">
        <f t="shared" si="76"/>
        <v>0</v>
      </c>
    </row>
    <row r="112" spans="1:91">
      <c r="A112" s="873">
        <f>'Input data'!A132</f>
        <v>2032</v>
      </c>
      <c r="B112" s="1551">
        <f>'Input data'!B132</f>
        <v>70.033051881823098</v>
      </c>
      <c r="C112" s="1550">
        <f>'Input data'!C132</f>
        <v>5502.3</v>
      </c>
      <c r="D112" s="1552">
        <f>'Input data'!D132</f>
        <v>27987384.812012181</v>
      </c>
      <c r="E112" s="1454">
        <f t="shared" si="29"/>
        <v>0.84443636363636343</v>
      </c>
      <c r="F112" s="1504">
        <f t="shared" si="30"/>
        <v>0.32489545454545449</v>
      </c>
      <c r="G112" s="1509">
        <f>B112*F112*'Input data'!$C$9</f>
        <v>696.41599068032178</v>
      </c>
      <c r="H112" s="1508">
        <f>'Input data'!I132</f>
        <v>424.26313389388866</v>
      </c>
      <c r="I112" s="1509">
        <f>'Input data'!K132</f>
        <v>29712.442067535565</v>
      </c>
      <c r="J112" s="1509">
        <f t="shared" si="87"/>
        <v>5044.3899138048773</v>
      </c>
      <c r="K112" s="1511">
        <f t="shared" si="78"/>
        <v>8763.5300533865702</v>
      </c>
      <c r="L112" s="1504">
        <f t="shared" ref="L112:L130" si="89">L111</f>
        <v>0.57999999999999996</v>
      </c>
      <c r="M112" s="1504">
        <f t="shared" ref="M112:M130" si="90">M111</f>
        <v>0.437</v>
      </c>
      <c r="N112" s="1504">
        <f t="shared" ref="N112:N130" si="91">N111</f>
        <v>0.71200000000000008</v>
      </c>
      <c r="O112" s="1504">
        <f t="shared" ref="O112:P130" si="92">O111</f>
        <v>0.8</v>
      </c>
      <c r="P112" s="1504">
        <f t="shared" si="92"/>
        <v>0.23600000000000002</v>
      </c>
      <c r="Q112" s="1508">
        <f t="shared" si="36"/>
        <v>0</v>
      </c>
      <c r="R112" s="1509">
        <f t="shared" si="37"/>
        <v>0</v>
      </c>
      <c r="S112" s="1509">
        <f t="shared" si="38"/>
        <v>0</v>
      </c>
      <c r="T112" s="1509">
        <f t="shared" si="39"/>
        <v>0</v>
      </c>
      <c r="U112" s="1511">
        <f t="shared" si="40"/>
        <v>0</v>
      </c>
      <c r="V112" s="1509">
        <f t="shared" si="10"/>
        <v>0</v>
      </c>
      <c r="W112" s="1454">
        <f t="shared" si="86"/>
        <v>0.5</v>
      </c>
      <c r="X112" s="530">
        <f t="shared" si="41"/>
        <v>3033.4854703020706</v>
      </c>
      <c r="Y112" s="528">
        <f t="shared" si="79"/>
        <v>3033.4854703020706</v>
      </c>
      <c r="Z112" s="528">
        <f t="shared" si="80"/>
        <v>10774.434496889378</v>
      </c>
      <c r="AA112" s="530">
        <f t="shared" si="81"/>
        <v>5730.044583084501</v>
      </c>
      <c r="AB112" s="1091">
        <f t="shared" si="42"/>
        <v>0.53181859193990988</v>
      </c>
      <c r="AC112" s="135" t="str">
        <f t="shared" si="43"/>
        <v>Yes</v>
      </c>
      <c r="AD112" s="1091">
        <f t="shared" si="44"/>
        <v>0.53181859193990988</v>
      </c>
      <c r="AE112" s="649">
        <f t="shared" si="11"/>
        <v>0.28257711248716522</v>
      </c>
      <c r="AF112" s="530">
        <f t="shared" si="45"/>
        <v>304.37608258339804</v>
      </c>
      <c r="AG112" s="527">
        <f t="shared" si="46"/>
        <v>5044.3899138048773</v>
      </c>
      <c r="AH112" s="528">
        <f t="shared" si="82"/>
        <v>8144.6130676721832</v>
      </c>
      <c r="AI112" s="528">
        <f t="shared" si="83"/>
        <v>6437.6604656145792</v>
      </c>
      <c r="AJ112" s="528">
        <f t="shared" si="12"/>
        <v>1689.7225360575478</v>
      </c>
      <c r="AK112" s="528">
        <f t="shared" si="47"/>
        <v>21316.385983149186</v>
      </c>
      <c r="AL112" s="716">
        <f t="shared" si="13"/>
        <v>0</v>
      </c>
      <c r="AM112" s="649">
        <f t="shared" si="48"/>
        <v>0.23664376868539147</v>
      </c>
      <c r="AN112" s="417">
        <f t="shared" si="49"/>
        <v>0.38208226638936732</v>
      </c>
      <c r="AO112" s="417">
        <f t="shared" si="50"/>
        <v>0.30200524942190543</v>
      </c>
      <c r="AP112" s="417">
        <f t="shared" si="51"/>
        <v>7.9268715503335793E-2</v>
      </c>
      <c r="AQ112" s="525">
        <f t="shared" si="52"/>
        <v>1</v>
      </c>
      <c r="AR112" s="1086">
        <f t="shared" si="14"/>
        <v>925.46539436775663</v>
      </c>
      <c r="AS112" s="938">
        <f t="shared" si="15"/>
        <v>1173.7404923326251</v>
      </c>
      <c r="AT112" s="938">
        <f t="shared" si="16"/>
        <v>381.40069959412688</v>
      </c>
      <c r="AU112" s="938">
        <f t="shared" si="17"/>
        <v>0</v>
      </c>
      <c r="AV112" s="938">
        <f t="shared" si="18"/>
        <v>0</v>
      </c>
      <c r="AW112" s="938">
        <f t="shared" si="19"/>
        <v>0</v>
      </c>
      <c r="AX112" s="938">
        <f t="shared" si="20"/>
        <v>1623.3702323825978</v>
      </c>
      <c r="AY112" s="938">
        <f t="shared" si="21"/>
        <v>234.70232280413393</v>
      </c>
      <c r="AZ112" s="938">
        <f t="shared" si="22"/>
        <v>341.13861467033803</v>
      </c>
      <c r="BA112" s="938">
        <f t="shared" si="23"/>
        <v>299.88792281060734</v>
      </c>
      <c r="BB112" s="938">
        <f t="shared" si="24"/>
        <v>64.684234842690785</v>
      </c>
      <c r="BC112" s="530">
        <f t="shared" si="53"/>
        <v>5044.3899138048755</v>
      </c>
      <c r="BD112" s="724">
        <f t="shared" si="54"/>
        <v>0</v>
      </c>
      <c r="BE112" s="436">
        <f t="shared" si="55"/>
        <v>0.18346428610426307</v>
      </c>
      <c r="BF112" s="624">
        <f t="shared" si="56"/>
        <v>0.23268234858698655</v>
      </c>
      <c r="BG112" s="624">
        <f t="shared" si="57"/>
        <v>7.5608885536456172E-2</v>
      </c>
      <c r="BH112" s="624">
        <f t="shared" si="58"/>
        <v>0</v>
      </c>
      <c r="BI112" s="624">
        <f t="shared" si="59"/>
        <v>0</v>
      </c>
      <c r="BJ112" s="624">
        <f t="shared" si="60"/>
        <v>0</v>
      </c>
      <c r="BK112" s="624">
        <f t="shared" si="61"/>
        <v>0.50824447977229448</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87.742890545128475</v>
      </c>
      <c r="BW112" s="114">
        <f t="shared" si="65"/>
        <v>0.57935960403172726</v>
      </c>
      <c r="BX112" s="1686">
        <f t="shared" si="25"/>
        <v>27.987384812012181</v>
      </c>
      <c r="BY112" s="527">
        <f t="shared" si="66"/>
        <v>87.742890545128475</v>
      </c>
      <c r="BZ112" s="417">
        <f t="shared" si="67"/>
        <v>0.57935960403172726</v>
      </c>
      <c r="CA112" s="544">
        <f t="shared" si="26"/>
        <v>27.987384812012181</v>
      </c>
      <c r="CB112" s="649">
        <f t="shared" si="27"/>
        <v>0.28257711248716522</v>
      </c>
      <c r="CC112" s="525">
        <f t="shared" si="68"/>
        <v>0.29472914697206964</v>
      </c>
      <c r="CD112" s="417">
        <f t="shared" si="28"/>
        <v>0.28257711248716522</v>
      </c>
      <c r="CE112" s="525">
        <f t="shared" si="69"/>
        <v>0.29472914697206964</v>
      </c>
      <c r="CG112" s="527">
        <f t="shared" si="70"/>
        <v>1537.6873061719659</v>
      </c>
      <c r="CH112" s="528">
        <f t="shared" si="71"/>
        <v>595.20342654525609</v>
      </c>
      <c r="CI112" s="528">
        <f t="shared" si="72"/>
        <v>2462.2164477725123</v>
      </c>
      <c r="CJ112" s="528">
        <f t="shared" si="73"/>
        <v>3502.0860108861366</v>
      </c>
      <c r="CK112" s="528">
        <f t="shared" si="74"/>
        <v>47.419876296312843</v>
      </c>
      <c r="CL112" s="528">
        <f t="shared" si="75"/>
        <v>8144.6130676721832</v>
      </c>
      <c r="CM112" s="646">
        <f t="shared" si="76"/>
        <v>0</v>
      </c>
    </row>
    <row r="113" spans="1:91">
      <c r="A113" s="873">
        <f>'Input data'!A133</f>
        <v>2033</v>
      </c>
      <c r="B113" s="1551">
        <f>'Input data'!B133</f>
        <v>70.764404167450692</v>
      </c>
      <c r="C113" s="1550">
        <f>'Input data'!C133</f>
        <v>5663.260000000002</v>
      </c>
      <c r="D113" s="1552">
        <f>'Input data'!D133</f>
        <v>28989172.151095852</v>
      </c>
      <c r="E113" s="1454">
        <f t="shared" si="29"/>
        <v>0.85307878787878766</v>
      </c>
      <c r="F113" s="1504">
        <f t="shared" si="30"/>
        <v>0.32724848484848479</v>
      </c>
      <c r="G113" s="1509">
        <f>B113*F113*'Input data'!$C$9</f>
        <v>708.78504500899339</v>
      </c>
      <c r="H113" s="1508">
        <f>'Input data'!I133</f>
        <v>424.26313389388866</v>
      </c>
      <c r="I113" s="1509">
        <f>'Input data'!K133</f>
        <v>30022.727880216386</v>
      </c>
      <c r="J113" s="1509">
        <f t="shared" si="87"/>
        <v>4780.5770002171175</v>
      </c>
      <c r="K113" s="1511">
        <f t="shared" si="78"/>
        <v>9171.5385083139954</v>
      </c>
      <c r="L113" s="1504">
        <f t="shared" si="89"/>
        <v>0.57999999999999996</v>
      </c>
      <c r="M113" s="1504">
        <f t="shared" si="90"/>
        <v>0.437</v>
      </c>
      <c r="N113" s="1504">
        <f t="shared" si="91"/>
        <v>0.71200000000000008</v>
      </c>
      <c r="O113" s="1504">
        <f t="shared" si="92"/>
        <v>0.8</v>
      </c>
      <c r="P113" s="1504">
        <f t="shared" si="92"/>
        <v>0.23600000000000002</v>
      </c>
      <c r="Q113" s="1508">
        <f t="shared" si="36"/>
        <v>0</v>
      </c>
      <c r="R113" s="1509">
        <f t="shared" si="37"/>
        <v>0</v>
      </c>
      <c r="S113" s="1509">
        <f t="shared" si="38"/>
        <v>0</v>
      </c>
      <c r="T113" s="1509">
        <f t="shared" si="39"/>
        <v>0</v>
      </c>
      <c r="U113" s="1511">
        <f t="shared" si="40"/>
        <v>0</v>
      </c>
      <c r="V113" s="1509">
        <f t="shared" si="10"/>
        <v>0</v>
      </c>
      <c r="W113" s="1454">
        <f t="shared" si="86"/>
        <v>0.5</v>
      </c>
      <c r="X113" s="530">
        <f t="shared" si="41"/>
        <v>3033.4854703020706</v>
      </c>
      <c r="Y113" s="528">
        <f t="shared" si="79"/>
        <v>3033.4854703020706</v>
      </c>
      <c r="Z113" s="528">
        <f t="shared" si="80"/>
        <v>10918.630038229043</v>
      </c>
      <c r="AA113" s="530">
        <f t="shared" si="81"/>
        <v>6138.0530380119253</v>
      </c>
      <c r="AB113" s="1091">
        <f t="shared" si="42"/>
        <v>0.56216329489331174</v>
      </c>
      <c r="AC113" s="135" t="str">
        <f t="shared" si="43"/>
        <v>Yes</v>
      </c>
      <c r="AD113" s="1091">
        <f t="shared" si="44"/>
        <v>0.56216329489331174</v>
      </c>
      <c r="AE113" s="649">
        <f t="shared" si="11"/>
        <v>0.29904399838876228</v>
      </c>
      <c r="AF113" s="530">
        <f t="shared" si="45"/>
        <v>297.38978996531335</v>
      </c>
      <c r="AG113" s="527">
        <f t="shared" si="46"/>
        <v>4780.5770002171175</v>
      </c>
      <c r="AH113" s="528">
        <f t="shared" si="82"/>
        <v>8229.6669275645927</v>
      </c>
      <c r="AI113" s="528">
        <f t="shared" si="83"/>
        <v>6437.6604656145792</v>
      </c>
      <c r="AJ113" s="528">
        <f t="shared" si="12"/>
        <v>1596.7068989824193</v>
      </c>
      <c r="AK113" s="528">
        <f t="shared" si="47"/>
        <v>21044.611292378708</v>
      </c>
      <c r="AL113" s="716">
        <f t="shared" si="13"/>
        <v>0</v>
      </c>
      <c r="AM113" s="649">
        <f t="shared" si="48"/>
        <v>0.22716394870873194</v>
      </c>
      <c r="AN113" s="417">
        <f t="shared" si="49"/>
        <v>0.39105815798769167</v>
      </c>
      <c r="AO113" s="417">
        <f t="shared" si="50"/>
        <v>0.3059054109469807</v>
      </c>
      <c r="AP113" s="417">
        <f t="shared" si="51"/>
        <v>7.5872482356595758E-2</v>
      </c>
      <c r="AQ113" s="525">
        <f t="shared" si="52"/>
        <v>1</v>
      </c>
      <c r="AR113" s="1086">
        <f t="shared" si="14"/>
        <v>880.63529757574315</v>
      </c>
      <c r="AS113" s="938">
        <f t="shared" si="15"/>
        <v>1116.8838014177536</v>
      </c>
      <c r="AT113" s="938">
        <f t="shared" si="16"/>
        <v>360.40540107818214</v>
      </c>
      <c r="AU113" s="938">
        <f t="shared" si="17"/>
        <v>0</v>
      </c>
      <c r="AV113" s="938">
        <f t="shared" si="18"/>
        <v>0</v>
      </c>
      <c r="AW113" s="938">
        <f t="shared" si="19"/>
        <v>0</v>
      </c>
      <c r="AX113" s="938">
        <f t="shared" si="20"/>
        <v>1534.0071487095963</v>
      </c>
      <c r="AY113" s="938">
        <f t="shared" si="21"/>
        <v>221.78245838096362</v>
      </c>
      <c r="AZ113" s="938">
        <f t="shared" si="22"/>
        <v>322.35965842316415</v>
      </c>
      <c r="BA113" s="938">
        <f t="shared" si="23"/>
        <v>283.37972954448185</v>
      </c>
      <c r="BB113" s="938">
        <f t="shared" si="24"/>
        <v>61.123505087231592</v>
      </c>
      <c r="BC113" s="530">
        <f t="shared" si="53"/>
        <v>4780.5770002171166</v>
      </c>
      <c r="BD113" s="724">
        <f t="shared" si="54"/>
        <v>0</v>
      </c>
      <c r="BE113" s="436">
        <f t="shared" si="55"/>
        <v>0.18421108948475212</v>
      </c>
      <c r="BF113" s="624">
        <f t="shared" si="56"/>
        <v>0.23362949731110466</v>
      </c>
      <c r="BG113" s="624">
        <f t="shared" si="57"/>
        <v>7.5389519102362287E-2</v>
      </c>
      <c r="BH113" s="624">
        <f t="shared" si="58"/>
        <v>0</v>
      </c>
      <c r="BI113" s="624">
        <f t="shared" si="59"/>
        <v>0</v>
      </c>
      <c r="BJ113" s="624">
        <f t="shared" si="60"/>
        <v>0</v>
      </c>
      <c r="BK113" s="624">
        <f t="shared" si="61"/>
        <v>0.50676989410178086</v>
      </c>
      <c r="BL113" s="624">
        <f t="shared" si="62"/>
        <v>1</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87.380329965766151</v>
      </c>
      <c r="BW113" s="114">
        <f t="shared" si="65"/>
        <v>0.59341057462291869</v>
      </c>
      <c r="BX113" s="1686">
        <f t="shared" si="25"/>
        <v>28.989172151095854</v>
      </c>
      <c r="BY113" s="527">
        <f t="shared" si="66"/>
        <v>87.380329965766151</v>
      </c>
      <c r="BZ113" s="417">
        <f t="shared" si="67"/>
        <v>0.59341057462291869</v>
      </c>
      <c r="CA113" s="544">
        <f t="shared" si="26"/>
        <v>28.989172151095854</v>
      </c>
      <c r="CB113" s="649">
        <f t="shared" si="27"/>
        <v>0.29904399838876228</v>
      </c>
      <c r="CC113" s="525">
        <f t="shared" si="68"/>
        <v>0.31700051021938846</v>
      </c>
      <c r="CD113" s="417">
        <f t="shared" si="28"/>
        <v>0.29904399838876228</v>
      </c>
      <c r="CE113" s="525">
        <f t="shared" si="69"/>
        <v>0.31700051021938846</v>
      </c>
      <c r="CG113" s="527">
        <f t="shared" si="70"/>
        <v>1553.7453115812846</v>
      </c>
      <c r="CH113" s="528">
        <f t="shared" si="71"/>
        <v>601.41911149286909</v>
      </c>
      <c r="CI113" s="528">
        <f t="shared" si="72"/>
        <v>2487.9292730514526</v>
      </c>
      <c r="CJ113" s="528">
        <f t="shared" si="73"/>
        <v>3538.6581513213118</v>
      </c>
      <c r="CK113" s="528">
        <f t="shared" si="74"/>
        <v>47.915080117674336</v>
      </c>
      <c r="CL113" s="528">
        <f t="shared" si="75"/>
        <v>8229.6669275645927</v>
      </c>
      <c r="CM113" s="646">
        <f t="shared" si="76"/>
        <v>0</v>
      </c>
    </row>
    <row r="114" spans="1:91">
      <c r="A114" s="873">
        <f>'Input data'!A134</f>
        <v>2034</v>
      </c>
      <c r="B114" s="1551">
        <f>'Input data'!B134</f>
        <v>71.479792486390252</v>
      </c>
      <c r="C114" s="1550">
        <f>'Input data'!C134</f>
        <v>5838.79</v>
      </c>
      <c r="D114" s="1552">
        <f>'Input data'!D134</f>
        <v>30478258.098855209</v>
      </c>
      <c r="E114" s="1454">
        <f t="shared" si="29"/>
        <v>0.86172121212121189</v>
      </c>
      <c r="F114" s="1504">
        <f t="shared" si="30"/>
        <v>0.32960151515151509</v>
      </c>
      <c r="G114" s="1509">
        <f>B114*F114*'Input data'!$C$9</f>
        <v>721.09839567486108</v>
      </c>
      <c r="H114" s="1508">
        <f>'Input data'!I134</f>
        <v>424.26313389388866</v>
      </c>
      <c r="I114" s="1509">
        <f>'Input data'!K134</f>
        <v>30326.240770360764</v>
      </c>
      <c r="J114" s="1509">
        <f t="shared" si="87"/>
        <v>4516.7640866293577</v>
      </c>
      <c r="K114" s="1511">
        <f t="shared" si="78"/>
        <v>9576.3994611911148</v>
      </c>
      <c r="L114" s="1504">
        <f t="shared" si="89"/>
        <v>0.57999999999999996</v>
      </c>
      <c r="M114" s="1504">
        <f t="shared" si="90"/>
        <v>0.437</v>
      </c>
      <c r="N114" s="1504">
        <f t="shared" si="91"/>
        <v>0.71200000000000008</v>
      </c>
      <c r="O114" s="1504">
        <f t="shared" si="92"/>
        <v>0.8</v>
      </c>
      <c r="P114" s="1504">
        <f t="shared" si="92"/>
        <v>0.23600000000000002</v>
      </c>
      <c r="Q114" s="1508">
        <f t="shared" si="36"/>
        <v>0</v>
      </c>
      <c r="R114" s="1509">
        <f t="shared" si="37"/>
        <v>0</v>
      </c>
      <c r="S114" s="1509">
        <f t="shared" si="38"/>
        <v>0</v>
      </c>
      <c r="T114" s="1509">
        <f t="shared" si="39"/>
        <v>0</v>
      </c>
      <c r="U114" s="1511">
        <f t="shared" si="40"/>
        <v>0</v>
      </c>
      <c r="V114" s="1509">
        <f t="shared" si="10"/>
        <v>0</v>
      </c>
      <c r="W114" s="1454">
        <f t="shared" si="86"/>
        <v>0.5</v>
      </c>
      <c r="X114" s="530">
        <f t="shared" si="41"/>
        <v>3033.4854703020706</v>
      </c>
      <c r="Y114" s="528">
        <f t="shared" si="79"/>
        <v>3033.4854703020706</v>
      </c>
      <c r="Z114" s="528">
        <f t="shared" si="80"/>
        <v>11059.678077518402</v>
      </c>
      <c r="AA114" s="530">
        <f t="shared" si="81"/>
        <v>6542.9139908890438</v>
      </c>
      <c r="AB114" s="1091">
        <f t="shared" si="42"/>
        <v>0.59160076315323995</v>
      </c>
      <c r="AC114" s="135" t="str">
        <f t="shared" si="43"/>
        <v>Yes</v>
      </c>
      <c r="AD114" s="1091">
        <f t="shared" si="44"/>
        <v>0.59160076315323995</v>
      </c>
      <c r="AE114" s="649">
        <f t="shared" si="11"/>
        <v>0.3150585480493896</v>
      </c>
      <c r="AF114" s="530">
        <f t="shared" si="45"/>
        <v>290.59540693839631</v>
      </c>
      <c r="AG114" s="527">
        <f t="shared" si="46"/>
        <v>4516.7640866293577</v>
      </c>
      <c r="AH114" s="528">
        <f t="shared" si="82"/>
        <v>8312.864230756908</v>
      </c>
      <c r="AI114" s="528">
        <f t="shared" si="83"/>
        <v>6437.6604656145792</v>
      </c>
      <c r="AJ114" s="528">
        <f t="shared" si="12"/>
        <v>1504.4106024538564</v>
      </c>
      <c r="AK114" s="528">
        <f t="shared" si="47"/>
        <v>20771.6993854547</v>
      </c>
      <c r="AL114" s="716">
        <f t="shared" si="13"/>
        <v>0</v>
      </c>
      <c r="AM114" s="649">
        <f t="shared" si="48"/>
        <v>0.2174479806785671</v>
      </c>
      <c r="AN114" s="417">
        <f t="shared" si="49"/>
        <v>0.40020145085374953</v>
      </c>
      <c r="AO114" s="417">
        <f t="shared" si="50"/>
        <v>0.30992459240588305</v>
      </c>
      <c r="AP114" s="417">
        <f t="shared" si="51"/>
        <v>7.2425976061800415E-2</v>
      </c>
      <c r="AQ114" s="525">
        <f t="shared" si="52"/>
        <v>1.0000000000000002</v>
      </c>
      <c r="AR114" s="1086">
        <f t="shared" si="14"/>
        <v>835.25244062985303</v>
      </c>
      <c r="AS114" s="938">
        <f t="shared" si="15"/>
        <v>1059.3260610859065</v>
      </c>
      <c r="AT114" s="938">
        <f t="shared" si="16"/>
        <v>339.57247063264657</v>
      </c>
      <c r="AU114" s="938">
        <f t="shared" si="17"/>
        <v>0</v>
      </c>
      <c r="AV114" s="938">
        <f t="shared" si="18"/>
        <v>0</v>
      </c>
      <c r="AW114" s="938">
        <f t="shared" si="19"/>
        <v>0</v>
      </c>
      <c r="AX114" s="938">
        <f t="shared" si="20"/>
        <v>1445.3351583997487</v>
      </c>
      <c r="AY114" s="938">
        <f t="shared" si="21"/>
        <v>208.9625103011949</v>
      </c>
      <c r="AZ114" s="938">
        <f t="shared" si="22"/>
        <v>303.72593006535982</v>
      </c>
      <c r="BA114" s="938">
        <f t="shared" si="23"/>
        <v>266.99920312169888</v>
      </c>
      <c r="BB114" s="938">
        <f t="shared" si="24"/>
        <v>57.590312392948391</v>
      </c>
      <c r="BC114" s="530">
        <f t="shared" si="53"/>
        <v>4516.7640866293568</v>
      </c>
      <c r="BD114" s="724">
        <f t="shared" si="54"/>
        <v>0</v>
      </c>
      <c r="BE114" s="436">
        <f t="shared" si="55"/>
        <v>0.18492275102487402</v>
      </c>
      <c r="BF114" s="624">
        <f t="shared" si="56"/>
        <v>0.23453207667448278</v>
      </c>
      <c r="BG114" s="624">
        <f t="shared" si="57"/>
        <v>7.5180475251709039E-2</v>
      </c>
      <c r="BH114" s="624">
        <f t="shared" si="58"/>
        <v>0</v>
      </c>
      <c r="BI114" s="624">
        <f t="shared" si="59"/>
        <v>0</v>
      </c>
      <c r="BJ114" s="624">
        <f t="shared" si="60"/>
        <v>0</v>
      </c>
      <c r="BK114" s="624">
        <f t="shared" si="61"/>
        <v>0.50536469704893416</v>
      </c>
      <c r="BL114" s="624">
        <f t="shared" si="62"/>
        <v>1</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87.227920233842113</v>
      </c>
      <c r="BW114" s="114">
        <f t="shared" si="65"/>
        <v>0.60807557966603765</v>
      </c>
      <c r="BX114" s="1686">
        <f t="shared" si="25"/>
        <v>30.478258098855207</v>
      </c>
      <c r="BY114" s="527">
        <f t="shared" si="66"/>
        <v>87.227920233842113</v>
      </c>
      <c r="BZ114" s="417">
        <f t="shared" si="67"/>
        <v>0.60807557966603765</v>
      </c>
      <c r="CA114" s="544">
        <f t="shared" si="26"/>
        <v>30.478258098855207</v>
      </c>
      <c r="CB114" s="649">
        <f t="shared" si="27"/>
        <v>0.3150585480493896</v>
      </c>
      <c r="CC114" s="525">
        <f t="shared" si="68"/>
        <v>0.34022123371815327</v>
      </c>
      <c r="CD114" s="417">
        <f t="shared" si="28"/>
        <v>0.3150585480493896</v>
      </c>
      <c r="CE114" s="525">
        <f t="shared" si="69"/>
        <v>0.34022123371815327</v>
      </c>
      <c r="CG114" s="527">
        <f t="shared" si="70"/>
        <v>1569.4528026509772</v>
      </c>
      <c r="CH114" s="528">
        <f t="shared" si="71"/>
        <v>607.49912039297806</v>
      </c>
      <c r="CI114" s="528">
        <f t="shared" si="72"/>
        <v>2513.0808384638758</v>
      </c>
      <c r="CJ114" s="528">
        <f t="shared" si="73"/>
        <v>3574.4319946251453</v>
      </c>
      <c r="CK114" s="528">
        <f t="shared" si="74"/>
        <v>48.399474623930963</v>
      </c>
      <c r="CL114" s="528">
        <f t="shared" si="75"/>
        <v>8312.864230756908</v>
      </c>
      <c r="CM114" s="646">
        <f t="shared" si="76"/>
        <v>0</v>
      </c>
    </row>
    <row r="115" spans="1:91">
      <c r="A115" s="873">
        <f>'Input data'!A135</f>
        <v>2035</v>
      </c>
      <c r="B115" s="1551">
        <f>'Input data'!B135</f>
        <v>72.178572932855872</v>
      </c>
      <c r="C115" s="1550">
        <f>'Input data'!C135</f>
        <v>5978.8699999999981</v>
      </c>
      <c r="D115" s="1552">
        <f>'Input data'!D135</f>
        <v>23293526.984521989</v>
      </c>
      <c r="E115" s="1454">
        <f t="shared" si="29"/>
        <v>0.87036363636363612</v>
      </c>
      <c r="F115" s="1504">
        <f t="shared" si="30"/>
        <v>0.33195454545454539</v>
      </c>
      <c r="G115" s="1509">
        <f>B115*F115*'Input data'!$C$9</f>
        <v>733.34605134386652</v>
      </c>
      <c r="H115" s="1508">
        <f>'Input data'!I135</f>
        <v>424.26313389388866</v>
      </c>
      <c r="I115" s="1509">
        <f>'Input data'!K135</f>
        <v>30622.707552482039</v>
      </c>
      <c r="J115" s="1509">
        <f t="shared" si="87"/>
        <v>4252.9511730415979</v>
      </c>
      <c r="K115" s="1511">
        <f t="shared" si="78"/>
        <v>9977.9859576825183</v>
      </c>
      <c r="L115" s="1504">
        <f t="shared" si="89"/>
        <v>0.57999999999999996</v>
      </c>
      <c r="M115" s="1504">
        <f t="shared" si="90"/>
        <v>0.437</v>
      </c>
      <c r="N115" s="1504">
        <f t="shared" si="91"/>
        <v>0.71200000000000008</v>
      </c>
      <c r="O115" s="1504">
        <f t="shared" si="92"/>
        <v>0.8</v>
      </c>
      <c r="P115" s="1504">
        <f t="shared" si="92"/>
        <v>0.23600000000000002</v>
      </c>
      <c r="Q115" s="1508">
        <f t="shared" si="36"/>
        <v>0</v>
      </c>
      <c r="R115" s="1509">
        <f t="shared" si="37"/>
        <v>0</v>
      </c>
      <c r="S115" s="1509">
        <f t="shared" si="38"/>
        <v>0</v>
      </c>
      <c r="T115" s="1509">
        <f t="shared" si="39"/>
        <v>0</v>
      </c>
      <c r="U115" s="1511">
        <f t="shared" si="40"/>
        <v>0</v>
      </c>
      <c r="V115" s="1509">
        <f t="shared" si="10"/>
        <v>0</v>
      </c>
      <c r="W115" s="1454">
        <f t="shared" si="86"/>
        <v>0.5</v>
      </c>
      <c r="X115" s="530">
        <f t="shared" si="41"/>
        <v>3033.4854703020706</v>
      </c>
      <c r="Y115" s="528">
        <f t="shared" si="79"/>
        <v>3033.4854703020706</v>
      </c>
      <c r="Z115" s="528">
        <f t="shared" si="80"/>
        <v>11197.451660422046</v>
      </c>
      <c r="AA115" s="530">
        <f t="shared" si="81"/>
        <v>6944.5004873804482</v>
      </c>
      <c r="AB115" s="1091">
        <f t="shared" si="42"/>
        <v>0.62018579744587177</v>
      </c>
      <c r="AC115" s="135" t="str">
        <f t="shared" si="43"/>
        <v>Yes</v>
      </c>
      <c r="AD115" s="1091">
        <f t="shared" si="44"/>
        <v>0.62018579744587177</v>
      </c>
      <c r="AE115" s="649">
        <f t="shared" si="11"/>
        <v>0.3306427300073066</v>
      </c>
      <c r="AF115" s="530">
        <f t="shared" si="45"/>
        <v>283.98361306175786</v>
      </c>
      <c r="AG115" s="527">
        <f t="shared" si="46"/>
        <v>4252.9511730415979</v>
      </c>
      <c r="AH115" s="528">
        <f t="shared" si="82"/>
        <v>8394.1300931288843</v>
      </c>
      <c r="AI115" s="528">
        <f t="shared" si="83"/>
        <v>6437.6604656145792</v>
      </c>
      <c r="AJ115" s="528">
        <f t="shared" si="12"/>
        <v>1412.7901953289481</v>
      </c>
      <c r="AK115" s="528">
        <f t="shared" si="47"/>
        <v>20497.531927114011</v>
      </c>
      <c r="AL115" s="716">
        <f t="shared" si="13"/>
        <v>0</v>
      </c>
      <c r="AM115" s="649">
        <f t="shared" si="48"/>
        <v>0.20748601286069079</v>
      </c>
      <c r="AN115" s="417">
        <f t="shared" si="49"/>
        <v>0.40951906419646456</v>
      </c>
      <c r="AO115" s="417">
        <f t="shared" si="50"/>
        <v>0.31407002991901095</v>
      </c>
      <c r="AP115" s="417">
        <f t="shared" si="51"/>
        <v>6.8924893023833658E-2</v>
      </c>
      <c r="AQ115" s="525">
        <f t="shared" si="52"/>
        <v>0.99999999999999989</v>
      </c>
      <c r="AR115" s="1086">
        <f t="shared" si="14"/>
        <v>789.35021252860292</v>
      </c>
      <c r="AS115" s="938">
        <f t="shared" si="15"/>
        <v>1001.1096176201486</v>
      </c>
      <c r="AT115" s="938">
        <f t="shared" si="16"/>
        <v>318.89210055480521</v>
      </c>
      <c r="AU115" s="938">
        <f t="shared" si="17"/>
        <v>0</v>
      </c>
      <c r="AV115" s="938">
        <f t="shared" si="18"/>
        <v>0</v>
      </c>
      <c r="AW115" s="938">
        <f t="shared" si="19"/>
        <v>0</v>
      </c>
      <c r="AX115" s="938">
        <f t="shared" si="20"/>
        <v>1357.312516556801</v>
      </c>
      <c r="AY115" s="938">
        <f t="shared" si="21"/>
        <v>196.23644320461213</v>
      </c>
      <c r="AZ115" s="938">
        <f t="shared" si="22"/>
        <v>285.22865723200567</v>
      </c>
      <c r="BA115" s="938">
        <f t="shared" si="23"/>
        <v>250.73863193712</v>
      </c>
      <c r="BB115" s="938">
        <f t="shared" si="24"/>
        <v>54.08299340750245</v>
      </c>
      <c r="BC115" s="530">
        <f t="shared" si="53"/>
        <v>4252.9511730415979</v>
      </c>
      <c r="BD115" s="724">
        <f t="shared" si="54"/>
        <v>0</v>
      </c>
      <c r="BE115" s="436">
        <f t="shared" si="55"/>
        <v>0.18560058190465437</v>
      </c>
      <c r="BF115" s="624">
        <f t="shared" si="56"/>
        <v>0.23539174960811543</v>
      </c>
      <c r="BG115" s="624">
        <f t="shared" si="57"/>
        <v>7.4981368837757439E-2</v>
      </c>
      <c r="BH115" s="624">
        <f t="shared" si="58"/>
        <v>0</v>
      </c>
      <c r="BI115" s="624">
        <f t="shared" si="59"/>
        <v>0</v>
      </c>
      <c r="BJ115" s="624">
        <f t="shared" si="60"/>
        <v>0</v>
      </c>
      <c r="BK115" s="624">
        <f t="shared" si="61"/>
        <v>0.50402629964947276</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85.195469307760874</v>
      </c>
      <c r="BW115" s="114">
        <f t="shared" si="65"/>
        <v>0.61402483557777365</v>
      </c>
      <c r="BX115" s="1686">
        <f t="shared" si="25"/>
        <v>23.293526984521989</v>
      </c>
      <c r="BY115" s="527">
        <f t="shared" si="66"/>
        <v>85.195469307760874</v>
      </c>
      <c r="BZ115" s="417">
        <f t="shared" si="67"/>
        <v>0.61402483557777365</v>
      </c>
      <c r="CA115" s="544">
        <f t="shared" si="26"/>
        <v>23.293526984521989</v>
      </c>
      <c r="CB115" s="649">
        <f t="shared" si="27"/>
        <v>0.3306427300073066</v>
      </c>
      <c r="CC115" s="525">
        <f t="shared" si="68"/>
        <v>0.3205824091328664</v>
      </c>
      <c r="CD115" s="417">
        <f t="shared" si="28"/>
        <v>0.3306427300073066</v>
      </c>
      <c r="CE115" s="525">
        <f t="shared" si="69"/>
        <v>0.3205824091328664</v>
      </c>
      <c r="CG115" s="527">
        <f t="shared" si="70"/>
        <v>1584.7956414029502</v>
      </c>
      <c r="CH115" s="528">
        <f t="shared" si="71"/>
        <v>613.4379807590949</v>
      </c>
      <c r="CI115" s="528">
        <f t="shared" si="72"/>
        <v>2537.6485056215602</v>
      </c>
      <c r="CJ115" s="528">
        <f t="shared" si="73"/>
        <v>3609.3753415233718</v>
      </c>
      <c r="CK115" s="528">
        <f t="shared" si="74"/>
        <v>48.872623821906771</v>
      </c>
      <c r="CL115" s="528">
        <f t="shared" si="75"/>
        <v>8394.1300931288824</v>
      </c>
      <c r="CM115" s="646">
        <f t="shared" si="76"/>
        <v>0</v>
      </c>
    </row>
    <row r="116" spans="1:91">
      <c r="A116" s="873">
        <f>'Input data'!A136</f>
        <v>2036</v>
      </c>
      <c r="B116" s="1551">
        <f>'Input data'!B136</f>
        <v>72.865243718484663</v>
      </c>
      <c r="C116" s="1550">
        <f>'Input data'!C136</f>
        <v>6119.1299999999983</v>
      </c>
      <c r="D116" s="1552">
        <f>'Input data'!D136</f>
        <v>16814169.506355952</v>
      </c>
      <c r="E116" s="1454">
        <f t="shared" si="29"/>
        <v>0.87900606060606035</v>
      </c>
      <c r="F116" s="1504">
        <f t="shared" si="30"/>
        <v>0.33430757575757569</v>
      </c>
      <c r="G116" s="1509">
        <f>B116*F116*'Input data'!$C$9</f>
        <v>745.57045026949004</v>
      </c>
      <c r="H116" s="1508">
        <f>'Input data'!I136</f>
        <v>424.26313389388866</v>
      </c>
      <c r="I116" s="1509">
        <f>'Input data'!K136</f>
        <v>30914.036651946288</v>
      </c>
      <c r="J116" s="1509">
        <f t="shared" si="87"/>
        <v>3989.1382594538386</v>
      </c>
      <c r="K116" s="1511">
        <f t="shared" si="78"/>
        <v>10377.184878262666</v>
      </c>
      <c r="L116" s="1504">
        <f t="shared" si="89"/>
        <v>0.57999999999999996</v>
      </c>
      <c r="M116" s="1504">
        <f t="shared" si="90"/>
        <v>0.437</v>
      </c>
      <c r="N116" s="1504">
        <f t="shared" si="91"/>
        <v>0.71200000000000008</v>
      </c>
      <c r="O116" s="1504">
        <f t="shared" si="92"/>
        <v>0.8</v>
      </c>
      <c r="P116" s="1504">
        <f t="shared" si="92"/>
        <v>0.23600000000000002</v>
      </c>
      <c r="Q116" s="1508">
        <f t="shared" si="36"/>
        <v>0</v>
      </c>
      <c r="R116" s="1509">
        <f t="shared" si="37"/>
        <v>0</v>
      </c>
      <c r="S116" s="1509">
        <f t="shared" si="38"/>
        <v>0</v>
      </c>
      <c r="T116" s="1509">
        <f t="shared" si="39"/>
        <v>0</v>
      </c>
      <c r="U116" s="1511">
        <f t="shared" si="40"/>
        <v>0</v>
      </c>
      <c r="V116" s="1509">
        <f t="shared" si="10"/>
        <v>0</v>
      </c>
      <c r="W116" s="1454">
        <f t="shared" si="86"/>
        <v>0.5</v>
      </c>
      <c r="X116" s="530">
        <f t="shared" si="41"/>
        <v>3033.4854703020706</v>
      </c>
      <c r="Y116" s="528">
        <f t="shared" si="79"/>
        <v>3033.4854703020706</v>
      </c>
      <c r="Z116" s="528">
        <f t="shared" si="80"/>
        <v>11332.837667414435</v>
      </c>
      <c r="AA116" s="530">
        <f t="shared" si="81"/>
        <v>7343.6994079605956</v>
      </c>
      <c r="AB116" s="1091">
        <f t="shared" si="42"/>
        <v>0.64800181768032394</v>
      </c>
      <c r="AC116" s="135" t="str">
        <f t="shared" si="43"/>
        <v>Yes</v>
      </c>
      <c r="AD116" s="1091">
        <f t="shared" si="44"/>
        <v>0.64800181768032394</v>
      </c>
      <c r="AE116" s="649">
        <f t="shared" si="11"/>
        <v>0.34584518582565693</v>
      </c>
      <c r="AF116" s="530">
        <f t="shared" si="45"/>
        <v>277.53377151338117</v>
      </c>
      <c r="AG116" s="527">
        <f t="shared" si="46"/>
        <v>3989.1382594538386</v>
      </c>
      <c r="AH116" s="528">
        <f t="shared" si="82"/>
        <v>8473.9876418654203</v>
      </c>
      <c r="AI116" s="528">
        <f t="shared" si="83"/>
        <v>6437.6604656145792</v>
      </c>
      <c r="AJ116" s="528">
        <f t="shared" si="12"/>
        <v>1321.7795344989149</v>
      </c>
      <c r="AK116" s="528">
        <f t="shared" si="47"/>
        <v>20222.565901432754</v>
      </c>
      <c r="AL116" s="716">
        <f t="shared" si="13"/>
        <v>0</v>
      </c>
      <c r="AM116" s="649">
        <f t="shared" si="48"/>
        <v>0.19726172627634811</v>
      </c>
      <c r="AN116" s="417">
        <f t="shared" si="49"/>
        <v>0.41903622335408214</v>
      </c>
      <c r="AO116" s="417">
        <f t="shared" si="50"/>
        <v>0.3183404369649489</v>
      </c>
      <c r="AP116" s="417">
        <f t="shared" si="51"/>
        <v>6.5361613404620822E-2</v>
      </c>
      <c r="AQ116" s="525">
        <f t="shared" si="52"/>
        <v>1</v>
      </c>
      <c r="AR116" s="1086">
        <f t="shared" si="14"/>
        <v>742.97943937259345</v>
      </c>
      <c r="AS116" s="938">
        <f t="shared" si="15"/>
        <v>942.29893226636318</v>
      </c>
      <c r="AT116" s="938">
        <f t="shared" si="16"/>
        <v>298.34936115802401</v>
      </c>
      <c r="AU116" s="938">
        <f t="shared" si="17"/>
        <v>0</v>
      </c>
      <c r="AV116" s="938">
        <f t="shared" si="18"/>
        <v>0</v>
      </c>
      <c r="AW116" s="938">
        <f t="shared" si="19"/>
        <v>0</v>
      </c>
      <c r="AX116" s="938">
        <f t="shared" si="20"/>
        <v>1269.8756773904961</v>
      </c>
      <c r="AY116" s="938">
        <f t="shared" si="21"/>
        <v>183.59506981878633</v>
      </c>
      <c r="AZ116" s="938">
        <f t="shared" si="22"/>
        <v>266.85448627005064</v>
      </c>
      <c r="BA116" s="938">
        <f t="shared" si="23"/>
        <v>234.58627706966391</v>
      </c>
      <c r="BB116" s="938">
        <f t="shared" si="24"/>
        <v>50.599016107860251</v>
      </c>
      <c r="BC116" s="530">
        <f t="shared" si="53"/>
        <v>3989.1382594538381</v>
      </c>
      <c r="BD116" s="724">
        <f t="shared" si="54"/>
        <v>0</v>
      </c>
      <c r="BE116" s="436">
        <f t="shared" si="55"/>
        <v>0.18625061129726711</v>
      </c>
      <c r="BF116" s="624">
        <f t="shared" si="56"/>
        <v>0.23621616273469936</v>
      </c>
      <c r="BG116" s="624">
        <f t="shared" si="57"/>
        <v>7.4790428847876456E-2</v>
      </c>
      <c r="BH116" s="624">
        <f t="shared" si="58"/>
        <v>0</v>
      </c>
      <c r="BI116" s="624">
        <f t="shared" si="59"/>
        <v>0</v>
      </c>
      <c r="BJ116" s="624">
        <f t="shared" si="60"/>
        <v>0</v>
      </c>
      <c r="BK116" s="624">
        <f t="shared" si="61"/>
        <v>0.50274279712015701</v>
      </c>
      <c r="BL116" s="624">
        <f t="shared" si="62"/>
        <v>1</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83.340644081556832</v>
      </c>
      <c r="BW116" s="114">
        <f t="shared" si="65"/>
        <v>0.62063714045256724</v>
      </c>
      <c r="BX116" s="1686">
        <f t="shared" si="25"/>
        <v>16.814169506355952</v>
      </c>
      <c r="BY116" s="527">
        <f t="shared" si="66"/>
        <v>83.340644081556832</v>
      </c>
      <c r="BZ116" s="417">
        <f t="shared" si="67"/>
        <v>0.62063714045256724</v>
      </c>
      <c r="CA116" s="544">
        <f t="shared" si="26"/>
        <v>16.814169506355952</v>
      </c>
      <c r="CB116" s="649">
        <f t="shared" si="27"/>
        <v>0.34584518582565693</v>
      </c>
      <c r="CC116" s="525">
        <f t="shared" si="68"/>
        <v>0.3020513705538056</v>
      </c>
      <c r="CD116" s="417">
        <f t="shared" si="28"/>
        <v>0.34584518582565693</v>
      </c>
      <c r="CE116" s="525">
        <f t="shared" si="69"/>
        <v>0.3020513705538056</v>
      </c>
      <c r="CG116" s="527">
        <f t="shared" si="70"/>
        <v>1599.8725932450927</v>
      </c>
      <c r="CH116" s="528">
        <f t="shared" si="71"/>
        <v>619.27392241139444</v>
      </c>
      <c r="CI116" s="528">
        <f t="shared" si="72"/>
        <v>2561.7904222901798</v>
      </c>
      <c r="CJ116" s="528">
        <f t="shared" si="73"/>
        <v>3643.7131304361374</v>
      </c>
      <c r="CK116" s="528">
        <f t="shared" si="74"/>
        <v>49.337573482614907</v>
      </c>
      <c r="CL116" s="528">
        <f t="shared" si="75"/>
        <v>8473.9876418654203</v>
      </c>
      <c r="CM116" s="646">
        <f t="shared" si="76"/>
        <v>0</v>
      </c>
    </row>
    <row r="117" spans="1:91" s="1" customFormat="1">
      <c r="A117" s="873">
        <f>'Input data'!A137</f>
        <v>2037</v>
      </c>
      <c r="B117" s="1551">
        <f>'Input data'!B137</f>
        <v>73.539326072165721</v>
      </c>
      <c r="C117" s="1550">
        <f>'Input data'!C137</f>
        <v>6283.2400000000007</v>
      </c>
      <c r="D117" s="1552">
        <f>'Input data'!D137</f>
        <v>17542322.49040458</v>
      </c>
      <c r="E117" s="1454">
        <f t="shared" si="29"/>
        <v>0.88764848484848458</v>
      </c>
      <c r="F117" s="1504">
        <f t="shared" si="30"/>
        <v>0.33666060606060599</v>
      </c>
      <c r="G117" s="1509">
        <f>B117*F117*'Input data'!$C$9</f>
        <v>757.76404270574221</v>
      </c>
      <c r="H117" s="1508">
        <f>'Input data'!I137</f>
        <v>424.26313389388866</v>
      </c>
      <c r="I117" s="1509">
        <f>'Input data'!K137</f>
        <v>31200.024943821583</v>
      </c>
      <c r="J117" s="1509">
        <f>J97*(1-$C$5)</f>
        <v>3900.4110186862777</v>
      </c>
      <c r="K117" s="1511">
        <f t="shared" si="78"/>
        <v>10598.816154208222</v>
      </c>
      <c r="L117" s="1504">
        <f t="shared" si="89"/>
        <v>0.57999999999999996</v>
      </c>
      <c r="M117" s="1504">
        <f t="shared" si="90"/>
        <v>0.437</v>
      </c>
      <c r="N117" s="1504">
        <f t="shared" si="91"/>
        <v>0.71200000000000008</v>
      </c>
      <c r="O117" s="1504">
        <f t="shared" si="92"/>
        <v>0.8</v>
      </c>
      <c r="P117" s="1504">
        <f>P116</f>
        <v>0.23600000000000002</v>
      </c>
      <c r="Q117" s="1508">
        <f t="shared" si="36"/>
        <v>0</v>
      </c>
      <c r="R117" s="1509">
        <f t="shared" si="37"/>
        <v>0</v>
      </c>
      <c r="S117" s="1509">
        <f t="shared" si="38"/>
        <v>0</v>
      </c>
      <c r="T117" s="1509">
        <f t="shared" si="39"/>
        <v>0</v>
      </c>
      <c r="U117" s="1511">
        <f t="shared" si="40"/>
        <v>0</v>
      </c>
      <c r="V117" s="1509">
        <f t="shared" si="10"/>
        <v>0</v>
      </c>
      <c r="W117" s="1454">
        <f t="shared" si="86"/>
        <v>0.5</v>
      </c>
      <c r="X117" s="530">
        <f t="shared" si="41"/>
        <v>3033.4854703020706</v>
      </c>
      <c r="Y117" s="528">
        <f t="shared" si="79"/>
        <v>3033.4854703020706</v>
      </c>
      <c r="Z117" s="528">
        <f t="shared" si="80"/>
        <v>11465.74170259243</v>
      </c>
      <c r="AA117" s="530">
        <f t="shared" si="81"/>
        <v>7565.3306839061515</v>
      </c>
      <c r="AB117" s="1091">
        <f t="shared" si="42"/>
        <v>0.65982043553236625</v>
      </c>
      <c r="AC117" s="135" t="str">
        <f t="shared" si="43"/>
        <v>Yes</v>
      </c>
      <c r="AD117" s="1091">
        <f t="shared" si="44"/>
        <v>0.65982043553236625</v>
      </c>
      <c r="AE117" s="649">
        <f t="shared" si="11"/>
        <v>0.35321623019832382</v>
      </c>
      <c r="AF117" s="530">
        <f t="shared" si="45"/>
        <v>274.4065091277626</v>
      </c>
      <c r="AG117" s="527">
        <f t="shared" si="46"/>
        <v>3900.4110186862777</v>
      </c>
      <c r="AH117" s="528">
        <f t="shared" si="82"/>
        <v>8552.3811974645996</v>
      </c>
      <c r="AI117" s="528">
        <f t="shared" si="83"/>
        <v>6437.6604656145792</v>
      </c>
      <c r="AJ117" s="528">
        <f t="shared" si="12"/>
        <v>1289.2170693057988</v>
      </c>
      <c r="AK117" s="528">
        <f t="shared" si="47"/>
        <v>20179.669751071255</v>
      </c>
      <c r="AL117" s="716">
        <f t="shared" si="13"/>
        <v>0</v>
      </c>
      <c r="AM117" s="649">
        <f t="shared" si="48"/>
        <v>0.19328418486527615</v>
      </c>
      <c r="AN117" s="417">
        <f t="shared" si="49"/>
        <v>0.42381175227164403</v>
      </c>
      <c r="AO117" s="417">
        <f t="shared" si="50"/>
        <v>0.31901713680288701</v>
      </c>
      <c r="AP117" s="417">
        <f t="shared" si="51"/>
        <v>6.388692606019282E-2</v>
      </c>
      <c r="AQ117" s="525">
        <f t="shared" si="52"/>
        <v>1</v>
      </c>
      <c r="AR117" s="1086">
        <f t="shared" si="14"/>
        <v>728.88459981575795</v>
      </c>
      <c r="AS117" s="938">
        <f t="shared" si="15"/>
        <v>924.42286253812517</v>
      </c>
      <c r="AT117" s="938">
        <f t="shared" si="16"/>
        <v>290.99942840862678</v>
      </c>
      <c r="AU117" s="938">
        <f t="shared" si="17"/>
        <v>0</v>
      </c>
      <c r="AV117" s="938">
        <f t="shared" si="18"/>
        <v>0</v>
      </c>
      <c r="AW117" s="938">
        <f t="shared" si="19"/>
        <v>0</v>
      </c>
      <c r="AX117" s="938">
        <f t="shared" si="20"/>
        <v>1238.5918804596497</v>
      </c>
      <c r="AY117" s="938">
        <f t="shared" si="21"/>
        <v>179.07214605232909</v>
      </c>
      <c r="AZ117" s="938">
        <f t="shared" si="22"/>
        <v>260.28043992268493</v>
      </c>
      <c r="BA117" s="938">
        <f t="shared" si="23"/>
        <v>228.80716846456707</v>
      </c>
      <c r="BB117" s="938">
        <f t="shared" si="24"/>
        <v>49.352493024536273</v>
      </c>
      <c r="BC117" s="530">
        <f t="shared" si="53"/>
        <v>3900.4110186862767</v>
      </c>
      <c r="BD117" s="724">
        <f t="shared" si="54"/>
        <v>0</v>
      </c>
      <c r="BE117" s="436">
        <f t="shared" si="55"/>
        <v>0.18687379261410722</v>
      </c>
      <c r="BF117" s="624">
        <f t="shared" si="56"/>
        <v>0.23700652523781612</v>
      </c>
      <c r="BG117" s="624">
        <f t="shared" si="57"/>
        <v>7.4607375226480671E-2</v>
      </c>
      <c r="BH117" s="624">
        <f t="shared" si="58"/>
        <v>0</v>
      </c>
      <c r="BI117" s="624">
        <f t="shared" si="59"/>
        <v>0</v>
      </c>
      <c r="BJ117" s="624">
        <f t="shared" si="60"/>
        <v>0</v>
      </c>
      <c r="BK117" s="624">
        <f t="shared" si="61"/>
        <v>0.50151230692159599</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83.316833029109745</v>
      </c>
      <c r="BW117" s="114">
        <f t="shared" si="65"/>
        <v>0.63321228577141619</v>
      </c>
      <c r="BX117" s="1686">
        <f t="shared" si="25"/>
        <v>17.54232249040458</v>
      </c>
      <c r="BY117" s="527">
        <f t="shared" si="66"/>
        <v>83.316833029109745</v>
      </c>
      <c r="BZ117" s="417">
        <f t="shared" si="67"/>
        <v>0.63321228577141619</v>
      </c>
      <c r="CA117" s="544">
        <f t="shared" si="26"/>
        <v>17.54232249040458</v>
      </c>
      <c r="CB117" s="649">
        <f t="shared" si="27"/>
        <v>0.35321623019832382</v>
      </c>
      <c r="CC117" s="525">
        <f t="shared" si="68"/>
        <v>0.32209907548062378</v>
      </c>
      <c r="CD117" s="417">
        <f t="shared" si="28"/>
        <v>0.35321623019832382</v>
      </c>
      <c r="CE117" s="525">
        <f t="shared" si="69"/>
        <v>0.32209907548062378</v>
      </c>
      <c r="CG117" s="527">
        <f t="shared" si="70"/>
        <v>1614.6731459943712</v>
      </c>
      <c r="CH117" s="528">
        <f t="shared" si="71"/>
        <v>625.00287632535037</v>
      </c>
      <c r="CI117" s="528">
        <f t="shared" si="72"/>
        <v>2585.4897558732346</v>
      </c>
      <c r="CJ117" s="528">
        <f t="shared" si="73"/>
        <v>3677.4214198449031</v>
      </c>
      <c r="CK117" s="528">
        <f t="shared" si="74"/>
        <v>49.79399942673944</v>
      </c>
      <c r="CL117" s="528">
        <f t="shared" si="75"/>
        <v>8552.3811974645996</v>
      </c>
      <c r="CM117" s="646">
        <f t="shared" si="76"/>
        <v>0</v>
      </c>
    </row>
    <row r="118" spans="1:91">
      <c r="A118" s="873">
        <f>'Input data'!A138</f>
        <v>2038</v>
      </c>
      <c r="B118" s="1551">
        <f>'Input data'!B138</f>
        <v>74.200346452615136</v>
      </c>
      <c r="C118" s="1550">
        <f>'Input data'!C138</f>
        <v>6443.4999999999982</v>
      </c>
      <c r="D118" s="1552">
        <f>'Input data'!D138</f>
        <v>14615640.739395874</v>
      </c>
      <c r="E118" s="1454">
        <f t="shared" si="29"/>
        <v>0.89629090909090881</v>
      </c>
      <c r="F118" s="1504">
        <f t="shared" si="30"/>
        <v>0.33901363636363629</v>
      </c>
      <c r="G118" s="1509">
        <f>B118*F118*'Input data'!$C$9</f>
        <v>769.91919524922071</v>
      </c>
      <c r="H118" s="1508">
        <f>'Input data'!I138</f>
        <v>424.26313389388866</v>
      </c>
      <c r="I118" s="1509">
        <f>'Input data'!K138</f>
        <v>31480.471521998781</v>
      </c>
      <c r="J118" s="1509">
        <f t="shared" ref="J118:J126" si="94">($J$127-$J$117)/($A$127-$A$117)+J117</f>
        <v>3733.2505464568658</v>
      </c>
      <c r="K118" s="1511">
        <f t="shared" si="78"/>
        <v>10896.305325025976</v>
      </c>
      <c r="L118" s="1504">
        <f t="shared" si="89"/>
        <v>0.57999999999999996</v>
      </c>
      <c r="M118" s="1504">
        <f t="shared" si="90"/>
        <v>0.437</v>
      </c>
      <c r="N118" s="1504">
        <f t="shared" si="91"/>
        <v>0.71200000000000008</v>
      </c>
      <c r="O118" s="1504">
        <f t="shared" si="92"/>
        <v>0.8</v>
      </c>
      <c r="P118" s="1504">
        <f t="shared" si="92"/>
        <v>0.23600000000000002</v>
      </c>
      <c r="Q118" s="1508">
        <f t="shared" si="36"/>
        <v>0</v>
      </c>
      <c r="R118" s="1509">
        <f t="shared" si="37"/>
        <v>0</v>
      </c>
      <c r="S118" s="1509">
        <f t="shared" si="38"/>
        <v>0</v>
      </c>
      <c r="T118" s="1509">
        <f t="shared" si="39"/>
        <v>0</v>
      </c>
      <c r="U118" s="1511">
        <f t="shared" si="40"/>
        <v>0</v>
      </c>
      <c r="V118" s="1509">
        <f t="shared" si="10"/>
        <v>0</v>
      </c>
      <c r="W118" s="1454">
        <f t="shared" si="86"/>
        <v>0.5</v>
      </c>
      <c r="X118" s="530">
        <f t="shared" si="41"/>
        <v>3033.4854703020706</v>
      </c>
      <c r="Y118" s="528">
        <f t="shared" si="79"/>
        <v>3033.4854703020706</v>
      </c>
      <c r="Z118" s="528">
        <f t="shared" si="80"/>
        <v>11596.070401180772</v>
      </c>
      <c r="AA118" s="530">
        <f t="shared" si="81"/>
        <v>7862.8198547239062</v>
      </c>
      <c r="AB118" s="1091">
        <f t="shared" si="42"/>
        <v>0.67805899608226539</v>
      </c>
      <c r="AC118" s="135" t="str">
        <f t="shared" si="43"/>
        <v>Yes</v>
      </c>
      <c r="AD118" s="1091">
        <f t="shared" si="44"/>
        <v>0.67805899608226539</v>
      </c>
      <c r="AE118" s="649">
        <f t="shared" si="11"/>
        <v>0.36369345508761963</v>
      </c>
      <c r="AF118" s="530">
        <f t="shared" si="45"/>
        <v>269.96140886171889</v>
      </c>
      <c r="AG118" s="527">
        <f t="shared" si="46"/>
        <v>3733.2505464568658</v>
      </c>
      <c r="AH118" s="528">
        <f t="shared" si="82"/>
        <v>8629.255688636149</v>
      </c>
      <c r="AI118" s="528">
        <f t="shared" si="83"/>
        <v>6437.6604656145792</v>
      </c>
      <c r="AJ118" s="528">
        <f t="shared" si="12"/>
        <v>1231.0633656680325</v>
      </c>
      <c r="AK118" s="528">
        <f t="shared" si="47"/>
        <v>20031.230066375629</v>
      </c>
      <c r="AL118" s="716">
        <f t="shared" si="13"/>
        <v>0</v>
      </c>
      <c r="AM118" s="649">
        <f t="shared" si="48"/>
        <v>0.18637150759520707</v>
      </c>
      <c r="AN118" s="417">
        <f t="shared" si="49"/>
        <v>0.43079010425431613</v>
      </c>
      <c r="AO118" s="417">
        <f t="shared" si="50"/>
        <v>0.32138118549298772</v>
      </c>
      <c r="AP118" s="417">
        <f t="shared" si="51"/>
        <v>6.1457202657488934E-2</v>
      </c>
      <c r="AQ118" s="525">
        <f t="shared" si="52"/>
        <v>0.99999999999999978</v>
      </c>
      <c r="AR118" s="1086">
        <f t="shared" si="14"/>
        <v>699.87631058561249</v>
      </c>
      <c r="AS118" s="938">
        <f t="shared" si="15"/>
        <v>887.63250398994967</v>
      </c>
      <c r="AT118" s="938">
        <f t="shared" si="16"/>
        <v>277.87309389030787</v>
      </c>
      <c r="AU118" s="938">
        <f t="shared" si="17"/>
        <v>0</v>
      </c>
      <c r="AV118" s="938">
        <f t="shared" si="18"/>
        <v>0</v>
      </c>
      <c r="AW118" s="938">
        <f t="shared" si="19"/>
        <v>0</v>
      </c>
      <c r="AX118" s="938">
        <f t="shared" si="20"/>
        <v>1182.7217660628717</v>
      </c>
      <c r="AY118" s="938">
        <f t="shared" si="21"/>
        <v>170.99460134768646</v>
      </c>
      <c r="AZ118" s="938">
        <f t="shared" si="22"/>
        <v>248.53977039050005</v>
      </c>
      <c r="BA118" s="938">
        <f t="shared" si="23"/>
        <v>218.48618793934818</v>
      </c>
      <c r="BB118" s="938">
        <f t="shared" si="24"/>
        <v>47.126312250588541</v>
      </c>
      <c r="BC118" s="530">
        <f t="shared" si="53"/>
        <v>3733.2505464568653</v>
      </c>
      <c r="BD118" s="724">
        <f t="shared" si="54"/>
        <v>0</v>
      </c>
      <c r="BE118" s="436">
        <f t="shared" si="55"/>
        <v>0.18747102608739924</v>
      </c>
      <c r="BF118" s="624">
        <f t="shared" si="56"/>
        <v>0.23776397885547207</v>
      </c>
      <c r="BG118" s="624">
        <f t="shared" si="57"/>
        <v>7.4431943538863274E-2</v>
      </c>
      <c r="BH118" s="624">
        <f t="shared" si="58"/>
        <v>0</v>
      </c>
      <c r="BI118" s="624">
        <f t="shared" si="59"/>
        <v>0</v>
      </c>
      <c r="BJ118" s="624">
        <f t="shared" si="60"/>
        <v>0</v>
      </c>
      <c r="BK118" s="624">
        <f t="shared" si="61"/>
        <v>0.50033305151826535</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82.470689051725415</v>
      </c>
      <c r="BW118" s="114">
        <f t="shared" si="65"/>
        <v>0.64280252599509302</v>
      </c>
      <c r="BX118" s="1686">
        <f t="shared" si="25"/>
        <v>14.615640739395873</v>
      </c>
      <c r="BY118" s="527">
        <f t="shared" si="66"/>
        <v>82.470689051725415</v>
      </c>
      <c r="BZ118" s="417">
        <f t="shared" si="67"/>
        <v>0.64280252599509302</v>
      </c>
      <c r="CA118" s="544">
        <f t="shared" si="26"/>
        <v>14.615640739395873</v>
      </c>
      <c r="CB118" s="649">
        <f t="shared" si="27"/>
        <v>0.36369345508761963</v>
      </c>
      <c r="CC118" s="525">
        <f t="shared" si="68"/>
        <v>0.32232440850963928</v>
      </c>
      <c r="CD118" s="417">
        <f t="shared" si="28"/>
        <v>0.36369345508761963</v>
      </c>
      <c r="CE118" s="525">
        <f t="shared" si="69"/>
        <v>0.32232440850963928</v>
      </c>
      <c r="CG118" s="527">
        <f t="shared" si="70"/>
        <v>1629.1869022969415</v>
      </c>
      <c r="CH118" s="528">
        <f t="shared" si="71"/>
        <v>630.62081792417791</v>
      </c>
      <c r="CI118" s="528">
        <f t="shared" si="72"/>
        <v>2608.7298576440644</v>
      </c>
      <c r="CJ118" s="528">
        <f t="shared" si="73"/>
        <v>3710.4765297548483</v>
      </c>
      <c r="CK118" s="528">
        <f t="shared" si="74"/>
        <v>50.241581016117358</v>
      </c>
      <c r="CL118" s="528">
        <f t="shared" si="75"/>
        <v>8629.2556886361472</v>
      </c>
      <c r="CM118" s="646">
        <f t="shared" si="76"/>
        <v>0</v>
      </c>
    </row>
    <row r="119" spans="1:91">
      <c r="A119" s="873">
        <f>'Input data'!A139</f>
        <v>2039</v>
      </c>
      <c r="B119" s="1551">
        <f>'Input data'!B139</f>
        <v>74.847837096563296</v>
      </c>
      <c r="C119" s="1550">
        <f>'Input data'!C139</f>
        <v>6615.260000000002</v>
      </c>
      <c r="D119" s="1552">
        <f>'Input data'!D139</f>
        <v>11688958.988387169</v>
      </c>
      <c r="E119" s="1454">
        <f t="shared" si="29"/>
        <v>0.90493333333333303</v>
      </c>
      <c r="F119" s="1504">
        <f t="shared" si="30"/>
        <v>0.3413666666666666</v>
      </c>
      <c r="G119" s="1509">
        <f>B119*F119*'Input data'!$C$9</f>
        <v>782.02819844994747</v>
      </c>
      <c r="H119" s="1508">
        <f>'Input data'!I139</f>
        <v>424.26313389388866</v>
      </c>
      <c r="I119" s="1509">
        <f>'Input data'!K139</f>
        <v>31755.177931767201</v>
      </c>
      <c r="J119" s="1509">
        <f t="shared" si="94"/>
        <v>3566.0900742274539</v>
      </c>
      <c r="K119" s="1511">
        <f t="shared" si="78"/>
        <v>11191.126933688913</v>
      </c>
      <c r="L119" s="1504">
        <f t="shared" si="89"/>
        <v>0.57999999999999996</v>
      </c>
      <c r="M119" s="1504">
        <f t="shared" si="90"/>
        <v>0.437</v>
      </c>
      <c r="N119" s="1504">
        <f t="shared" si="91"/>
        <v>0.71200000000000008</v>
      </c>
      <c r="O119" s="1504">
        <f t="shared" si="92"/>
        <v>0.8</v>
      </c>
      <c r="P119" s="1504">
        <f t="shared" si="92"/>
        <v>0.23600000000000002</v>
      </c>
      <c r="Q119" s="1508">
        <f t="shared" si="36"/>
        <v>0</v>
      </c>
      <c r="R119" s="1509">
        <f t="shared" si="37"/>
        <v>0</v>
      </c>
      <c r="S119" s="1509">
        <f t="shared" si="38"/>
        <v>0</v>
      </c>
      <c r="T119" s="1509">
        <f t="shared" si="39"/>
        <v>0</v>
      </c>
      <c r="U119" s="1511">
        <f t="shared" si="40"/>
        <v>0</v>
      </c>
      <c r="V119" s="1509">
        <f t="shared" si="10"/>
        <v>0</v>
      </c>
      <c r="W119" s="1454">
        <f t="shared" si="86"/>
        <v>0.5</v>
      </c>
      <c r="X119" s="530">
        <f t="shared" si="41"/>
        <v>3033.4854703020706</v>
      </c>
      <c r="Y119" s="528">
        <f t="shared" si="79"/>
        <v>3033.4854703020706</v>
      </c>
      <c r="Z119" s="528">
        <f t="shared" si="80"/>
        <v>11723.731537614296</v>
      </c>
      <c r="AA119" s="530">
        <f t="shared" si="81"/>
        <v>8157.6414633868426</v>
      </c>
      <c r="AB119" s="1091">
        <f t="shared" si="42"/>
        <v>0.69582294998942551</v>
      </c>
      <c r="AC119" s="135" t="str">
        <f t="shared" si="43"/>
        <v>Yes</v>
      </c>
      <c r="AD119" s="1091">
        <f t="shared" si="44"/>
        <v>0.69582294998942551</v>
      </c>
      <c r="AE119" s="649">
        <f t="shared" si="11"/>
        <v>0.37391019275039494</v>
      </c>
      <c r="AF119" s="530">
        <f t="shared" si="45"/>
        <v>265.62682372273815</v>
      </c>
      <c r="AG119" s="527">
        <f t="shared" si="46"/>
        <v>3566.0900742274539</v>
      </c>
      <c r="AH119" s="528">
        <f t="shared" si="82"/>
        <v>8704.5567160538121</v>
      </c>
      <c r="AI119" s="528">
        <f t="shared" si="83"/>
        <v>6437.6604656145792</v>
      </c>
      <c r="AJ119" s="528">
        <f t="shared" si="12"/>
        <v>1173.2859745811948</v>
      </c>
      <c r="AK119" s="528">
        <f t="shared" si="47"/>
        <v>19881.593230477039</v>
      </c>
      <c r="AL119" s="716">
        <f t="shared" si="13"/>
        <v>0</v>
      </c>
      <c r="AM119" s="649">
        <f t="shared" si="48"/>
        <v>0.17936641359108468</v>
      </c>
      <c r="AN119" s="417">
        <f t="shared" si="49"/>
        <v>0.43781987767008324</v>
      </c>
      <c r="AO119" s="417">
        <f t="shared" si="50"/>
        <v>0.32380002905129923</v>
      </c>
      <c r="AP119" s="417">
        <f t="shared" si="51"/>
        <v>5.9013679687532912E-2</v>
      </c>
      <c r="AQ119" s="525">
        <f t="shared" si="52"/>
        <v>1</v>
      </c>
      <c r="AR119" s="1086">
        <f t="shared" si="14"/>
        <v>670.57885291563673</v>
      </c>
      <c r="AS119" s="938">
        <f t="shared" si="15"/>
        <v>850.47540162941903</v>
      </c>
      <c r="AT119" s="938">
        <f t="shared" si="16"/>
        <v>264.83169986791495</v>
      </c>
      <c r="AU119" s="938">
        <f t="shared" si="17"/>
        <v>0</v>
      </c>
      <c r="AV119" s="938">
        <f t="shared" si="18"/>
        <v>0</v>
      </c>
      <c r="AW119" s="938">
        <f t="shared" si="19"/>
        <v>0</v>
      </c>
      <c r="AX119" s="938">
        <f t="shared" si="20"/>
        <v>1127.213187113608</v>
      </c>
      <c r="AY119" s="938">
        <f t="shared" si="21"/>
        <v>162.96932642575578</v>
      </c>
      <c r="AZ119" s="938">
        <f t="shared" si="22"/>
        <v>236.87507471767219</v>
      </c>
      <c r="BA119" s="938">
        <f t="shared" si="23"/>
        <v>208.23199446751667</v>
      </c>
      <c r="BB119" s="938">
        <f t="shared" si="24"/>
        <v>44.914537089928842</v>
      </c>
      <c r="BC119" s="530">
        <f t="shared" si="53"/>
        <v>3566.0900742274525</v>
      </c>
      <c r="BD119" s="724">
        <f t="shared" si="54"/>
        <v>0</v>
      </c>
      <c r="BE119" s="436">
        <f t="shared" si="55"/>
        <v>0.18804316182644629</v>
      </c>
      <c r="BF119" s="624">
        <f t="shared" si="56"/>
        <v>0.23848960175624939</v>
      </c>
      <c r="BG119" s="624">
        <f t="shared" si="57"/>
        <v>7.4263884073451886E-2</v>
      </c>
      <c r="BH119" s="624">
        <f t="shared" si="58"/>
        <v>0</v>
      </c>
      <c r="BI119" s="624">
        <f t="shared" si="59"/>
        <v>0</v>
      </c>
      <c r="BJ119" s="624">
        <f t="shared" si="60"/>
        <v>0</v>
      </c>
      <c r="BK119" s="624">
        <f t="shared" si="61"/>
        <v>0.49920335234385238</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81.715044839570382</v>
      </c>
      <c r="BW119" s="114">
        <f t="shared" si="65"/>
        <v>0.65257581309251167</v>
      </c>
      <c r="BX119" s="1686">
        <f t="shared" si="25"/>
        <v>11.688958988387169</v>
      </c>
      <c r="BY119" s="527">
        <f t="shared" si="66"/>
        <v>81.715044839570382</v>
      </c>
      <c r="BZ119" s="417">
        <f t="shared" si="67"/>
        <v>0.65257581309251167</v>
      </c>
      <c r="CA119" s="544">
        <f t="shared" si="26"/>
        <v>11.688958988387169</v>
      </c>
      <c r="CB119" s="649">
        <f t="shared" si="27"/>
        <v>0.37391019275039494</v>
      </c>
      <c r="CC119" s="525">
        <f t="shared" si="68"/>
        <v>0.32257694556985639</v>
      </c>
      <c r="CD119" s="417">
        <f t="shared" si="28"/>
        <v>0.37391019275039494</v>
      </c>
      <c r="CE119" s="525">
        <f t="shared" si="69"/>
        <v>0.32257694556985639</v>
      </c>
      <c r="CG119" s="527">
        <f t="shared" si="70"/>
        <v>1643.4035916644743</v>
      </c>
      <c r="CH119" s="528">
        <f t="shared" si="71"/>
        <v>636.12377173781806</v>
      </c>
      <c r="CI119" s="528">
        <f t="shared" si="72"/>
        <v>2631.4942820189754</v>
      </c>
      <c r="CJ119" s="528">
        <f t="shared" si="73"/>
        <v>3742.855069107623</v>
      </c>
      <c r="CK119" s="528">
        <f t="shared" si="74"/>
        <v>50.680001524920158</v>
      </c>
      <c r="CL119" s="528">
        <f t="shared" si="75"/>
        <v>8704.5567160538121</v>
      </c>
      <c r="CM119" s="646">
        <f t="shared" si="76"/>
        <v>0</v>
      </c>
    </row>
    <row r="120" spans="1:91">
      <c r="A120" s="873">
        <f>'Input data'!A140</f>
        <v>2040</v>
      </c>
      <c r="B120" s="1551">
        <f>'Input data'!B140</f>
        <v>75.481336564720067</v>
      </c>
      <c r="C120" s="1550">
        <f>'Input data'!C140</f>
        <v>6787.6000000000013</v>
      </c>
      <c r="D120" s="1552">
        <f>'Input data'!D140</f>
        <v>8762277.2373784631</v>
      </c>
      <c r="E120" s="1454">
        <f t="shared" si="29"/>
        <v>0.91357575757575726</v>
      </c>
      <c r="F120" s="1504">
        <f t="shared" si="30"/>
        <v>0.3437196969696969</v>
      </c>
      <c r="G120" s="1509">
        <f>B120*F120*'Input data'!$C$9</f>
        <v>794.08327463571106</v>
      </c>
      <c r="H120" s="1508">
        <f>'Input data'!I140</f>
        <v>424.26313389388866</v>
      </c>
      <c r="I120" s="1509">
        <f>'Input data'!K140</f>
        <v>32023.948401447506</v>
      </c>
      <c r="J120" s="1509">
        <f t="shared" si="94"/>
        <v>3398.929601998042</v>
      </c>
      <c r="K120" s="1511">
        <f t="shared" si="78"/>
        <v>11483.190001486026</v>
      </c>
      <c r="L120" s="1504">
        <f t="shared" si="89"/>
        <v>0.57999999999999996</v>
      </c>
      <c r="M120" s="1504">
        <f t="shared" si="90"/>
        <v>0.437</v>
      </c>
      <c r="N120" s="1504">
        <f t="shared" si="91"/>
        <v>0.71200000000000008</v>
      </c>
      <c r="O120" s="1504">
        <f t="shared" si="92"/>
        <v>0.8</v>
      </c>
      <c r="P120" s="1504">
        <f t="shared" si="92"/>
        <v>0.23600000000000002</v>
      </c>
      <c r="Q120" s="1508">
        <f t="shared" si="36"/>
        <v>0</v>
      </c>
      <c r="R120" s="1509">
        <f t="shared" si="37"/>
        <v>0</v>
      </c>
      <c r="S120" s="1509">
        <f t="shared" si="38"/>
        <v>0</v>
      </c>
      <c r="T120" s="1509">
        <f t="shared" si="39"/>
        <v>0</v>
      </c>
      <c r="U120" s="1511">
        <f t="shared" si="40"/>
        <v>0</v>
      </c>
      <c r="V120" s="1509">
        <f t="shared" si="10"/>
        <v>0</v>
      </c>
      <c r="W120" s="1454">
        <f t="shared" si="86"/>
        <v>0.5</v>
      </c>
      <c r="X120" s="530">
        <f t="shared" si="41"/>
        <v>3033.4854703020706</v>
      </c>
      <c r="Y120" s="528">
        <f t="shared" si="79"/>
        <v>3033.4854703020706</v>
      </c>
      <c r="Z120" s="528">
        <f t="shared" si="80"/>
        <v>11848.634133181997</v>
      </c>
      <c r="AA120" s="530">
        <f t="shared" si="81"/>
        <v>8449.7045311839538</v>
      </c>
      <c r="AB120" s="1091">
        <f t="shared" si="42"/>
        <v>0.71313743307514488</v>
      </c>
      <c r="AC120" s="135" t="str">
        <f t="shared" si="43"/>
        <v>Yes</v>
      </c>
      <c r="AD120" s="1091">
        <f t="shared" si="44"/>
        <v>0.71313743307514488</v>
      </c>
      <c r="AE120" s="649">
        <f t="shared" si="11"/>
        <v>0.38387717210459582</v>
      </c>
      <c r="AF120" s="530">
        <f t="shared" si="45"/>
        <v>261.39820182646918</v>
      </c>
      <c r="AG120" s="527">
        <f t="shared" si="46"/>
        <v>3398.929601998042</v>
      </c>
      <c r="AH120" s="528">
        <f t="shared" si="82"/>
        <v>8778.2306158492902</v>
      </c>
      <c r="AI120" s="528">
        <f t="shared" si="83"/>
        <v>6437.6604656145792</v>
      </c>
      <c r="AJ120" s="528">
        <f t="shared" si="12"/>
        <v>1115.8649660144335</v>
      </c>
      <c r="AK120" s="528">
        <f t="shared" si="47"/>
        <v>19730.685649476345</v>
      </c>
      <c r="AL120" s="716">
        <f t="shared" si="13"/>
        <v>0</v>
      </c>
      <c r="AM120" s="649">
        <f t="shared" si="48"/>
        <v>0.1722661676528332</v>
      </c>
      <c r="AN120" s="417">
        <f t="shared" si="49"/>
        <v>0.44490246166798897</v>
      </c>
      <c r="AO120" s="417">
        <f t="shared" si="50"/>
        <v>0.32627657142697603</v>
      </c>
      <c r="AP120" s="417">
        <f t="shared" si="51"/>
        <v>5.6554799252201797E-2</v>
      </c>
      <c r="AQ120" s="525">
        <f t="shared" si="52"/>
        <v>1</v>
      </c>
      <c r="AR120" s="1086">
        <f t="shared" si="14"/>
        <v>641.00754156456901</v>
      </c>
      <c r="AS120" s="938">
        <f t="shared" si="15"/>
        <v>812.97097871381618</v>
      </c>
      <c r="AT120" s="938">
        <f t="shared" si="16"/>
        <v>251.87074777582717</v>
      </c>
      <c r="AU120" s="938">
        <f t="shared" si="17"/>
        <v>0</v>
      </c>
      <c r="AV120" s="938">
        <f t="shared" si="18"/>
        <v>0</v>
      </c>
      <c r="AW120" s="938">
        <f t="shared" si="19"/>
        <v>0</v>
      </c>
      <c r="AX120" s="938">
        <f t="shared" si="20"/>
        <v>1072.0469961967513</v>
      </c>
      <c r="AY120" s="938">
        <f t="shared" si="21"/>
        <v>154.99355300687304</v>
      </c>
      <c r="AZ120" s="938">
        <f t="shared" si="22"/>
        <v>225.2823292239994</v>
      </c>
      <c r="BA120" s="938">
        <f t="shared" si="23"/>
        <v>198.04105091476427</v>
      </c>
      <c r="BB120" s="938">
        <f t="shared" si="24"/>
        <v>42.716404601441958</v>
      </c>
      <c r="BC120" s="530">
        <f t="shared" si="53"/>
        <v>3398.9296019980416</v>
      </c>
      <c r="BD120" s="724">
        <f t="shared" si="54"/>
        <v>0</v>
      </c>
      <c r="BE120" s="436">
        <f t="shared" si="55"/>
        <v>0.18859100264617318</v>
      </c>
      <c r="BF120" s="624">
        <f t="shared" si="56"/>
        <v>0.23918441212666358</v>
      </c>
      <c r="BG120" s="624">
        <f t="shared" si="57"/>
        <v>7.4102961010950735E-2</v>
      </c>
      <c r="BH120" s="624">
        <f t="shared" si="58"/>
        <v>0</v>
      </c>
      <c r="BI120" s="624">
        <f t="shared" si="59"/>
        <v>0</v>
      </c>
      <c r="BJ120" s="624">
        <f t="shared" si="60"/>
        <v>0</v>
      </c>
      <c r="BK120" s="624">
        <f t="shared" si="61"/>
        <v>0.49812162421621275</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80.992687168376918</v>
      </c>
      <c r="BW120" s="114">
        <f t="shared" si="65"/>
        <v>0.66228028134442274</v>
      </c>
      <c r="BX120" s="1686">
        <f t="shared" si="25"/>
        <v>8.7622772373784628</v>
      </c>
      <c r="BY120" s="527">
        <f t="shared" si="66"/>
        <v>80.992687168376918</v>
      </c>
      <c r="BZ120" s="417">
        <f t="shared" si="67"/>
        <v>0.66228028134442274</v>
      </c>
      <c r="CA120" s="544">
        <f t="shared" si="26"/>
        <v>8.7622772373784628</v>
      </c>
      <c r="CB120" s="649">
        <f t="shared" si="27"/>
        <v>0.38387717210459582</v>
      </c>
      <c r="CC120" s="525">
        <f t="shared" si="68"/>
        <v>0.32250437601692827</v>
      </c>
      <c r="CD120" s="417">
        <f t="shared" si="28"/>
        <v>0.38387717210459582</v>
      </c>
      <c r="CE120" s="525">
        <f t="shared" si="69"/>
        <v>0.32250437601692827</v>
      </c>
      <c r="CG120" s="527">
        <f t="shared" si="70"/>
        <v>1657.3130824616931</v>
      </c>
      <c r="CH120" s="528">
        <f t="shared" si="71"/>
        <v>641.50781604303813</v>
      </c>
      <c r="CI120" s="528">
        <f t="shared" si="72"/>
        <v>2653.7668057522387</v>
      </c>
      <c r="CJ120" s="528">
        <f t="shared" si="73"/>
        <v>3774.5339630829899</v>
      </c>
      <c r="CK120" s="528">
        <f t="shared" si="74"/>
        <v>51.108948509330688</v>
      </c>
      <c r="CL120" s="528">
        <f t="shared" si="75"/>
        <v>8778.2306158492902</v>
      </c>
      <c r="CM120" s="646">
        <f t="shared" si="76"/>
        <v>0</v>
      </c>
    </row>
    <row r="121" spans="1:91">
      <c r="A121" s="873">
        <f>'Input data'!A141</f>
        <v>2041</v>
      </c>
      <c r="B121" s="1551">
        <f>'Input data'!B141</f>
        <v>76.101885632753024</v>
      </c>
      <c r="C121" s="1550">
        <f>'Input data'!C141</f>
        <v>6981.3799999999992</v>
      </c>
      <c r="D121" s="1552">
        <f>'Input data'!D141</f>
        <v>7249397.5356904445</v>
      </c>
      <c r="E121" s="1454">
        <f t="shared" si="29"/>
        <v>0.92221818181818149</v>
      </c>
      <c r="F121" s="1504">
        <f t="shared" si="30"/>
        <v>0.3460727272727272</v>
      </c>
      <c r="G121" s="1509">
        <f>B121*F121*'Input data'!$C$9</f>
        <v>806.09242508430111</v>
      </c>
      <c r="H121" s="1508">
        <f>'Input data'!I141</f>
        <v>424.26313389388866</v>
      </c>
      <c r="I121" s="1509">
        <f>'Input data'!K141</f>
        <v>32287.2244937861</v>
      </c>
      <c r="J121" s="1509">
        <f t="shared" si="94"/>
        <v>3231.7691297686301</v>
      </c>
      <c r="K121" s="1511">
        <f t="shared" si="78"/>
        <v>11772.699730771565</v>
      </c>
      <c r="L121" s="1504">
        <f t="shared" si="89"/>
        <v>0.57999999999999996</v>
      </c>
      <c r="M121" s="1504">
        <f t="shared" si="90"/>
        <v>0.437</v>
      </c>
      <c r="N121" s="1504">
        <f t="shared" si="91"/>
        <v>0.71200000000000008</v>
      </c>
      <c r="O121" s="1504">
        <f t="shared" si="92"/>
        <v>0.8</v>
      </c>
      <c r="P121" s="1504">
        <f t="shared" si="92"/>
        <v>0.23600000000000002</v>
      </c>
      <c r="Q121" s="1508">
        <f t="shared" si="36"/>
        <v>0</v>
      </c>
      <c r="R121" s="1509">
        <f t="shared" si="37"/>
        <v>0</v>
      </c>
      <c r="S121" s="1509">
        <f t="shared" si="38"/>
        <v>0</v>
      </c>
      <c r="T121" s="1509">
        <f t="shared" si="39"/>
        <v>0</v>
      </c>
      <c r="U121" s="1511">
        <f t="shared" si="40"/>
        <v>0</v>
      </c>
      <c r="V121" s="1509">
        <f t="shared" si="10"/>
        <v>0</v>
      </c>
      <c r="W121" s="1454">
        <f t="shared" si="86"/>
        <v>0.5</v>
      </c>
      <c r="X121" s="530">
        <f t="shared" si="41"/>
        <v>3033.4854703020706</v>
      </c>
      <c r="Y121" s="528">
        <f t="shared" si="79"/>
        <v>3033.4854703020706</v>
      </c>
      <c r="Z121" s="528">
        <f t="shared" si="80"/>
        <v>11970.983390238125</v>
      </c>
      <c r="AA121" s="530">
        <f t="shared" si="81"/>
        <v>8739.2142604694945</v>
      </c>
      <c r="AB121" s="1091">
        <f t="shared" si="42"/>
        <v>0.73003311219995393</v>
      </c>
      <c r="AC121" s="135" t="str">
        <f t="shared" si="43"/>
        <v>Yes</v>
      </c>
      <c r="AD121" s="1091">
        <f t="shared" si="44"/>
        <v>0.73003311219995393</v>
      </c>
      <c r="AE121" s="649">
        <f t="shared" si="11"/>
        <v>0.39361142515162528</v>
      </c>
      <c r="AF121" s="530">
        <f t="shared" si="45"/>
        <v>257.26831712262037</v>
      </c>
      <c r="AG121" s="527">
        <f t="shared" si="46"/>
        <v>3231.7691297686301</v>
      </c>
      <c r="AH121" s="528">
        <f t="shared" si="82"/>
        <v>8850.3984268017757</v>
      </c>
      <c r="AI121" s="528">
        <f t="shared" si="83"/>
        <v>6437.6604656145792</v>
      </c>
      <c r="AJ121" s="528">
        <f t="shared" si="12"/>
        <v>1058.7760244115043</v>
      </c>
      <c r="AK121" s="528">
        <f t="shared" si="47"/>
        <v>19578.604046596491</v>
      </c>
      <c r="AL121" s="716">
        <f t="shared" si="13"/>
        <v>0</v>
      </c>
      <c r="AM121" s="649">
        <f t="shared" si="48"/>
        <v>0.16506637153890627</v>
      </c>
      <c r="AN121" s="417">
        <f t="shared" si="49"/>
        <v>0.45204440550194963</v>
      </c>
      <c r="AO121" s="417">
        <f t="shared" si="50"/>
        <v>0.32881100461979518</v>
      </c>
      <c r="AP121" s="417">
        <f t="shared" si="51"/>
        <v>5.4078218339348866E-2</v>
      </c>
      <c r="AQ121" s="525">
        <f t="shared" si="52"/>
        <v>1</v>
      </c>
      <c r="AR121" s="1086">
        <f t="shared" si="14"/>
        <v>611.18106124394728</v>
      </c>
      <c r="AS121" s="938">
        <f t="shared" si="15"/>
        <v>775.14293251226979</v>
      </c>
      <c r="AT121" s="938">
        <f t="shared" si="16"/>
        <v>238.98474915664087</v>
      </c>
      <c r="AU121" s="938">
        <f t="shared" si="17"/>
        <v>0</v>
      </c>
      <c r="AV121" s="938">
        <f t="shared" si="18"/>
        <v>0</v>
      </c>
      <c r="AW121" s="938">
        <f t="shared" si="19"/>
        <v>0</v>
      </c>
      <c r="AX121" s="938">
        <f t="shared" si="20"/>
        <v>1017.1998325833355</v>
      </c>
      <c r="AY121" s="938">
        <f t="shared" si="21"/>
        <v>147.06390366225381</v>
      </c>
      <c r="AZ121" s="938">
        <f t="shared" si="22"/>
        <v>213.75662483417767</v>
      </c>
      <c r="BA121" s="938">
        <f t="shared" si="23"/>
        <v>187.90904181420296</v>
      </c>
      <c r="BB121" s="938">
        <f t="shared" si="24"/>
        <v>40.530983961802228</v>
      </c>
      <c r="BC121" s="530">
        <f t="shared" si="53"/>
        <v>3231.7691297686297</v>
      </c>
      <c r="BD121" s="724">
        <f t="shared" si="54"/>
        <v>0</v>
      </c>
      <c r="BE121" s="436">
        <f t="shared" si="55"/>
        <v>0.18911656021904735</v>
      </c>
      <c r="BF121" s="624">
        <f t="shared" si="56"/>
        <v>0.23985096131163436</v>
      </c>
      <c r="BG121" s="624">
        <f t="shared" si="57"/>
        <v>7.3948583441587112E-2</v>
      </c>
      <c r="BH121" s="624">
        <f t="shared" si="58"/>
        <v>0</v>
      </c>
      <c r="BI121" s="624">
        <f t="shared" si="59"/>
        <v>0</v>
      </c>
      <c r="BJ121" s="624">
        <f t="shared" si="60"/>
        <v>0</v>
      </c>
      <c r="BK121" s="624">
        <f t="shared" si="61"/>
        <v>0.49708389502773132</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80.227965739143926</v>
      </c>
      <c r="BW121" s="114">
        <f t="shared" si="65"/>
        <v>0.67739444637083923</v>
      </c>
      <c r="BX121" s="1686">
        <f t="shared" si="25"/>
        <v>7.2493975356904441</v>
      </c>
      <c r="BY121" s="527">
        <f t="shared" si="66"/>
        <v>80.227965739143926</v>
      </c>
      <c r="BZ121" s="417">
        <f t="shared" si="67"/>
        <v>0.67739444637083923</v>
      </c>
      <c r="CA121" s="544">
        <f t="shared" si="26"/>
        <v>7.2493975356904441</v>
      </c>
      <c r="CB121" s="649">
        <f t="shared" si="27"/>
        <v>0.39361142515162528</v>
      </c>
      <c r="CC121" s="525">
        <f t="shared" si="68"/>
        <v>0.3352962762563686</v>
      </c>
      <c r="CD121" s="417">
        <f t="shared" si="28"/>
        <v>0.39361142515162528</v>
      </c>
      <c r="CE121" s="525">
        <f t="shared" si="69"/>
        <v>0.3352962762563686</v>
      </c>
      <c r="CG121" s="527">
        <f t="shared" si="70"/>
        <v>1670.9382265776642</v>
      </c>
      <c r="CH121" s="528">
        <f t="shared" si="71"/>
        <v>646.7817962810542</v>
      </c>
      <c r="CI121" s="528">
        <f t="shared" si="72"/>
        <v>2675.5840203516959</v>
      </c>
      <c r="CJ121" s="528">
        <f t="shared" si="73"/>
        <v>3805.5652569054241</v>
      </c>
      <c r="CK121" s="528">
        <f t="shared" si="74"/>
        <v>51.529126685937506</v>
      </c>
      <c r="CL121" s="528">
        <f t="shared" si="75"/>
        <v>8850.3984268017757</v>
      </c>
      <c r="CM121" s="646">
        <f t="shared" si="76"/>
        <v>0</v>
      </c>
    </row>
    <row r="122" spans="1:91">
      <c r="A122" s="873">
        <f>'Input data'!A142</f>
        <v>2042</v>
      </c>
      <c r="B122" s="1551">
        <f>'Input data'!B142</f>
        <v>76.709073592680113</v>
      </c>
      <c r="C122" s="1550">
        <f>'Input data'!C142</f>
        <v>7178.2100000000019</v>
      </c>
      <c r="D122" s="1552">
        <f>'Input data'!D142</f>
        <v>5736517.8340024278</v>
      </c>
      <c r="E122" s="1454">
        <f t="shared" si="29"/>
        <v>0.93086060606060572</v>
      </c>
      <c r="F122" s="1504">
        <f t="shared" si="30"/>
        <v>0.3484257575757575</v>
      </c>
      <c r="G122" s="1509">
        <f>B122*F122*'Input data'!$C$9</f>
        <v>818.04847184255016</v>
      </c>
      <c r="H122" s="1508">
        <f>'Input data'!I142</f>
        <v>424.26313389388866</v>
      </c>
      <c r="I122" s="1509">
        <f>'Input data'!K142</f>
        <v>32544.831960527401</v>
      </c>
      <c r="J122" s="1509">
        <f t="shared" si="94"/>
        <v>3064.6086575392183</v>
      </c>
      <c r="K122" s="1511">
        <f t="shared" si="78"/>
        <v>12059.575145166613</v>
      </c>
      <c r="L122" s="1504">
        <f t="shared" si="89"/>
        <v>0.57999999999999996</v>
      </c>
      <c r="M122" s="1504">
        <f t="shared" si="90"/>
        <v>0.437</v>
      </c>
      <c r="N122" s="1504">
        <f t="shared" si="91"/>
        <v>0.71200000000000008</v>
      </c>
      <c r="O122" s="1504">
        <f t="shared" si="92"/>
        <v>0.8</v>
      </c>
      <c r="P122" s="1504">
        <f t="shared" si="92"/>
        <v>0.23600000000000002</v>
      </c>
      <c r="Q122" s="1508">
        <f t="shared" si="36"/>
        <v>0</v>
      </c>
      <c r="R122" s="1509">
        <f t="shared" si="37"/>
        <v>0</v>
      </c>
      <c r="S122" s="1509">
        <f t="shared" si="38"/>
        <v>0</v>
      </c>
      <c r="T122" s="1509">
        <f t="shared" si="39"/>
        <v>0</v>
      </c>
      <c r="U122" s="1511">
        <f t="shared" si="40"/>
        <v>0</v>
      </c>
      <c r="V122" s="1509">
        <f t="shared" si="10"/>
        <v>0</v>
      </c>
      <c r="W122" s="1454">
        <f t="shared" si="86"/>
        <v>0.5</v>
      </c>
      <c r="X122" s="530">
        <f t="shared" si="41"/>
        <v>3033.4854703020706</v>
      </c>
      <c r="Y122" s="528">
        <f t="shared" si="79"/>
        <v>3033.4854703020706</v>
      </c>
      <c r="Z122" s="528">
        <f t="shared" si="80"/>
        <v>12090.698332403761</v>
      </c>
      <c r="AA122" s="530">
        <f t="shared" si="81"/>
        <v>9026.0896748645428</v>
      </c>
      <c r="AB122" s="1091">
        <f t="shared" si="42"/>
        <v>0.74653170782320388</v>
      </c>
      <c r="AC122" s="135" t="str">
        <f t="shared" si="43"/>
        <v>Yes</v>
      </c>
      <c r="AD122" s="1091">
        <f t="shared" si="44"/>
        <v>0.74653170782320388</v>
      </c>
      <c r="AE122" s="649">
        <f t="shared" si="11"/>
        <v>0.40312233108467022</v>
      </c>
      <c r="AF122" s="530">
        <f t="shared" si="45"/>
        <v>253.23319036529668</v>
      </c>
      <c r="AG122" s="527">
        <f t="shared" si="46"/>
        <v>3064.6086575392183</v>
      </c>
      <c r="AH122" s="528">
        <f t="shared" si="82"/>
        <v>8921.0123849268675</v>
      </c>
      <c r="AI122" s="528">
        <f t="shared" si="83"/>
        <v>6437.6604656145792</v>
      </c>
      <c r="AJ122" s="528">
        <f t="shared" si="12"/>
        <v>1002.0019277600504</v>
      </c>
      <c r="AK122" s="528">
        <f t="shared" si="47"/>
        <v>19425.283435840716</v>
      </c>
      <c r="AL122" s="716">
        <f t="shared" si="13"/>
        <v>0</v>
      </c>
      <c r="AM122" s="649">
        <f t="shared" si="48"/>
        <v>0.15776390947711202</v>
      </c>
      <c r="AN122" s="417">
        <f t="shared" si="49"/>
        <v>0.45924747581634301</v>
      </c>
      <c r="AO122" s="417">
        <f t="shared" si="50"/>
        <v>0.33140625653557987</v>
      </c>
      <c r="AP122" s="417">
        <f t="shared" si="51"/>
        <v>5.1582358170965049E-2</v>
      </c>
      <c r="AQ122" s="525">
        <f t="shared" si="52"/>
        <v>0.99999999999999989</v>
      </c>
      <c r="AR122" s="1086">
        <f t="shared" si="14"/>
        <v>581.11264580002955</v>
      </c>
      <c r="AS122" s="938">
        <f t="shared" si="15"/>
        <v>737.00804712207469</v>
      </c>
      <c r="AT122" s="938">
        <f t="shared" si="16"/>
        <v>226.16981669310675</v>
      </c>
      <c r="AU122" s="938">
        <f t="shared" si="17"/>
        <v>0</v>
      </c>
      <c r="AV122" s="938">
        <f t="shared" si="18"/>
        <v>0</v>
      </c>
      <c r="AW122" s="938">
        <f t="shared" si="19"/>
        <v>0</v>
      </c>
      <c r="AX122" s="938">
        <f t="shared" si="20"/>
        <v>962.65515053783088</v>
      </c>
      <c r="AY122" s="938">
        <f t="shared" si="21"/>
        <v>139.1779862557828</v>
      </c>
      <c r="AZ122" s="938">
        <f t="shared" si="22"/>
        <v>202.29448459071159</v>
      </c>
      <c r="BA122" s="938">
        <f t="shared" si="23"/>
        <v>177.83291064418393</v>
      </c>
      <c r="BB122" s="938">
        <f t="shared" si="24"/>
        <v>38.357615895496714</v>
      </c>
      <c r="BC122" s="530">
        <f t="shared" si="53"/>
        <v>3064.6086575392169</v>
      </c>
      <c r="BD122" s="724">
        <f t="shared" si="54"/>
        <v>0</v>
      </c>
      <c r="BE122" s="436">
        <f t="shared" si="55"/>
        <v>0.18962050647818912</v>
      </c>
      <c r="BF122" s="624">
        <f t="shared" si="56"/>
        <v>0.24049010150414071</v>
      </c>
      <c r="BG122" s="624">
        <f t="shared" si="57"/>
        <v>7.3800553991358195E-2</v>
      </c>
      <c r="BH122" s="624">
        <f t="shared" si="58"/>
        <v>0</v>
      </c>
      <c r="BI122" s="624">
        <f t="shared" si="59"/>
        <v>0</v>
      </c>
      <c r="BJ122" s="624">
        <f t="shared" si="60"/>
        <v>0</v>
      </c>
      <c r="BK122" s="624">
        <f t="shared" si="61"/>
        <v>0.49608883802631193</v>
      </c>
      <c r="BL122" s="624">
        <f t="shared" si="62"/>
        <v>1</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79.548596480905374</v>
      </c>
      <c r="BW122" s="114">
        <f t="shared" si="65"/>
        <v>0.69223719423566277</v>
      </c>
      <c r="BX122" s="1686">
        <f t="shared" si="25"/>
        <v>5.7365178340024281</v>
      </c>
      <c r="BY122" s="527">
        <f t="shared" si="66"/>
        <v>79.548596480905374</v>
      </c>
      <c r="BZ122" s="417">
        <f t="shared" si="67"/>
        <v>0.69223719423566277</v>
      </c>
      <c r="CA122" s="544">
        <f t="shared" si="26"/>
        <v>5.7365178340024281</v>
      </c>
      <c r="CB122" s="649">
        <f t="shared" si="27"/>
        <v>0.40312233108467022</v>
      </c>
      <c r="CC122" s="525">
        <f t="shared" si="68"/>
        <v>0.34718034110662843</v>
      </c>
      <c r="CD122" s="417">
        <f t="shared" si="28"/>
        <v>0.40312233108467022</v>
      </c>
      <c r="CE122" s="525">
        <f t="shared" si="69"/>
        <v>0.34718034110662843</v>
      </c>
      <c r="CG122" s="527">
        <f t="shared" si="70"/>
        <v>1684.2700062638594</v>
      </c>
      <c r="CH122" s="528">
        <f t="shared" si="71"/>
        <v>651.94222188860101</v>
      </c>
      <c r="CI122" s="528">
        <f t="shared" si="72"/>
        <v>2696.931486178898</v>
      </c>
      <c r="CJ122" s="528">
        <f t="shared" si="73"/>
        <v>3835.9284126340558</v>
      </c>
      <c r="CK122" s="528">
        <f t="shared" si="74"/>
        <v>51.94025796145209</v>
      </c>
      <c r="CL122" s="528">
        <f t="shared" si="75"/>
        <v>8921.0123849268657</v>
      </c>
      <c r="CM122" s="646">
        <f t="shared" si="76"/>
        <v>0</v>
      </c>
    </row>
    <row r="123" spans="1:91">
      <c r="A123" s="873">
        <f>'Input data'!A143</f>
        <v>2043</v>
      </c>
      <c r="B123" s="1551">
        <f>'Input data'!B143</f>
        <v>77.302495984815266</v>
      </c>
      <c r="C123" s="1550">
        <f>'Input data'!C143</f>
        <v>7380.12</v>
      </c>
      <c r="D123" s="1552">
        <f>'Input data'!D143</f>
        <v>4223638.132314411</v>
      </c>
      <c r="E123" s="1454">
        <f t="shared" si="29"/>
        <v>0.93950303030302995</v>
      </c>
      <c r="F123" s="1504">
        <f t="shared" si="30"/>
        <v>0.3507787878787878</v>
      </c>
      <c r="G123" s="1509">
        <f>B123*F123*'Input data'!$C$9</f>
        <v>829.9441857251951</v>
      </c>
      <c r="H123" s="1508">
        <f>'Input data'!I143</f>
        <v>424.26313389388866</v>
      </c>
      <c r="I123" s="1509">
        <f>'Input data'!K143</f>
        <v>32796.599204337472</v>
      </c>
      <c r="J123" s="1509">
        <f t="shared" si="94"/>
        <v>2897.4481853098064</v>
      </c>
      <c r="K123" s="1511">
        <f t="shared" si="78"/>
        <v>12343.736500224441</v>
      </c>
      <c r="L123" s="1504">
        <f t="shared" si="89"/>
        <v>0.57999999999999996</v>
      </c>
      <c r="M123" s="1504">
        <f t="shared" si="90"/>
        <v>0.437</v>
      </c>
      <c r="N123" s="1504">
        <f t="shared" si="91"/>
        <v>0.71200000000000008</v>
      </c>
      <c r="O123" s="1504">
        <f t="shared" si="92"/>
        <v>0.8</v>
      </c>
      <c r="P123" s="1504">
        <f t="shared" si="92"/>
        <v>0.23600000000000002</v>
      </c>
      <c r="Q123" s="1508">
        <f t="shared" si="36"/>
        <v>0</v>
      </c>
      <c r="R123" s="1509">
        <f t="shared" si="37"/>
        <v>0</v>
      </c>
      <c r="S123" s="1509">
        <f t="shared" si="38"/>
        <v>0</v>
      </c>
      <c r="T123" s="1509">
        <f t="shared" si="39"/>
        <v>0</v>
      </c>
      <c r="U123" s="1511">
        <f t="shared" si="40"/>
        <v>0</v>
      </c>
      <c r="V123" s="1509">
        <f t="shared" si="10"/>
        <v>0</v>
      </c>
      <c r="W123" s="1454">
        <f t="shared" si="86"/>
        <v>0.5</v>
      </c>
      <c r="X123" s="530">
        <f t="shared" si="41"/>
        <v>3033.4854703020706</v>
      </c>
      <c r="Y123" s="528">
        <f t="shared" si="79"/>
        <v>3033.4854703020706</v>
      </c>
      <c r="Z123" s="528">
        <f t="shared" si="80"/>
        <v>12207.699215232176</v>
      </c>
      <c r="AA123" s="530">
        <f t="shared" si="81"/>
        <v>9310.2510299223704</v>
      </c>
      <c r="AB123" s="1091">
        <f t="shared" si="42"/>
        <v>0.76265403216238237</v>
      </c>
      <c r="AC123" s="135" t="str">
        <f t="shared" si="43"/>
        <v>Yes</v>
      </c>
      <c r="AD123" s="1091">
        <f t="shared" si="44"/>
        <v>0.76265403216238237</v>
      </c>
      <c r="AE123" s="649">
        <f t="shared" si="11"/>
        <v>0.41241894752737041</v>
      </c>
      <c r="AF123" s="530">
        <f t="shared" si="45"/>
        <v>249.28897873870727</v>
      </c>
      <c r="AG123" s="527">
        <f t="shared" si="46"/>
        <v>2897.4481853098064</v>
      </c>
      <c r="AH123" s="528">
        <f t="shared" si="82"/>
        <v>8990.0254528963887</v>
      </c>
      <c r="AI123" s="528">
        <f t="shared" si="83"/>
        <v>6437.6604656145792</v>
      </c>
      <c r="AJ123" s="528">
        <f t="shared" si="12"/>
        <v>945.52617418684144</v>
      </c>
      <c r="AK123" s="528">
        <f t="shared" si="47"/>
        <v>19270.660278007617</v>
      </c>
      <c r="AL123" s="716">
        <f t="shared" si="13"/>
        <v>0</v>
      </c>
      <c r="AM123" s="649">
        <f t="shared" si="48"/>
        <v>0.15035541821140816</v>
      </c>
      <c r="AN123" s="417">
        <f t="shared" si="49"/>
        <v>0.46651361827784049</v>
      </c>
      <c r="AO123" s="417">
        <f t="shared" si="50"/>
        <v>0.33406538088170612</v>
      </c>
      <c r="AP123" s="417">
        <f t="shared" si="51"/>
        <v>4.9065582629045174E-2</v>
      </c>
      <c r="AQ123" s="525">
        <f t="shared" si="52"/>
        <v>0.99999999999999989</v>
      </c>
      <c r="AR123" s="1086">
        <f t="shared" si="14"/>
        <v>550.81497570527154</v>
      </c>
      <c r="AS123" s="938">
        <f t="shared" si="15"/>
        <v>698.58240481283747</v>
      </c>
      <c r="AT123" s="938">
        <f t="shared" si="16"/>
        <v>213.42222561629944</v>
      </c>
      <c r="AU123" s="938">
        <f t="shared" si="17"/>
        <v>0</v>
      </c>
      <c r="AV123" s="938">
        <f t="shared" si="18"/>
        <v>0</v>
      </c>
      <c r="AW123" s="938">
        <f t="shared" si="19"/>
        <v>0</v>
      </c>
      <c r="AX123" s="938">
        <f t="shared" si="20"/>
        <v>908.39709618529059</v>
      </c>
      <c r="AY123" s="938">
        <f t="shared" si="21"/>
        <v>131.33350867861054</v>
      </c>
      <c r="AZ123" s="938">
        <f t="shared" si="22"/>
        <v>190.89257692522031</v>
      </c>
      <c r="BA123" s="938">
        <f t="shared" si="23"/>
        <v>167.80972869163134</v>
      </c>
      <c r="BB123" s="938">
        <f t="shared" si="24"/>
        <v>36.195668694643985</v>
      </c>
      <c r="BC123" s="530">
        <f t="shared" si="53"/>
        <v>2897.4481853098055</v>
      </c>
      <c r="BD123" s="724">
        <f t="shared" si="54"/>
        <v>0</v>
      </c>
      <c r="BE123" s="436">
        <f t="shared" si="55"/>
        <v>0.1901034774315995</v>
      </c>
      <c r="BF123" s="624">
        <f t="shared" si="56"/>
        <v>0.24110263933439161</v>
      </c>
      <c r="BG123" s="624">
        <f t="shared" si="57"/>
        <v>7.3658685838925389E-2</v>
      </c>
      <c r="BH123" s="624">
        <f t="shared" si="58"/>
        <v>0</v>
      </c>
      <c r="BI123" s="624">
        <f t="shared" si="59"/>
        <v>0</v>
      </c>
      <c r="BJ123" s="624">
        <f t="shared" si="60"/>
        <v>0</v>
      </c>
      <c r="BK123" s="624">
        <f t="shared" si="61"/>
        <v>0.49513519739508338</v>
      </c>
      <c r="BL123" s="624">
        <f t="shared" si="62"/>
        <v>0.99999999999999989</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78.961063234328734</v>
      </c>
      <c r="BW123" s="114">
        <f t="shared" si="65"/>
        <v>0.70682636646166752</v>
      </c>
      <c r="BX123" s="1686">
        <f t="shared" si="25"/>
        <v>4.2236381323144112</v>
      </c>
      <c r="BY123" s="527">
        <f t="shared" si="66"/>
        <v>78.961063234328734</v>
      </c>
      <c r="BZ123" s="417">
        <f t="shared" si="67"/>
        <v>0.70682636646166752</v>
      </c>
      <c r="CA123" s="544">
        <f t="shared" si="26"/>
        <v>4.2236381323144112</v>
      </c>
      <c r="CB123" s="649">
        <f t="shared" si="27"/>
        <v>0.41241894752737041</v>
      </c>
      <c r="CC123" s="525">
        <f t="shared" si="68"/>
        <v>0.35826568561329475</v>
      </c>
      <c r="CD123" s="417">
        <f t="shared" si="28"/>
        <v>0.41241894752737041</v>
      </c>
      <c r="CE123" s="525">
        <f t="shared" si="69"/>
        <v>0.35826568561329475</v>
      </c>
      <c r="CG123" s="527">
        <f t="shared" si="70"/>
        <v>1697.2995409630498</v>
      </c>
      <c r="CH123" s="528">
        <f t="shared" si="71"/>
        <v>656.9856554060143</v>
      </c>
      <c r="CI123" s="528">
        <f t="shared" si="72"/>
        <v>2717.7949832724885</v>
      </c>
      <c r="CJ123" s="528">
        <f t="shared" si="73"/>
        <v>3865.6032047814838</v>
      </c>
      <c r="CK123" s="528">
        <f t="shared" si="74"/>
        <v>52.342068473351468</v>
      </c>
      <c r="CL123" s="528">
        <f t="shared" si="75"/>
        <v>8990.0254528963887</v>
      </c>
      <c r="CM123" s="646">
        <f t="shared" si="76"/>
        <v>0</v>
      </c>
    </row>
    <row r="124" spans="1:91">
      <c r="A124" s="873">
        <f>'Input data'!A144</f>
        <v>2044</v>
      </c>
      <c r="B124" s="1551">
        <f>'Input data'!B144</f>
        <v>77.881755043150378</v>
      </c>
      <c r="C124" s="1550">
        <f>'Input data'!C144</f>
        <v>7589.87</v>
      </c>
      <c r="D124" s="1552">
        <f>'Input data'!D144</f>
        <v>2710758.4306263938</v>
      </c>
      <c r="E124" s="1454">
        <f t="shared" si="29"/>
        <v>0.94814545454545418</v>
      </c>
      <c r="F124" s="1504">
        <f t="shared" si="30"/>
        <v>0.3531318181818181</v>
      </c>
      <c r="G124" s="1509">
        <f>B124*F124*'Input data'!$C$9</f>
        <v>841.77229337870995</v>
      </c>
      <c r="H124" s="1508">
        <f>'Input data'!I144</f>
        <v>424.26313389388866</v>
      </c>
      <c r="I124" s="1509">
        <f>'Input data'!K144</f>
        <v>33042.357467763148</v>
      </c>
      <c r="J124" s="1509">
        <f t="shared" si="94"/>
        <v>2730.2877130803945</v>
      </c>
      <c r="K124" s="1511">
        <f t="shared" si="78"/>
        <v>12625.105371243306</v>
      </c>
      <c r="L124" s="1504">
        <f t="shared" si="89"/>
        <v>0.57999999999999996</v>
      </c>
      <c r="M124" s="1504">
        <f t="shared" si="90"/>
        <v>0.437</v>
      </c>
      <c r="N124" s="1504">
        <f t="shared" si="91"/>
        <v>0.71200000000000008</v>
      </c>
      <c r="O124" s="1504">
        <f t="shared" si="92"/>
        <v>0.8</v>
      </c>
      <c r="P124" s="1504">
        <f t="shared" si="92"/>
        <v>0.23600000000000002</v>
      </c>
      <c r="Q124" s="1508">
        <f t="shared" si="36"/>
        <v>0</v>
      </c>
      <c r="R124" s="1509">
        <f t="shared" si="37"/>
        <v>0</v>
      </c>
      <c r="S124" s="1509">
        <f t="shared" si="38"/>
        <v>0</v>
      </c>
      <c r="T124" s="1509">
        <f t="shared" si="39"/>
        <v>0</v>
      </c>
      <c r="U124" s="1511">
        <f t="shared" si="40"/>
        <v>0</v>
      </c>
      <c r="V124" s="1509">
        <f t="shared" si="10"/>
        <v>0</v>
      </c>
      <c r="W124" s="1454">
        <f t="shared" si="86"/>
        <v>0.5</v>
      </c>
      <c r="X124" s="530">
        <f t="shared" si="41"/>
        <v>3033.4854703020706</v>
      </c>
      <c r="Y124" s="528">
        <f t="shared" si="79"/>
        <v>3033.4854703020706</v>
      </c>
      <c r="Z124" s="528">
        <f t="shared" si="80"/>
        <v>12321.907614021631</v>
      </c>
      <c r="AA124" s="530">
        <f t="shared" si="81"/>
        <v>9591.6199009412376</v>
      </c>
      <c r="AB124" s="1091">
        <f t="shared" si="42"/>
        <v>0.77842004674881016</v>
      </c>
      <c r="AC124" s="135" t="str">
        <f t="shared" si="43"/>
        <v>Yes</v>
      </c>
      <c r="AD124" s="1091">
        <f t="shared" si="44"/>
        <v>0.77842004674881016</v>
      </c>
      <c r="AE124" s="649">
        <f t="shared" si="11"/>
        <v>0.42151002677394489</v>
      </c>
      <c r="AF124" s="530">
        <f t="shared" si="45"/>
        <v>245.43196896707792</v>
      </c>
      <c r="AG124" s="527">
        <f t="shared" si="46"/>
        <v>2730.2877130803945</v>
      </c>
      <c r="AH124" s="528">
        <f t="shared" si="82"/>
        <v>9057.3913718348449</v>
      </c>
      <c r="AI124" s="528">
        <f t="shared" si="83"/>
        <v>6437.6604656145792</v>
      </c>
      <c r="AJ124" s="528">
        <f t="shared" si="12"/>
        <v>889.3329363222291</v>
      </c>
      <c r="AK124" s="528">
        <f t="shared" si="47"/>
        <v>19114.672486852047</v>
      </c>
      <c r="AL124" s="716">
        <f t="shared" si="13"/>
        <v>0</v>
      </c>
      <c r="AM124" s="649">
        <f t="shared" si="48"/>
        <v>0.14283727408661656</v>
      </c>
      <c r="AN124" s="417">
        <f t="shared" si="49"/>
        <v>0.47384496794621705</v>
      </c>
      <c r="AO124" s="417">
        <f t="shared" si="50"/>
        <v>0.33679156522523201</v>
      </c>
      <c r="AP124" s="417">
        <f t="shared" si="51"/>
        <v>4.6526192741934411E-2</v>
      </c>
      <c r="AQ124" s="525">
        <f t="shared" si="52"/>
        <v>1</v>
      </c>
      <c r="AR124" s="1086">
        <f t="shared" si="14"/>
        <v>520.3002131258728</v>
      </c>
      <c r="AS124" s="938">
        <f t="shared" si="15"/>
        <v>659.88143050161011</v>
      </c>
      <c r="AT124" s="938">
        <f t="shared" si="16"/>
        <v>200.73840340485657</v>
      </c>
      <c r="AU124" s="938">
        <f t="shared" si="17"/>
        <v>0</v>
      </c>
      <c r="AV124" s="938">
        <f t="shared" si="18"/>
        <v>0</v>
      </c>
      <c r="AW124" s="938">
        <f t="shared" si="19"/>
        <v>0</v>
      </c>
      <c r="AX124" s="938">
        <f t="shared" si="20"/>
        <v>854.41046366783246</v>
      </c>
      <c r="AY124" s="938">
        <f t="shared" si="21"/>
        <v>123.52827251038052</v>
      </c>
      <c r="AZ124" s="938">
        <f t="shared" si="22"/>
        <v>179.54770644506371</v>
      </c>
      <c r="BA124" s="938">
        <f t="shared" si="23"/>
        <v>157.83668695275557</v>
      </c>
      <c r="BB124" s="938">
        <f t="shared" si="24"/>
        <v>34.044536472020908</v>
      </c>
      <c r="BC124" s="530">
        <f t="shared" si="53"/>
        <v>2730.2877130803927</v>
      </c>
      <c r="BD124" s="724">
        <f t="shared" si="54"/>
        <v>0</v>
      </c>
      <c r="BE124" s="436">
        <f t="shared" si="55"/>
        <v>0.19056607500857647</v>
      </c>
      <c r="BF124" s="624">
        <f t="shared" si="56"/>
        <v>0.24168933821158065</v>
      </c>
      <c r="BG124" s="624">
        <f t="shared" si="57"/>
        <v>7.3522802173246957E-2</v>
      </c>
      <c r="BH124" s="624">
        <f t="shared" si="58"/>
        <v>0</v>
      </c>
      <c r="BI124" s="624">
        <f t="shared" si="59"/>
        <v>0</v>
      </c>
      <c r="BJ124" s="624">
        <f t="shared" si="60"/>
        <v>0</v>
      </c>
      <c r="BK124" s="624">
        <f t="shared" si="61"/>
        <v>0.49422178460659588</v>
      </c>
      <c r="BL124" s="624">
        <f t="shared" si="62"/>
        <v>1</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78.475804564044438</v>
      </c>
      <c r="BW124" s="114">
        <f t="shared" si="65"/>
        <v>0.72118866756506383</v>
      </c>
      <c r="BX124" s="1686">
        <f t="shared" si="25"/>
        <v>2.7107584306263939</v>
      </c>
      <c r="BY124" s="527">
        <f t="shared" si="66"/>
        <v>78.475804564044438</v>
      </c>
      <c r="BZ124" s="417">
        <f t="shared" si="67"/>
        <v>0.72118866756506383</v>
      </c>
      <c r="CA124" s="544">
        <f t="shared" si="26"/>
        <v>2.7107584306263939</v>
      </c>
      <c r="CB124" s="649">
        <f t="shared" si="27"/>
        <v>0.42151002677394489</v>
      </c>
      <c r="CC124" s="525">
        <f t="shared" si="68"/>
        <v>0.36866536601167343</v>
      </c>
      <c r="CD124" s="417">
        <f t="shared" si="28"/>
        <v>0.42151002677394489</v>
      </c>
      <c r="CE124" s="525">
        <f t="shared" si="69"/>
        <v>0.36866536601167343</v>
      </c>
      <c r="CG124" s="527">
        <f t="shared" si="70"/>
        <v>1710.0180970883785</v>
      </c>
      <c r="CH124" s="528">
        <f t="shared" si="71"/>
        <v>661.90871626248281</v>
      </c>
      <c r="CI124" s="528">
        <f t="shared" si="72"/>
        <v>2738.1605270069049</v>
      </c>
      <c r="CJ124" s="528">
        <f t="shared" si="73"/>
        <v>3894.5697425856288</v>
      </c>
      <c r="CK124" s="528">
        <f t="shared" si="74"/>
        <v>52.734288891449495</v>
      </c>
      <c r="CL124" s="528">
        <f t="shared" si="75"/>
        <v>9057.3913718348449</v>
      </c>
      <c r="CM124" s="646">
        <f t="shared" si="76"/>
        <v>0</v>
      </c>
    </row>
    <row r="125" spans="1:91">
      <c r="A125" s="873">
        <f>'Input data'!A145</f>
        <v>2045</v>
      </c>
      <c r="B125" s="1551">
        <f>'Input data'!B145</f>
        <v>78.446460136387472</v>
      </c>
      <c r="C125" s="1550">
        <f>'Input data'!C145</f>
        <v>7808.4800000000005</v>
      </c>
      <c r="D125" s="1552">
        <f>'Input data'!D145</f>
        <v>1197878.7289383768</v>
      </c>
      <c r="E125" s="1454">
        <f t="shared" si="29"/>
        <v>0.95678787878787841</v>
      </c>
      <c r="F125" s="1504">
        <f t="shared" si="30"/>
        <v>0.3554848484848484</v>
      </c>
      <c r="G125" s="1509">
        <f>B125*F125*'Input data'!$C$9</f>
        <v>853.52548449026619</v>
      </c>
      <c r="H125" s="1508">
        <f>'Input data'!I145</f>
        <v>424.26313389388866</v>
      </c>
      <c r="I125" s="1509">
        <f>'Input data'!K145</f>
        <v>33281.941020345759</v>
      </c>
      <c r="J125" s="1509">
        <f t="shared" si="94"/>
        <v>2563.1272408509826</v>
      </c>
      <c r="K125" s="1511">
        <f t="shared" si="78"/>
        <v>12903.604740221655</v>
      </c>
      <c r="L125" s="1504">
        <f t="shared" si="89"/>
        <v>0.57999999999999996</v>
      </c>
      <c r="M125" s="1504">
        <f t="shared" si="90"/>
        <v>0.437</v>
      </c>
      <c r="N125" s="1504">
        <f t="shared" si="91"/>
        <v>0.71200000000000008</v>
      </c>
      <c r="O125" s="1504">
        <f t="shared" si="92"/>
        <v>0.8</v>
      </c>
      <c r="P125" s="1504">
        <f t="shared" si="92"/>
        <v>0.23600000000000002</v>
      </c>
      <c r="Q125" s="1508">
        <f t="shared" si="36"/>
        <v>0</v>
      </c>
      <c r="R125" s="1509">
        <f t="shared" si="37"/>
        <v>0</v>
      </c>
      <c r="S125" s="1509">
        <f t="shared" si="38"/>
        <v>0</v>
      </c>
      <c r="T125" s="1509">
        <f t="shared" si="39"/>
        <v>0</v>
      </c>
      <c r="U125" s="1511">
        <f t="shared" si="40"/>
        <v>0</v>
      </c>
      <c r="V125" s="1509">
        <f t="shared" si="10"/>
        <v>0</v>
      </c>
      <c r="W125" s="1454">
        <f t="shared" si="86"/>
        <v>0.5</v>
      </c>
      <c r="X125" s="530">
        <f t="shared" si="41"/>
        <v>3033.4854703020706</v>
      </c>
      <c r="Y125" s="528">
        <f t="shared" si="79"/>
        <v>3033.4854703020706</v>
      </c>
      <c r="Z125" s="528">
        <f t="shared" si="80"/>
        <v>12433.246510770568</v>
      </c>
      <c r="AA125" s="530">
        <f t="shared" si="81"/>
        <v>9870.1192699195853</v>
      </c>
      <c r="AB125" s="1091">
        <f t="shared" si="42"/>
        <v>0.79384891640082755</v>
      </c>
      <c r="AC125" s="135" t="str">
        <f t="shared" si="43"/>
        <v>Yes</v>
      </c>
      <c r="AD125" s="1091">
        <f t="shared" si="44"/>
        <v>0.79384891640082755</v>
      </c>
      <c r="AE125" s="649">
        <f t="shared" si="11"/>
        <v>0.43040403124349413</v>
      </c>
      <c r="AF125" s="530">
        <f t="shared" si="45"/>
        <v>241.65857075796069</v>
      </c>
      <c r="AG125" s="527">
        <f t="shared" si="46"/>
        <v>2563.1272408509826</v>
      </c>
      <c r="AH125" s="528">
        <f t="shared" si="82"/>
        <v>9123.0647126100121</v>
      </c>
      <c r="AI125" s="528">
        <f t="shared" si="83"/>
        <v>6437.6604656145792</v>
      </c>
      <c r="AJ125" s="528">
        <f t="shared" si="12"/>
        <v>833.40701850515893</v>
      </c>
      <c r="AK125" s="528">
        <f t="shared" si="47"/>
        <v>18957.259437580735</v>
      </c>
      <c r="AL125" s="716">
        <f t="shared" si="13"/>
        <v>0</v>
      </c>
      <c r="AM125" s="649">
        <f t="shared" si="48"/>
        <v>0.13520557912341788</v>
      </c>
      <c r="AN125" s="417">
        <f t="shared" si="49"/>
        <v>0.48124386030844279</v>
      </c>
      <c r="AO125" s="417">
        <f t="shared" si="50"/>
        <v>0.33958813966815304</v>
      </c>
      <c r="AP125" s="417">
        <f t="shared" si="51"/>
        <v>4.396242089998615E-2</v>
      </c>
      <c r="AQ125" s="525">
        <f t="shared" si="52"/>
        <v>0.99999999999999989</v>
      </c>
      <c r="AR125" s="1086">
        <f t="shared" si="14"/>
        <v>489.58003480657396</v>
      </c>
      <c r="AS125" s="938">
        <f t="shared" si="15"/>
        <v>620.91993345971036</v>
      </c>
      <c r="AT125" s="938">
        <f t="shared" si="16"/>
        <v>188.11492012538176</v>
      </c>
      <c r="AU125" s="938">
        <f t="shared" si="17"/>
        <v>0</v>
      </c>
      <c r="AV125" s="938">
        <f t="shared" si="18"/>
        <v>0</v>
      </c>
      <c r="AW125" s="938">
        <f t="shared" si="19"/>
        <v>0</v>
      </c>
      <c r="AX125" s="938">
        <f t="shared" si="20"/>
        <v>800.68065403013031</v>
      </c>
      <c r="AY125" s="938">
        <f t="shared" si="21"/>
        <v>115.76016707500837</v>
      </c>
      <c r="AZ125" s="938">
        <f t="shared" si="22"/>
        <v>168.25680529344839</v>
      </c>
      <c r="BA125" s="938">
        <f t="shared" si="23"/>
        <v>147.91108853790035</v>
      </c>
      <c r="BB125" s="938">
        <f t="shared" si="24"/>
        <v>31.903637522828461</v>
      </c>
      <c r="BC125" s="530">
        <f t="shared" si="53"/>
        <v>2563.1272408509817</v>
      </c>
      <c r="BD125" s="724">
        <f t="shared" si="54"/>
        <v>0</v>
      </c>
      <c r="BE125" s="436">
        <f t="shared" si="55"/>
        <v>0.19100886877704476</v>
      </c>
      <c r="BF125" s="624">
        <f t="shared" si="56"/>
        <v>0.24225092050192532</v>
      </c>
      <c r="BG125" s="624">
        <f t="shared" si="57"/>
        <v>7.3392735689128671E-2</v>
      </c>
      <c r="BH125" s="624">
        <f t="shared" si="58"/>
        <v>0</v>
      </c>
      <c r="BI125" s="624">
        <f t="shared" si="59"/>
        <v>0</v>
      </c>
      <c r="BJ125" s="624">
        <f t="shared" si="60"/>
        <v>0</v>
      </c>
      <c r="BK125" s="624">
        <f t="shared" si="61"/>
        <v>0.49334747503190135</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78.094537290557739</v>
      </c>
      <c r="BW125" s="114">
        <f t="shared" si="65"/>
        <v>0.73531347048126527</v>
      </c>
      <c r="BX125" s="1686">
        <f t="shared" si="25"/>
        <v>1.1978787289383768</v>
      </c>
      <c r="BY125" s="527">
        <f t="shared" si="66"/>
        <v>78.094537290557739</v>
      </c>
      <c r="BZ125" s="417">
        <f t="shared" si="67"/>
        <v>0.73531347048126527</v>
      </c>
      <c r="CA125" s="544">
        <f t="shared" si="26"/>
        <v>1.1978787289383768</v>
      </c>
      <c r="CB125" s="649">
        <f t="shared" si="27"/>
        <v>0.43040403124349413</v>
      </c>
      <c r="CC125" s="525">
        <f t="shared" si="68"/>
        <v>0.37843179801240712</v>
      </c>
      <c r="CD125" s="417">
        <f t="shared" si="28"/>
        <v>0.43040403124349413</v>
      </c>
      <c r="CE125" s="525">
        <f t="shared" si="69"/>
        <v>0.37843179801240712</v>
      </c>
      <c r="CG125" s="527">
        <f t="shared" si="70"/>
        <v>1722.4170977069239</v>
      </c>
      <c r="CH125" s="528">
        <f t="shared" si="71"/>
        <v>666.70808452433516</v>
      </c>
      <c r="CI125" s="528">
        <f t="shared" si="72"/>
        <v>2758.0143835981548</v>
      </c>
      <c r="CJ125" s="528">
        <f t="shared" si="73"/>
        <v>3922.808492064074</v>
      </c>
      <c r="CK125" s="528">
        <f t="shared" si="74"/>
        <v>53.116654716522888</v>
      </c>
      <c r="CL125" s="528">
        <f t="shared" si="75"/>
        <v>9123.0647126100102</v>
      </c>
      <c r="CM125" s="646">
        <f t="shared" si="76"/>
        <v>0</v>
      </c>
    </row>
    <row r="126" spans="1:91">
      <c r="A126" s="873">
        <f>'Input data'!A146</f>
        <v>2046</v>
      </c>
      <c r="B126" s="1551">
        <f>'Input data'!B146</f>
        <v>78.997842335977523</v>
      </c>
      <c r="C126" s="1550">
        <f>'Input data'!C146</f>
        <v>8042.25</v>
      </c>
      <c r="D126" s="1552">
        <f>'Input data'!D146</f>
        <v>1000767.4916723419</v>
      </c>
      <c r="E126" s="1454">
        <f t="shared" si="29"/>
        <v>0.96543030303030264</v>
      </c>
      <c r="F126" s="1504">
        <f t="shared" si="30"/>
        <v>0.3578378787878787</v>
      </c>
      <c r="G126" s="1509">
        <f>B126*F126*'Input data'!$C$9</f>
        <v>865.2140977136761</v>
      </c>
      <c r="H126" s="1508">
        <f>'Input data'!I146</f>
        <v>424.26313389388866</v>
      </c>
      <c r="I126" s="1509">
        <f>'Input data'!K146</f>
        <v>33515.872160317136</v>
      </c>
      <c r="J126" s="1509">
        <f t="shared" si="94"/>
        <v>2395.9667686215707</v>
      </c>
      <c r="K126" s="1511">
        <f>I126*$B$10-J126</f>
        <v>13179.477328783232</v>
      </c>
      <c r="L126" s="1504">
        <f t="shared" si="89"/>
        <v>0.57999999999999996</v>
      </c>
      <c r="M126" s="1504">
        <f t="shared" si="90"/>
        <v>0.437</v>
      </c>
      <c r="N126" s="1504">
        <f t="shared" si="91"/>
        <v>0.71200000000000008</v>
      </c>
      <c r="O126" s="1504">
        <f t="shared" si="92"/>
        <v>0.8</v>
      </c>
      <c r="P126" s="1504">
        <f t="shared" si="92"/>
        <v>0.23600000000000002</v>
      </c>
      <c r="Q126" s="1508">
        <f t="shared" si="36"/>
        <v>0</v>
      </c>
      <c r="R126" s="1509">
        <f t="shared" si="37"/>
        <v>0</v>
      </c>
      <c r="S126" s="1509">
        <f t="shared" si="38"/>
        <v>0</v>
      </c>
      <c r="T126" s="1509">
        <f t="shared" si="39"/>
        <v>0</v>
      </c>
      <c r="U126" s="1511">
        <f t="shared" si="40"/>
        <v>0</v>
      </c>
      <c r="V126" s="1509">
        <f t="shared" si="10"/>
        <v>0</v>
      </c>
      <c r="W126" s="1454">
        <f t="shared" si="86"/>
        <v>0.5</v>
      </c>
      <c r="X126" s="530">
        <f t="shared" si="41"/>
        <v>3033.4854703020706</v>
      </c>
      <c r="Y126" s="528">
        <f t="shared" si="79"/>
        <v>3033.4854703020706</v>
      </c>
      <c r="Z126" s="528">
        <f t="shared" si="80"/>
        <v>12541.958627102733</v>
      </c>
      <c r="AA126" s="530">
        <f t="shared" si="81"/>
        <v>10145.991858481162</v>
      </c>
      <c r="AB126" s="1091">
        <f t="shared" si="42"/>
        <v>0.80896390748379843</v>
      </c>
      <c r="AC126" s="135" t="str">
        <f t="shared" si="43"/>
        <v>Yes</v>
      </c>
      <c r="AD126" s="1091">
        <f t="shared" si="44"/>
        <v>0.80896390748379843</v>
      </c>
      <c r="AE126" s="649">
        <f t="shared" si="11"/>
        <v>0.43911512246870943</v>
      </c>
      <c r="AF126" s="530">
        <f t="shared" si="45"/>
        <v>237.96277589511527</v>
      </c>
      <c r="AG126" s="527">
        <f t="shared" si="46"/>
        <v>2395.9667686215707</v>
      </c>
      <c r="AH126" s="528">
        <f t="shared" si="82"/>
        <v>9187.1886447733687</v>
      </c>
      <c r="AI126" s="528">
        <f t="shared" si="83"/>
        <v>6437.6604656145792</v>
      </c>
      <c r="AJ126" s="528">
        <f t="shared" si="12"/>
        <v>777.72997298435018</v>
      </c>
      <c r="AK126" s="528">
        <f t="shared" si="47"/>
        <v>18798.545851993869</v>
      </c>
      <c r="AL126" s="716">
        <f t="shared" si="13"/>
        <v>0</v>
      </c>
      <c r="AM126" s="649">
        <f t="shared" si="48"/>
        <v>0.12745489930368431</v>
      </c>
      <c r="AN126" s="417">
        <f t="shared" si="49"/>
        <v>0.48871804857176909</v>
      </c>
      <c r="AO126" s="417">
        <f t="shared" si="50"/>
        <v>0.34245523650074072</v>
      </c>
      <c r="AP126" s="417">
        <f t="shared" si="51"/>
        <v>4.1371815623805826E-2</v>
      </c>
      <c r="AQ126" s="525">
        <f t="shared" si="52"/>
        <v>1</v>
      </c>
      <c r="AR126" s="1086">
        <f t="shared" si="14"/>
        <v>458.66861648358787</v>
      </c>
      <c r="AS126" s="938">
        <f t="shared" si="15"/>
        <v>581.71589235571207</v>
      </c>
      <c r="AT126" s="938">
        <f t="shared" si="16"/>
        <v>175.54761178935368</v>
      </c>
      <c r="AU126" s="938">
        <f t="shared" si="17"/>
        <v>0</v>
      </c>
      <c r="AV126" s="938">
        <f t="shared" si="18"/>
        <v>0</v>
      </c>
      <c r="AW126" s="938">
        <f t="shared" si="19"/>
        <v>0</v>
      </c>
      <c r="AX126" s="938">
        <f t="shared" si="20"/>
        <v>747.18994393024832</v>
      </c>
      <c r="AY126" s="938">
        <f t="shared" si="21"/>
        <v>108.02662998134186</v>
      </c>
      <c r="AZ126" s="938">
        <f t="shared" si="22"/>
        <v>157.01614904806164</v>
      </c>
      <c r="BA126" s="938">
        <f t="shared" si="23"/>
        <v>138.029659384198</v>
      </c>
      <c r="BB126" s="938">
        <f t="shared" si="24"/>
        <v>29.77226564906627</v>
      </c>
      <c r="BC126" s="530">
        <f t="shared" si="53"/>
        <v>2395.9667686215703</v>
      </c>
      <c r="BD126" s="724">
        <f t="shared" si="54"/>
        <v>0</v>
      </c>
      <c r="BE126" s="436">
        <f t="shared" si="55"/>
        <v>0.19143363025333848</v>
      </c>
      <c r="BF126" s="624">
        <f t="shared" si="56"/>
        <v>0.24278963296739733</v>
      </c>
      <c r="BG126" s="624">
        <f t="shared" si="57"/>
        <v>7.3267966020392025E-2</v>
      </c>
      <c r="BH126" s="624">
        <f t="shared" si="58"/>
        <v>0</v>
      </c>
      <c r="BI126" s="624">
        <f t="shared" si="59"/>
        <v>0</v>
      </c>
      <c r="BJ126" s="624">
        <f t="shared" si="60"/>
        <v>0</v>
      </c>
      <c r="BK126" s="624">
        <f t="shared" si="61"/>
        <v>0.49250877075887189</v>
      </c>
      <c r="BL126" s="624">
        <f t="shared" si="62"/>
        <v>0.99999999999999967</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78.109578625626838</v>
      </c>
      <c r="BW126" s="114">
        <f t="shared" si="65"/>
        <v>0.75012126984365712</v>
      </c>
      <c r="BX126" s="1686">
        <f t="shared" si="25"/>
        <v>1.0007674916723419</v>
      </c>
      <c r="BY126" s="527">
        <f t="shared" si="66"/>
        <v>78.109578625626838</v>
      </c>
      <c r="BZ126" s="417">
        <f t="shared" si="67"/>
        <v>0.75012126984365712</v>
      </c>
      <c r="CA126" s="544">
        <f t="shared" si="26"/>
        <v>1.0007674916723419</v>
      </c>
      <c r="CB126" s="649">
        <f t="shared" si="27"/>
        <v>0.43911512246870943</v>
      </c>
      <c r="CC126" s="525">
        <f t="shared" si="68"/>
        <v>0.39328372106321474</v>
      </c>
      <c r="CD126" s="417">
        <f t="shared" si="28"/>
        <v>0.43911512246870943</v>
      </c>
      <c r="CE126" s="525">
        <f t="shared" si="69"/>
        <v>0.39328372106321474</v>
      </c>
      <c r="CG126" s="527">
        <f t="shared" si="70"/>
        <v>1734.5235729550609</v>
      </c>
      <c r="CH126" s="528">
        <f t="shared" si="71"/>
        <v>671.39422293632174</v>
      </c>
      <c r="CI126" s="528">
        <f t="shared" si="72"/>
        <v>2777.3998349580429</v>
      </c>
      <c r="CJ126" s="528">
        <f t="shared" si="73"/>
        <v>3950.3810144081576</v>
      </c>
      <c r="CK126" s="528">
        <f t="shared" si="74"/>
        <v>53.489999515785236</v>
      </c>
      <c r="CL126" s="528">
        <f t="shared" si="75"/>
        <v>9187.1886447733687</v>
      </c>
      <c r="CM126" s="646">
        <f t="shared" si="76"/>
        <v>0</v>
      </c>
    </row>
    <row r="127" spans="1:91" s="1" customFormat="1">
      <c r="A127" s="873">
        <f>'Input data'!A147</f>
        <v>2047</v>
      </c>
      <c r="B127" s="1551">
        <f>'Input data'!B147</f>
        <v>79.535560193629763</v>
      </c>
      <c r="C127" s="1550">
        <f>'Input data'!C147</f>
        <v>8187.4100000000008</v>
      </c>
      <c r="D127" s="1552">
        <f>'Input data'!D147</f>
        <v>803656.25440630724</v>
      </c>
      <c r="E127" s="1454">
        <f t="shared" si="29"/>
        <v>0.97407272727272687</v>
      </c>
      <c r="F127" s="1504">
        <f t="shared" si="30"/>
        <v>0.36019090909090901</v>
      </c>
      <c r="G127" s="1509">
        <f>B127*F127*'Input data'!$C$9</f>
        <v>876.83149026698891</v>
      </c>
      <c r="H127" s="1508">
        <f>'Input data'!I147</f>
        <v>424.26313389388866</v>
      </c>
      <c r="I127" s="1509">
        <f>'Input data'!K147</f>
        <v>33744.006023755384</v>
      </c>
      <c r="J127" s="1509">
        <f>J97*(1-$C$6)</f>
        <v>2228.8062963921584</v>
      </c>
      <c r="K127" s="1511">
        <f t="shared" si="78"/>
        <v>13452.655815991067</v>
      </c>
      <c r="L127" s="1504">
        <f t="shared" si="89"/>
        <v>0.57999999999999996</v>
      </c>
      <c r="M127" s="1504">
        <f t="shared" si="90"/>
        <v>0.437</v>
      </c>
      <c r="N127" s="1504">
        <f t="shared" si="91"/>
        <v>0.71200000000000008</v>
      </c>
      <c r="O127" s="1504">
        <f t="shared" si="92"/>
        <v>0.8</v>
      </c>
      <c r="P127" s="1504">
        <f t="shared" si="92"/>
        <v>0.23600000000000002</v>
      </c>
      <c r="Q127" s="1508">
        <f t="shared" si="36"/>
        <v>0</v>
      </c>
      <c r="R127" s="1509">
        <f t="shared" si="37"/>
        <v>0</v>
      </c>
      <c r="S127" s="1509">
        <f t="shared" si="38"/>
        <v>0</v>
      </c>
      <c r="T127" s="1509">
        <f t="shared" si="39"/>
        <v>0</v>
      </c>
      <c r="U127" s="1511">
        <f t="shared" si="40"/>
        <v>0</v>
      </c>
      <c r="V127" s="1509">
        <f t="shared" si="10"/>
        <v>0</v>
      </c>
      <c r="W127" s="1454">
        <f t="shared" si="86"/>
        <v>0.5</v>
      </c>
      <c r="X127" s="530">
        <f t="shared" si="41"/>
        <v>3033.4854703020706</v>
      </c>
      <c r="Y127" s="528">
        <f t="shared" si="79"/>
        <v>3033.4854703020706</v>
      </c>
      <c r="Z127" s="528">
        <f t="shared" si="80"/>
        <v>12647.976642081156</v>
      </c>
      <c r="AA127" s="530">
        <f t="shared" si="81"/>
        <v>10419.170345688997</v>
      </c>
      <c r="AB127" s="1091">
        <f t="shared" si="42"/>
        <v>0.82378159294059061</v>
      </c>
      <c r="AC127" s="135" t="str">
        <f t="shared" si="43"/>
        <v>Yes</v>
      </c>
      <c r="AD127" s="1091">
        <f t="shared" si="44"/>
        <v>0.82378159294059061</v>
      </c>
      <c r="AE127" s="649">
        <f t="shared" si="11"/>
        <v>0.44765067706899153</v>
      </c>
      <c r="AF127" s="530">
        <f t="shared" si="45"/>
        <v>234.34145475087718</v>
      </c>
      <c r="AG127" s="527">
        <f t="shared" si="46"/>
        <v>2228.8062963921584</v>
      </c>
      <c r="AH127" s="528">
        <f t="shared" si="82"/>
        <v>9249.723459014298</v>
      </c>
      <c r="AI127" s="528">
        <f t="shared" si="83"/>
        <v>6437.6604656145792</v>
      </c>
      <c r="AJ127" s="528">
        <f t="shared" si="12"/>
        <v>722.2886591801207</v>
      </c>
      <c r="AK127" s="528">
        <f t="shared" si="47"/>
        <v>18638.478880201157</v>
      </c>
      <c r="AL127" s="716">
        <f t="shared" si="13"/>
        <v>0</v>
      </c>
      <c r="AM127" s="649">
        <f t="shared" si="48"/>
        <v>0.11958091165689073</v>
      </c>
      <c r="AN127" s="417">
        <f t="shared" si="49"/>
        <v>0.49627029751016194</v>
      </c>
      <c r="AO127" s="417">
        <f t="shared" si="50"/>
        <v>0.34539623683845921</v>
      </c>
      <c r="AP127" s="417">
        <f t="shared" si="51"/>
        <v>3.8752553994488063E-2</v>
      </c>
      <c r="AQ127" s="525">
        <f t="shared" si="52"/>
        <v>1</v>
      </c>
      <c r="AR127" s="1086">
        <f t="shared" si="14"/>
        <v>427.57605572319619</v>
      </c>
      <c r="AS127" s="938">
        <f t="shared" si="15"/>
        <v>542.28211363542198</v>
      </c>
      <c r="AT127" s="938">
        <f t="shared" si="16"/>
        <v>163.03351233212155</v>
      </c>
      <c r="AU127" s="938">
        <f t="shared" si="17"/>
        <v>0</v>
      </c>
      <c r="AV127" s="938">
        <f t="shared" si="18"/>
        <v>0</v>
      </c>
      <c r="AW127" s="938">
        <f t="shared" si="19"/>
        <v>0</v>
      </c>
      <c r="AX127" s="938">
        <f t="shared" si="20"/>
        <v>693.92570879495781</v>
      </c>
      <c r="AY127" s="938">
        <f t="shared" si="21"/>
        <v>100.32583600393205</v>
      </c>
      <c r="AZ127" s="938">
        <f t="shared" si="22"/>
        <v>145.82308475313516</v>
      </c>
      <c r="BA127" s="938">
        <f t="shared" si="23"/>
        <v>128.19006733292929</v>
      </c>
      <c r="BB127" s="938">
        <f t="shared" si="24"/>
        <v>27.649917816464505</v>
      </c>
      <c r="BC127" s="530">
        <f t="shared" si="53"/>
        <v>2228.8062963921584</v>
      </c>
      <c r="BD127" s="724">
        <f t="shared" si="54"/>
        <v>0</v>
      </c>
      <c r="BE127" s="436">
        <f t="shared" si="55"/>
        <v>0.19184083265348251</v>
      </c>
      <c r="BF127" s="624">
        <f t="shared" si="56"/>
        <v>0.24330607577393862</v>
      </c>
      <c r="BG127" s="624">
        <f t="shared" si="57"/>
        <v>7.3148354164302751E-2</v>
      </c>
      <c r="BH127" s="624">
        <f t="shared" si="58"/>
        <v>0</v>
      </c>
      <c r="BI127" s="624">
        <f t="shared" si="59"/>
        <v>0</v>
      </c>
      <c r="BJ127" s="624">
        <f t="shared" si="60"/>
        <v>0</v>
      </c>
      <c r="BK127" s="624">
        <f t="shared" si="61"/>
        <v>0.49170473740827625</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77.722549518724932</v>
      </c>
      <c r="BW127" s="114">
        <f t="shared" si="65"/>
        <v>0.76301720030371301</v>
      </c>
      <c r="BX127" s="1686">
        <f t="shared" si="25"/>
        <v>0.80365625440630728</v>
      </c>
      <c r="BY127" s="527">
        <f t="shared" si="66"/>
        <v>77.722549518724932</v>
      </c>
      <c r="BZ127" s="417">
        <f t="shared" si="67"/>
        <v>0.76301720030371301</v>
      </c>
      <c r="CA127" s="544">
        <f t="shared" si="26"/>
        <v>0.80365625440630728</v>
      </c>
      <c r="CB127" s="649">
        <f t="shared" si="27"/>
        <v>0.44765067706899153</v>
      </c>
      <c r="CC127" s="525">
        <f t="shared" si="68"/>
        <v>0.40503475374428999</v>
      </c>
      <c r="CD127" s="417">
        <f t="shared" si="28"/>
        <v>0.44765067706899153</v>
      </c>
      <c r="CE127" s="525">
        <f t="shared" si="69"/>
        <v>0.40503475374428999</v>
      </c>
      <c r="CG127" s="527">
        <f t="shared" si="70"/>
        <v>1746.3300257912031</v>
      </c>
      <c r="CH127" s="528">
        <f t="shared" si="71"/>
        <v>675.96422956589504</v>
      </c>
      <c r="CI127" s="528">
        <f t="shared" si="72"/>
        <v>2796.3048764748182</v>
      </c>
      <c r="CJ127" s="528">
        <f t="shared" si="73"/>
        <v>3977.2702350902036</v>
      </c>
      <c r="CK127" s="528">
        <f t="shared" si="74"/>
        <v>53.854092092176373</v>
      </c>
      <c r="CL127" s="528">
        <f t="shared" si="75"/>
        <v>9249.723459014298</v>
      </c>
      <c r="CM127" s="646">
        <f t="shared" si="76"/>
        <v>0</v>
      </c>
    </row>
    <row r="128" spans="1:91">
      <c r="A128" s="873">
        <f>'Input data'!A148</f>
        <v>2048</v>
      </c>
      <c r="B128" s="1551">
        <f>'Input data'!B148</f>
        <v>80.059278886956378</v>
      </c>
      <c r="C128" s="1550">
        <f>'Input data'!C148</f>
        <v>8322.6399999999976</v>
      </c>
      <c r="D128" s="1552">
        <f>'Input data'!D148</f>
        <v>606545.01714027242</v>
      </c>
      <c r="E128" s="1454">
        <f t="shared" si="29"/>
        <v>0.9827151515151511</v>
      </c>
      <c r="F128" s="1504">
        <f t="shared" si="30"/>
        <v>0.36254393939393931</v>
      </c>
      <c r="G128" s="1509">
        <f>B128*F128*'Input data'!$C$9</f>
        <v>888.37099452840403</v>
      </c>
      <c r="H128" s="1508">
        <f>'Input data'!I148</f>
        <v>424.26313389388866</v>
      </c>
      <c r="I128" s="1509">
        <f>'Input data'!K148</f>
        <v>33966.200557864948</v>
      </c>
      <c r="J128" s="1509">
        <f>J127</f>
        <v>2228.8062963921584</v>
      </c>
      <c r="K128" s="1511">
        <f t="shared" si="78"/>
        <v>13555.91371506105</v>
      </c>
      <c r="L128" s="1504">
        <f t="shared" si="89"/>
        <v>0.57999999999999996</v>
      </c>
      <c r="M128" s="1504">
        <f t="shared" si="90"/>
        <v>0.437</v>
      </c>
      <c r="N128" s="1504">
        <f t="shared" si="91"/>
        <v>0.71200000000000008</v>
      </c>
      <c r="O128" s="1504">
        <f t="shared" si="92"/>
        <v>0.8</v>
      </c>
      <c r="P128" s="1504">
        <f t="shared" si="92"/>
        <v>0.23600000000000002</v>
      </c>
      <c r="Q128" s="1508">
        <f t="shared" si="36"/>
        <v>0</v>
      </c>
      <c r="R128" s="1509">
        <f t="shared" si="37"/>
        <v>0</v>
      </c>
      <c r="S128" s="1509">
        <f t="shared" si="38"/>
        <v>0</v>
      </c>
      <c r="T128" s="1509">
        <f t="shared" si="39"/>
        <v>0</v>
      </c>
      <c r="U128" s="1511">
        <f t="shared" si="40"/>
        <v>0</v>
      </c>
      <c r="V128" s="1509">
        <f t="shared" si="10"/>
        <v>0</v>
      </c>
      <c r="W128" s="1454">
        <f t="shared" si="86"/>
        <v>0.5</v>
      </c>
      <c r="X128" s="530">
        <f t="shared" si="41"/>
        <v>3033.4854703020706</v>
      </c>
      <c r="Y128" s="528">
        <f t="shared" si="79"/>
        <v>3033.4854703020706</v>
      </c>
      <c r="Z128" s="528">
        <f t="shared" si="80"/>
        <v>12751.234541151138</v>
      </c>
      <c r="AA128" s="530">
        <f t="shared" si="81"/>
        <v>10522.428244758979</v>
      </c>
      <c r="AB128" s="1091">
        <f t="shared" si="42"/>
        <v>0.82520858751368009</v>
      </c>
      <c r="AC128" s="135" t="str">
        <f t="shared" si="43"/>
        <v>Yes</v>
      </c>
      <c r="AD128" s="1091">
        <f t="shared" si="44"/>
        <v>0.82520858751368009</v>
      </c>
      <c r="AE128" s="649">
        <f t="shared" si="11"/>
        <v>0.44950409890217113</v>
      </c>
      <c r="AF128" s="530">
        <f t="shared" si="45"/>
        <v>233.55511619550506</v>
      </c>
      <c r="AG128" s="527">
        <f t="shared" si="46"/>
        <v>2228.8062963921584</v>
      </c>
      <c r="AH128" s="528">
        <f t="shared" si="82"/>
        <v>9310.6302165928464</v>
      </c>
      <c r="AI128" s="528">
        <f t="shared" si="83"/>
        <v>6437.6604656145792</v>
      </c>
      <c r="AJ128" s="528">
        <f t="shared" si="12"/>
        <v>721.1572043718586</v>
      </c>
      <c r="AK128" s="528">
        <f t="shared" si="47"/>
        <v>18698.254182971443</v>
      </c>
      <c r="AL128" s="716">
        <f t="shared" si="13"/>
        <v>0</v>
      </c>
      <c r="AM128" s="649">
        <f t="shared" si="48"/>
        <v>0.1191986307696009</v>
      </c>
      <c r="AN128" s="417">
        <f t="shared" si="49"/>
        <v>0.49794115137615713</v>
      </c>
      <c r="AO128" s="417">
        <f t="shared" si="50"/>
        <v>0.34429206077845365</v>
      </c>
      <c r="AP128" s="417">
        <f t="shared" si="51"/>
        <v>3.8568157075788319E-2</v>
      </c>
      <c r="AQ128" s="525">
        <f t="shared" si="52"/>
        <v>1</v>
      </c>
      <c r="AR128" s="1086">
        <f t="shared" si="14"/>
        <v>428.44549529101295</v>
      </c>
      <c r="AS128" s="938">
        <f t="shared" si="15"/>
        <v>543.38479822265026</v>
      </c>
      <c r="AT128" s="938">
        <f t="shared" si="16"/>
        <v>162.77812267718025</v>
      </c>
      <c r="AU128" s="938">
        <f t="shared" si="17"/>
        <v>0</v>
      </c>
      <c r="AV128" s="938">
        <f t="shared" si="18"/>
        <v>0</v>
      </c>
      <c r="AW128" s="938">
        <f t="shared" si="19"/>
        <v>0</v>
      </c>
      <c r="AX128" s="938">
        <f t="shared" si="20"/>
        <v>692.83868414101403</v>
      </c>
      <c r="AY128" s="938">
        <f t="shared" si="21"/>
        <v>100.16867702310518</v>
      </c>
      <c r="AZ128" s="938">
        <f t="shared" si="22"/>
        <v>145.59465498575264</v>
      </c>
      <c r="BA128" s="938">
        <f t="shared" si="23"/>
        <v>127.98925943402092</v>
      </c>
      <c r="BB128" s="938">
        <f t="shared" si="24"/>
        <v>27.606604617421613</v>
      </c>
      <c r="BC128" s="530">
        <f t="shared" si="53"/>
        <v>2228.8062963921575</v>
      </c>
      <c r="BD128" s="724">
        <f t="shared" si="54"/>
        <v>0</v>
      </c>
      <c r="BE128" s="436">
        <f t="shared" si="55"/>
        <v>0.19223092468132016</v>
      </c>
      <c r="BF128" s="624">
        <f t="shared" si="56"/>
        <v>0.24380081799941306</v>
      </c>
      <c r="BG128" s="624">
        <f t="shared" si="57"/>
        <v>7.3033768318348069E-2</v>
      </c>
      <c r="BH128" s="624">
        <f t="shared" si="58"/>
        <v>0</v>
      </c>
      <c r="BI128" s="624">
        <f t="shared" si="59"/>
        <v>0</v>
      </c>
      <c r="BJ128" s="624">
        <f t="shared" si="60"/>
        <v>0</v>
      </c>
      <c r="BK128" s="624">
        <f t="shared" si="61"/>
        <v>0.49093448900091885</v>
      </c>
      <c r="BL128" s="624">
        <f t="shared" si="62"/>
        <v>1</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77.555161900256749</v>
      </c>
      <c r="BW128" s="114">
        <f t="shared" si="65"/>
        <v>0.77386716451883131</v>
      </c>
      <c r="BX128" s="1686">
        <f t="shared" si="25"/>
        <v>0.60654501714027242</v>
      </c>
      <c r="BY128" s="527">
        <f t="shared" si="66"/>
        <v>77.555161900256749</v>
      </c>
      <c r="BZ128" s="417">
        <f t="shared" si="67"/>
        <v>0.77386716451883131</v>
      </c>
      <c r="CA128" s="544">
        <f t="shared" si="26"/>
        <v>0.60654501714027242</v>
      </c>
      <c r="CB128" s="649">
        <f t="shared" si="27"/>
        <v>0.44950409890217113</v>
      </c>
      <c r="CC128" s="525">
        <f t="shared" si="68"/>
        <v>0.41573465984150493</v>
      </c>
      <c r="CD128" s="417">
        <f t="shared" si="28"/>
        <v>0.44950409890217113</v>
      </c>
      <c r="CE128" s="525">
        <f t="shared" si="69"/>
        <v>0.41573465984150493</v>
      </c>
      <c r="CG128" s="527">
        <f t="shared" si="70"/>
        <v>1757.8291046560257</v>
      </c>
      <c r="CH128" s="528">
        <f t="shared" si="71"/>
        <v>680.41525879334927</v>
      </c>
      <c r="CI128" s="528">
        <f t="shared" si="72"/>
        <v>2814.7177364896966</v>
      </c>
      <c r="CJ128" s="528">
        <f t="shared" si="73"/>
        <v>4003.4594109186928</v>
      </c>
      <c r="CK128" s="528">
        <f t="shared" si="74"/>
        <v>54.208705735082042</v>
      </c>
      <c r="CL128" s="528">
        <f t="shared" si="75"/>
        <v>9310.6302165928464</v>
      </c>
      <c r="CM128" s="646">
        <f t="shared" si="76"/>
        <v>0</v>
      </c>
    </row>
    <row r="129" spans="1:91">
      <c r="A129" s="127">
        <f>'Input data'!A149</f>
        <v>2049</v>
      </c>
      <c r="B129" s="662">
        <f>'Input data'!B149</f>
        <v>80.568670564877792</v>
      </c>
      <c r="C129" s="236">
        <f>'Input data'!C149</f>
        <v>8457.3799999999992</v>
      </c>
      <c r="D129" s="237">
        <f>'Input data'!D149</f>
        <v>409433.77987423755</v>
      </c>
      <c r="E129" s="649">
        <f t="shared" si="29"/>
        <v>0.99135757575757533</v>
      </c>
      <c r="F129" s="417">
        <f t="shared" si="30"/>
        <v>0.36489696969696961</v>
      </c>
      <c r="G129" s="528">
        <f>B129*F129*'Input data'!$C$9</f>
        <v>899.82592427987549</v>
      </c>
      <c r="H129" s="527">
        <f>'Input data'!I149</f>
        <v>424.26313389388866</v>
      </c>
      <c r="I129" s="528">
        <f>'Input data'!K149</f>
        <v>34182.31666751935</v>
      </c>
      <c r="J129" s="528">
        <f t="shared" ref="J129:J130" si="95">J128</f>
        <v>2228.8062963921584</v>
      </c>
      <c r="K129" s="530">
        <f t="shared" si="78"/>
        <v>13656.346858151272</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12851.66768424136</v>
      </c>
      <c r="AA129" s="530">
        <f t="shared" si="81"/>
        <v>10622.861387849201</v>
      </c>
      <c r="AB129" s="1091">
        <f t="shared" si="42"/>
        <v>0.82657454649834217</v>
      </c>
      <c r="AC129" s="135" t="str">
        <f t="shared" si="43"/>
        <v>Yes</v>
      </c>
      <c r="AD129" s="1091">
        <f t="shared" si="44"/>
        <v>0.82657454649834217</v>
      </c>
      <c r="AE129" s="649">
        <f t="shared" si="11"/>
        <v>0.45128319188420341</v>
      </c>
      <c r="AF129" s="530">
        <f t="shared" si="45"/>
        <v>232.80031263145941</v>
      </c>
      <c r="AG129" s="527">
        <f t="shared" si="46"/>
        <v>2228.8062963921584</v>
      </c>
      <c r="AH129" s="528">
        <f t="shared" si="82"/>
        <v>9369.8707895092321</v>
      </c>
      <c r="AI129" s="528">
        <f t="shared" si="83"/>
        <v>6437.6604656145792</v>
      </c>
      <c r="AJ129" s="528">
        <f t="shared" si="12"/>
        <v>720.07414428863876</v>
      </c>
      <c r="AK129" s="528">
        <f t="shared" si="47"/>
        <v>18756.411695804611</v>
      </c>
      <c r="AL129" s="716">
        <f t="shared" si="13"/>
        <v>0</v>
      </c>
      <c r="AM129" s="649">
        <f t="shared" si="48"/>
        <v>0.11882903470767239</v>
      </c>
      <c r="AN129" s="417">
        <f t="shared" si="49"/>
        <v>0.4995556155128042</v>
      </c>
      <c r="AO129" s="417">
        <f t="shared" si="50"/>
        <v>0.3432245234334742</v>
      </c>
      <c r="AP129" s="417">
        <f t="shared" si="51"/>
        <v>3.8390826346049081E-2</v>
      </c>
      <c r="AQ129" s="525">
        <f t="shared" si="52"/>
        <v>0.99999999999999989</v>
      </c>
      <c r="AR129" s="1086">
        <f t="shared" si="14"/>
        <v>429.27774708206829</v>
      </c>
      <c r="AS129" s="938">
        <f t="shared" si="15"/>
        <v>544.44031864829026</v>
      </c>
      <c r="AT129" s="938">
        <f t="shared" si="16"/>
        <v>162.53365658015682</v>
      </c>
      <c r="AU129" s="938">
        <f t="shared" si="17"/>
        <v>0</v>
      </c>
      <c r="AV129" s="938">
        <f t="shared" si="18"/>
        <v>0</v>
      </c>
      <c r="AW129" s="938">
        <f t="shared" si="19"/>
        <v>0</v>
      </c>
      <c r="AX129" s="938">
        <f t="shared" si="20"/>
        <v>691.79815384005519</v>
      </c>
      <c r="AY129" s="938">
        <f t="shared" si="21"/>
        <v>100.01824006564989</v>
      </c>
      <c r="AZ129" s="938">
        <f t="shared" si="22"/>
        <v>145.37599564464188</v>
      </c>
      <c r="BA129" s="938">
        <f t="shared" si="23"/>
        <v>127.79704051540863</v>
      </c>
      <c r="BB129" s="938">
        <f t="shared" si="24"/>
        <v>27.565144015886887</v>
      </c>
      <c r="BC129" s="530">
        <f t="shared" si="53"/>
        <v>2228.8062963921579</v>
      </c>
      <c r="BD129" s="724">
        <f t="shared" si="54"/>
        <v>0</v>
      </c>
      <c r="BE129" s="436">
        <f t="shared" si="55"/>
        <v>0.19260433164468097</v>
      </c>
      <c r="BF129" s="624">
        <f t="shared" si="56"/>
        <v>0.24427439904921019</v>
      </c>
      <c r="BG129" s="624">
        <f t="shared" si="57"/>
        <v>7.2924083552373037E-2</v>
      </c>
      <c r="BH129" s="624">
        <f t="shared" si="58"/>
        <v>0</v>
      </c>
      <c r="BI129" s="624">
        <f t="shared" si="59"/>
        <v>0</v>
      </c>
      <c r="BJ129" s="624">
        <f t="shared" si="60"/>
        <v>0</v>
      </c>
      <c r="BK129" s="624">
        <f t="shared" si="61"/>
        <v>0.49019718575373583</v>
      </c>
      <c r="BL129" s="624">
        <f t="shared" si="62"/>
        <v>1</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77.431599559000702</v>
      </c>
      <c r="BW129" s="114">
        <f t="shared" si="65"/>
        <v>0.78426655772638909</v>
      </c>
      <c r="BX129" s="1686">
        <f t="shared" si="25"/>
        <v>0.40943377987423757</v>
      </c>
      <c r="BY129" s="527">
        <f t="shared" si="66"/>
        <v>77.431599559000702</v>
      </c>
      <c r="BZ129" s="417">
        <f t="shared" si="67"/>
        <v>0.78426655772638909</v>
      </c>
      <c r="CA129" s="544">
        <f t="shared" si="26"/>
        <v>0.40943377987423757</v>
      </c>
      <c r="CB129" s="649">
        <f t="shared" si="27"/>
        <v>0.45128319188420341</v>
      </c>
      <c r="CC129" s="525">
        <f t="shared" si="68"/>
        <v>0.42565713463836508</v>
      </c>
      <c r="CD129" s="417">
        <f t="shared" si="28"/>
        <v>0.45128319188420341</v>
      </c>
      <c r="CE129" s="525">
        <f t="shared" si="69"/>
        <v>0.42565713463836508</v>
      </c>
      <c r="CG129" s="527">
        <f t="shared" si="70"/>
        <v>1769.0136110563913</v>
      </c>
      <c r="CH129" s="528">
        <f t="shared" si="71"/>
        <v>684.74452424738195</v>
      </c>
      <c r="CI129" s="528">
        <f t="shared" si="72"/>
        <v>2832.6268884405922</v>
      </c>
      <c r="CJ129" s="528">
        <f t="shared" si="73"/>
        <v>4028.9321473106561</v>
      </c>
      <c r="CK129" s="528">
        <f t="shared" si="74"/>
        <v>54.553618454210223</v>
      </c>
      <c r="CL129" s="528">
        <f t="shared" si="75"/>
        <v>9369.8707895092321</v>
      </c>
      <c r="CM129" s="646">
        <f t="shared" si="76"/>
        <v>0</v>
      </c>
    </row>
    <row r="130" spans="1:91" ht="15.75" thickBot="1">
      <c r="A130" s="172">
        <f>'Input data'!A150</f>
        <v>2050</v>
      </c>
      <c r="B130" s="664">
        <f>'Input data'!B150</f>
        <v>81.063414687793369</v>
      </c>
      <c r="C130" s="239">
        <f>'Input data'!C150</f>
        <v>8589.119999999999</v>
      </c>
      <c r="D130" s="240">
        <f>'Input data'!D150</f>
        <v>212322.54260820278</v>
      </c>
      <c r="E130" s="650">
        <f>C51</f>
        <v>1</v>
      </c>
      <c r="F130" s="651">
        <f>D51</f>
        <v>0.36725000000000002</v>
      </c>
      <c r="G130" s="667">
        <f>B130*F130*'Input data'!$C$9</f>
        <v>911.18958104113335</v>
      </c>
      <c r="H130" s="670">
        <f>'Input data'!I150</f>
        <v>424.26313389388866</v>
      </c>
      <c r="I130" s="667">
        <f>'Input data'!K150</f>
        <v>34392.218359583101</v>
      </c>
      <c r="J130" s="667">
        <f t="shared" si="95"/>
        <v>2228.8062963921584</v>
      </c>
      <c r="K130" s="659">
        <f t="shared" si="78"/>
        <v>13753.892046742858</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12949.212872832946</v>
      </c>
      <c r="AA130" s="659">
        <f t="shared" si="81"/>
        <v>10720.406576440788</v>
      </c>
      <c r="AB130" s="1094">
        <f t="shared" si="42"/>
        <v>0.82788094393998835</v>
      </c>
      <c r="AC130" s="1105" t="str">
        <f t="shared" si="43"/>
        <v>Yes</v>
      </c>
      <c r="AD130" s="1094">
        <f t="shared" si="44"/>
        <v>0.82788094393998835</v>
      </c>
      <c r="AE130" s="650">
        <f t="shared" si="11"/>
        <v>0.45298925543142243</v>
      </c>
      <c r="AF130" s="659">
        <f t="shared" si="45"/>
        <v>232.07649276429416</v>
      </c>
      <c r="AG130" s="670">
        <f t="shared" si="46"/>
        <v>2228.8062963921584</v>
      </c>
      <c r="AH130" s="667">
        <f t="shared" si="82"/>
        <v>9427.4079000645725</v>
      </c>
      <c r="AI130" s="667">
        <f t="shared" si="83"/>
        <v>6437.6604656145792</v>
      </c>
      <c r="AJ130" s="667">
        <f t="shared" si="12"/>
        <v>719.03831016934589</v>
      </c>
      <c r="AK130" s="667">
        <f t="shared" si="47"/>
        <v>18812.912972240654</v>
      </c>
      <c r="AL130" s="717">
        <f t="shared" si="13"/>
        <v>0</v>
      </c>
      <c r="AM130" s="650">
        <f t="shared" si="48"/>
        <v>0.11847215259438386</v>
      </c>
      <c r="AN130" s="651">
        <f t="shared" si="49"/>
        <v>0.50111367197494405</v>
      </c>
      <c r="AO130" s="651">
        <f t="shared" si="50"/>
        <v>0.34219370892288997</v>
      </c>
      <c r="AP130" s="651">
        <f t="shared" si="51"/>
        <v>3.8220466507782234E-2</v>
      </c>
      <c r="AQ130" s="652">
        <f t="shared" si="52"/>
        <v>1.0000000000000002</v>
      </c>
      <c r="AR130" s="1474">
        <f t="shared" si="14"/>
        <v>430.0737092030754</v>
      </c>
      <c r="AS130" s="1475">
        <f t="shared" si="15"/>
        <v>545.44981395462435</v>
      </c>
      <c r="AT130" s="1475">
        <f t="shared" si="16"/>
        <v>162.29985023069335</v>
      </c>
      <c r="AU130" s="1475">
        <f t="shared" si="17"/>
        <v>0</v>
      </c>
      <c r="AV130" s="1475">
        <f t="shared" si="18"/>
        <v>0</v>
      </c>
      <c r="AW130" s="1475">
        <f t="shared" si="19"/>
        <v>0</v>
      </c>
      <c r="AX130" s="1475">
        <f t="shared" si="20"/>
        <v>690.80299502607056</v>
      </c>
      <c r="AY130" s="1475">
        <f t="shared" si="21"/>
        <v>99.874362790742367</v>
      </c>
      <c r="AZ130" s="1475">
        <f t="shared" si="22"/>
        <v>145.16687076825343</v>
      </c>
      <c r="BA130" s="1475">
        <f t="shared" si="23"/>
        <v>127.61320314815904</v>
      </c>
      <c r="BB130" s="1475">
        <f t="shared" si="24"/>
        <v>27.525491270539273</v>
      </c>
      <c r="BC130" s="659">
        <f t="shared" si="53"/>
        <v>2228.8062963921575</v>
      </c>
      <c r="BD130" s="725">
        <f t="shared" si="54"/>
        <v>0</v>
      </c>
      <c r="BE130" s="683">
        <f t="shared" si="55"/>
        <v>0.19296145649770011</v>
      </c>
      <c r="BF130" s="683">
        <f>AS130/BC130</f>
        <v>0.24472732997818697</v>
      </c>
      <c r="BG130" s="683">
        <f t="shared" si="57"/>
        <v>7.2819181502409375E-2</v>
      </c>
      <c r="BH130" s="683">
        <f t="shared" si="58"/>
        <v>0</v>
      </c>
      <c r="BI130" s="683">
        <f t="shared" si="59"/>
        <v>0</v>
      </c>
      <c r="BJ130" s="683">
        <f t="shared" si="60"/>
        <v>0</v>
      </c>
      <c r="BK130" s="683">
        <f t="shared" si="61"/>
        <v>0.48949203202170366</v>
      </c>
      <c r="BL130" s="683">
        <f t="shared" si="62"/>
        <v>1</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77.336343948774115</v>
      </c>
      <c r="BW130" s="651">
        <f t="shared" si="65"/>
        <v>0.79418799553728392</v>
      </c>
      <c r="BX130" s="1687">
        <f t="shared" si="25"/>
        <v>0.2123225426082028</v>
      </c>
      <c r="BY130" s="670">
        <f t="shared" si="66"/>
        <v>77.336343948774115</v>
      </c>
      <c r="BZ130" s="651">
        <f t="shared" si="67"/>
        <v>0.79418799553728392</v>
      </c>
      <c r="CA130" s="675">
        <f t="shared" si="26"/>
        <v>0.2123225426082028</v>
      </c>
      <c r="CB130" s="650">
        <f t="shared" si="27"/>
        <v>0.45298925543142243</v>
      </c>
      <c r="CC130" s="652">
        <f t="shared" si="68"/>
        <v>0.43482061258431981</v>
      </c>
      <c r="CD130" s="651">
        <f t="shared" si="28"/>
        <v>0.45298925543142243</v>
      </c>
      <c r="CE130" s="652">
        <f t="shared" si="69"/>
        <v>0.43482061258431981</v>
      </c>
      <c r="CG130" s="670">
        <f t="shared" si="70"/>
        <v>1779.8765070343395</v>
      </c>
      <c r="CH130" s="667">
        <f t="shared" si="71"/>
        <v>688.94930169616987</v>
      </c>
      <c r="CI130" s="667">
        <f t="shared" si="72"/>
        <v>2850.0210628218138</v>
      </c>
      <c r="CJ130" s="667">
        <f t="shared" si="73"/>
        <v>4053.672415302326</v>
      </c>
      <c r="CK130" s="667">
        <f t="shared" si="74"/>
        <v>54.888613209923193</v>
      </c>
      <c r="CL130" s="667">
        <f t="shared" si="75"/>
        <v>9427.4079000645725</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20" t="s">
        <v>602</v>
      </c>
      <c r="B134" s="1899"/>
      <c r="C134" s="1899"/>
      <c r="D134" s="1900"/>
      <c r="E134" s="1827" t="s">
        <v>603</v>
      </c>
      <c r="F134" s="1828"/>
      <c r="G134" s="1828"/>
      <c r="H134" s="1828"/>
      <c r="I134" s="1829"/>
      <c r="J134" s="1830" t="s">
        <v>604</v>
      </c>
      <c r="K134" s="1831"/>
      <c r="L134" s="1832"/>
      <c r="M134" s="1833" t="s">
        <v>757</v>
      </c>
      <c r="N134" s="1835" t="s">
        <v>607</v>
      </c>
      <c r="O134" s="1898"/>
      <c r="P134" s="1814" t="s">
        <v>594</v>
      </c>
      <c r="Q134" s="1816" t="s">
        <v>765</v>
      </c>
      <c r="R134" s="1816" t="s">
        <v>768</v>
      </c>
      <c r="S134" s="1816" t="s">
        <v>767</v>
      </c>
      <c r="T134" s="1848" t="s">
        <v>769</v>
      </c>
      <c r="U134" s="1881" t="s">
        <v>770</v>
      </c>
      <c r="V134" s="1818" t="s">
        <v>760</v>
      </c>
      <c r="W134" s="1820" t="s">
        <v>761</v>
      </c>
      <c r="X134" s="1883" t="s">
        <v>592</v>
      </c>
      <c r="Y134" s="1884"/>
      <c r="Z134" s="1884"/>
      <c r="AA134" s="1884"/>
      <c r="AB134" s="1884"/>
      <c r="AC134" s="1884"/>
      <c r="AD134" s="1884"/>
      <c r="AE134" s="1885"/>
      <c r="AF134" s="1885"/>
      <c r="AG134" s="1885"/>
      <c r="AH134" s="1885"/>
      <c r="AI134" s="1885"/>
      <c r="AJ134" s="1886"/>
      <c r="AK134" s="1892" t="s">
        <v>728</v>
      </c>
      <c r="AL134" s="1893"/>
      <c r="AM134" s="1893"/>
      <c r="AN134" s="1893"/>
      <c r="AO134" s="1894"/>
    </row>
    <row r="135" spans="1:91" ht="58.9" customHeight="1">
      <c r="A135" s="1823" t="s">
        <v>217</v>
      </c>
      <c r="B135" s="703" t="s">
        <v>218</v>
      </c>
      <c r="C135" s="703" t="s">
        <v>390</v>
      </c>
      <c r="D135" s="513" t="s">
        <v>629</v>
      </c>
      <c r="E135" s="704" t="s">
        <v>779</v>
      </c>
      <c r="F135" s="704" t="s">
        <v>780</v>
      </c>
      <c r="G135" s="704" t="s">
        <v>764</v>
      </c>
      <c r="H135" s="704" t="s">
        <v>597</v>
      </c>
      <c r="I135" s="704" t="s">
        <v>626</v>
      </c>
      <c r="J135" s="1461" t="s">
        <v>326</v>
      </c>
      <c r="K135" s="1633" t="s">
        <v>758</v>
      </c>
      <c r="L135" s="706" t="s">
        <v>759</v>
      </c>
      <c r="M135" s="1834"/>
      <c r="N135" s="508" t="s">
        <v>605</v>
      </c>
      <c r="O135" s="511" t="s">
        <v>606</v>
      </c>
      <c r="P135" s="1815"/>
      <c r="Q135" s="1817"/>
      <c r="R135" s="1817"/>
      <c r="S135" s="1817"/>
      <c r="T135" s="1849"/>
      <c r="U135" s="1882"/>
      <c r="V135" s="1819"/>
      <c r="W135" s="1821"/>
      <c r="X135" s="1464" t="s">
        <v>473</v>
      </c>
      <c r="Y135" s="1465" t="s">
        <v>489</v>
      </c>
      <c r="Z135" s="1465" t="s">
        <v>808</v>
      </c>
      <c r="AA135" s="1465" t="s">
        <v>377</v>
      </c>
      <c r="AB135" s="1465" t="s">
        <v>477</v>
      </c>
      <c r="AC135" s="1465" t="s">
        <v>225</v>
      </c>
      <c r="AD135" s="713" t="s">
        <v>617</v>
      </c>
      <c r="AE135" s="1092" t="s">
        <v>473</v>
      </c>
      <c r="AF135" s="1463" t="s">
        <v>489</v>
      </c>
      <c r="AG135" s="1463" t="s">
        <v>376</v>
      </c>
      <c r="AH135" s="1463" t="s">
        <v>377</v>
      </c>
      <c r="AI135" s="1463" t="s">
        <v>477</v>
      </c>
      <c r="AJ135" s="718" t="s">
        <v>225</v>
      </c>
      <c r="AK135" s="1464" t="s">
        <v>724</v>
      </c>
      <c r="AL135" s="1465" t="s">
        <v>493</v>
      </c>
      <c r="AM135" s="1465" t="s">
        <v>725</v>
      </c>
      <c r="AN135" s="1465" t="s">
        <v>225</v>
      </c>
      <c r="AO135" s="713" t="s">
        <v>617</v>
      </c>
    </row>
    <row r="136" spans="1:91" ht="61.15" customHeight="1" thickBot="1">
      <c r="A136" s="1850"/>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1472" t="s">
        <v>229</v>
      </c>
      <c r="O136" s="1642" t="s">
        <v>228</v>
      </c>
      <c r="P136" s="1115" t="s">
        <v>228</v>
      </c>
      <c r="Q136" s="1116" t="s">
        <v>228</v>
      </c>
      <c r="R136" s="1116" t="s">
        <v>228</v>
      </c>
      <c r="S136" s="1117" t="s">
        <v>28</v>
      </c>
      <c r="T136" s="1849"/>
      <c r="U136" s="1117" t="s">
        <v>28</v>
      </c>
      <c r="V136" s="1116" t="s">
        <v>228</v>
      </c>
      <c r="W136" s="1496" t="s">
        <v>28</v>
      </c>
      <c r="X136" s="191" t="s">
        <v>228</v>
      </c>
      <c r="Y136" s="1095" t="s">
        <v>228</v>
      </c>
      <c r="Z136" s="1095" t="s">
        <v>228</v>
      </c>
      <c r="AA136" s="1095" t="s">
        <v>228</v>
      </c>
      <c r="AB136" s="1095" t="s">
        <v>228</v>
      </c>
      <c r="AC136" s="1095" t="s">
        <v>228</v>
      </c>
      <c r="AD136" s="1096" t="s">
        <v>762</v>
      </c>
      <c r="AE136" s="1093" t="s">
        <v>229</v>
      </c>
      <c r="AF136" s="711" t="s">
        <v>229</v>
      </c>
      <c r="AG136" s="711" t="s">
        <v>229</v>
      </c>
      <c r="AH136" s="711" t="s">
        <v>229</v>
      </c>
      <c r="AI136" s="711" t="s">
        <v>229</v>
      </c>
      <c r="AJ136" s="1176"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3117.5115237718705</v>
      </c>
      <c r="D137" s="738">
        <f>'Input data'!D117</f>
        <v>49995051</v>
      </c>
      <c r="E137" s="956">
        <f>'Input data'!J117*C137</f>
        <v>37506.923384615395</v>
      </c>
      <c r="F137" s="957">
        <f>'Input data'!L117</f>
        <v>87501.974384615402</v>
      </c>
      <c r="G137" s="957">
        <f>F137*B11</f>
        <v>68439.708347615408</v>
      </c>
      <c r="H137" s="677">
        <f t="shared" ref="H137" si="96">E137*$B$12+I137*$E$80-G137</f>
        <v>0</v>
      </c>
      <c r="I137" s="1467">
        <f>D137/1000</f>
        <v>49995.050999999999</v>
      </c>
      <c r="J137" s="647">
        <f>H17</f>
        <v>6.154773859516615E-2</v>
      </c>
      <c r="K137" s="1501">
        <f>(I137)*J137-(I137)*$J$137</f>
        <v>0</v>
      </c>
      <c r="L137" s="1501">
        <f>(E137)*$C$12*$G$12-(E137)*$C$12*$G$12</f>
        <v>0</v>
      </c>
      <c r="M137" s="1501">
        <f>L137+K137</f>
        <v>0</v>
      </c>
      <c r="N137" s="1453">
        <v>0</v>
      </c>
      <c r="O137" s="1503">
        <f>N137*$E$137*($C$85)*$B$12</f>
        <v>0</v>
      </c>
      <c r="P137" s="1688">
        <f>O137+M137</f>
        <v>0</v>
      </c>
      <c r="Q137" s="1484">
        <f>E137*$B$12+(1-$J$137)*I137-P137</f>
        <v>68439.708347615408</v>
      </c>
      <c r="R137" s="1484">
        <f>Q137-G137</f>
        <v>0</v>
      </c>
      <c r="S137" s="1119">
        <f>R137/(Q137-I137*(1-J137))</f>
        <v>0</v>
      </c>
      <c r="T137" s="1489" t="str">
        <f>IF(AND(S137&gt;=0,S137&lt;=1),"Yes","No")</f>
        <v>Yes</v>
      </c>
      <c r="U137" s="1119">
        <f>IF(S137&lt;=0,0,IF(S137&gt;=1,1,S137))</f>
        <v>0</v>
      </c>
      <c r="V137" s="1493">
        <f t="shared" ref="V137:V170" si="97">AC137</f>
        <v>87501.974384615402</v>
      </c>
      <c r="W137" s="1490">
        <f t="shared" ref="W137:W170" si="98">(1-V137/F137)</f>
        <v>0</v>
      </c>
      <c r="X137" s="956">
        <f>(E137*$B$12-O137-L137)*(1-U137)+I137*(1-J137)</f>
        <v>68439.708347615408</v>
      </c>
      <c r="Y137" s="1501">
        <f>I137*J137+E137*$G$12*$C$12</f>
        <v>6080.5670370000007</v>
      </c>
      <c r="Z137" s="957">
        <f>($C$12*$H$12*E137+O137)</f>
        <v>1694.9190000000001</v>
      </c>
      <c r="AA137" s="957">
        <f>$F$137*$D$11</f>
        <v>0</v>
      </c>
      <c r="AB137" s="957">
        <f>E137*$E$12</f>
        <v>11286.78</v>
      </c>
      <c r="AC137" s="957">
        <f>SUM(X137:AB137)</f>
        <v>87501.974384615402</v>
      </c>
      <c r="AD137" s="1486">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7">
        <f>I137*(1-$J$137)-K137</f>
        <v>46917.968670000002</v>
      </c>
      <c r="AL137" s="1498">
        <f>(E137*$C$86*$B$12-L137)*(1-U137)</f>
        <v>20017.905677615392</v>
      </c>
      <c r="AM137" s="1498">
        <f>(E137*($C$85)*$B$12-O137)*(1-U137)</f>
        <v>1503.8340000000005</v>
      </c>
      <c r="AN137" s="1498">
        <f>SUM(AK137:AM137)</f>
        <v>68439.708347615393</v>
      </c>
      <c r="AO137" s="1563">
        <f>AN137-X137</f>
        <v>0</v>
      </c>
    </row>
    <row r="138" spans="1:91">
      <c r="A138" s="127">
        <f>'Input data'!A118</f>
        <v>2018</v>
      </c>
      <c r="B138" s="662">
        <f>'Input data'!B118</f>
        <v>57.436000617299655</v>
      </c>
      <c r="C138" s="236">
        <f>'Input data'!C118</f>
        <v>3154.0370052724184</v>
      </c>
      <c r="D138" s="236">
        <f>'Input data'!D118</f>
        <v>50359792.847133137</v>
      </c>
      <c r="E138" s="527">
        <f>'Input data'!J118*C138</f>
        <v>37946.363119089809</v>
      </c>
      <c r="F138" s="528">
        <f>'Input data'!L118</f>
        <v>88306.155966222956</v>
      </c>
      <c r="G138" s="528">
        <f>$G$137*(1+((($G$150/$G$137)^(1/($A$150-$A$137)))-1))^(A138-$A$137)</f>
        <v>64886.148572305057</v>
      </c>
      <c r="H138" s="528">
        <f>E138*$B$12+I138*$E$80-G138</f>
        <v>4148.0062349192594</v>
      </c>
      <c r="I138" s="530">
        <f t="shared" ref="I138:I170" si="99">D138/1000</f>
        <v>50359.79284713314</v>
      </c>
      <c r="J138" s="417">
        <f t="shared" ref="J138:J148" si="100">$J$137*(1+((($J$150/$J$137)^(1/($A$150-$A$137)))-1))^(A138-$A$137)</f>
        <v>6.7388021833337503E-2</v>
      </c>
      <c r="K138" s="1512">
        <f>(I138)*J138-(I138)*$J$137</f>
        <v>294.11545404289336</v>
      </c>
      <c r="L138" s="1512">
        <f t="shared" ref="L138:L170" si="101">(E138)*$C$12*$G$12-(E138)*$C$12*$G$12</f>
        <v>0</v>
      </c>
      <c r="M138" s="1509">
        <f>L138+K138</f>
        <v>294.11545404289336</v>
      </c>
      <c r="N138" s="1454">
        <f>($N$142-$N$137)/($A$102-$A$97)+N137</f>
        <v>0.05</v>
      </c>
      <c r="O138" s="1511">
        <f t="shared" ref="O138:O170" si="102">N138*$E$137*($C$85)*$B$12</f>
        <v>75.191700000000026</v>
      </c>
      <c r="P138" s="1689">
        <f>O138+M138</f>
        <v>369.30715404289339</v>
      </c>
      <c r="Q138" s="1364">
        <f t="shared" ref="Q138:Q170" si="103">E138*$B$12+(1-$J$137)*I138-P138</f>
        <v>68664.847653181423</v>
      </c>
      <c r="R138" s="1364">
        <f>Q138-G138</f>
        <v>3778.6990808763658</v>
      </c>
      <c r="S138" s="1091">
        <f t="shared" ref="S138:S170" si="104">R138/(Q138-I138*(1-J138))</f>
        <v>0.1741440177396035</v>
      </c>
      <c r="T138" s="135" t="str">
        <f t="shared" ref="T138:T170" si="105">IF(AND(S138&gt;=0,S138&lt;=1),"Yes","No")</f>
        <v>Yes</v>
      </c>
      <c r="U138" s="1091">
        <f t="shared" ref="U138:U170" si="106">IF(S138&lt;=0,0,IF(S138&gt;=1,1,S138))</f>
        <v>0.1741440177396035</v>
      </c>
      <c r="V138" s="1494">
        <f t="shared" si="97"/>
        <v>84527.45688534659</v>
      </c>
      <c r="W138" s="1491">
        <f t="shared" si="98"/>
        <v>4.2790890844820795E-2</v>
      </c>
      <c r="X138" s="527">
        <f t="shared" ref="X138:X170" si="107">(E138*$B$12-O138-L138)*(1-U138)+I138*(1-J138)</f>
        <v>64886.148572305057</v>
      </c>
      <c r="Y138" s="1509">
        <f t="shared" ref="Y138:Y170" si="108">I138*J138+E138*$G$12*$C$12</f>
        <v>6432.32104401378</v>
      </c>
      <c r="Z138" s="528">
        <f t="shared" ref="Z138:Z170" si="109">($C$12*$H$12*E138+O138)</f>
        <v>1789.9687605419947</v>
      </c>
      <c r="AA138" s="528">
        <f t="shared" ref="AA138:AA170" si="110">$F$137*$D$11</f>
        <v>0</v>
      </c>
      <c r="AB138" s="528">
        <f t="shared" ref="AB138:AB170" si="111">E138*$E$12</f>
        <v>11419.018508485759</v>
      </c>
      <c r="AC138" s="528">
        <f t="shared" ref="AC138:AC170" si="112">SUM(X138:AB138)</f>
        <v>84527.45688534659</v>
      </c>
      <c r="AD138" s="1487">
        <f t="shared" ref="AD138:AD170" si="113">X138-G138</f>
        <v>0</v>
      </c>
      <c r="AE138" s="417">
        <f t="shared" ref="AE138:AE170" si="114">X138/AC138</f>
        <v>0.76763398501763647</v>
      </c>
      <c r="AF138" s="417">
        <f t="shared" ref="AF138:AF170" si="115">Y138/AC138</f>
        <v>7.6097415928869219E-2</v>
      </c>
      <c r="AG138" s="417">
        <f t="shared" ref="AG138:AG170" si="116">Z138/AC138</f>
        <v>2.117618140304299E-2</v>
      </c>
      <c r="AH138" s="417">
        <f>AA138/AC138</f>
        <v>0</v>
      </c>
      <c r="AI138" s="417">
        <f t="shared" ref="AI138:AI169" si="117">AB138/AC138</f>
        <v>0.13509241765045132</v>
      </c>
      <c r="AJ138" s="525">
        <f t="shared" ref="AJ138:AJ170" si="118">SUM(AE138:AI138)</f>
        <v>1</v>
      </c>
      <c r="AK138" s="1497">
        <f t="shared" ref="AK138:AK170" si="119">I138*(1-$J$137)-K138</f>
        <v>46966.146027228184</v>
      </c>
      <c r="AL138" s="1498">
        <f t="shared" ref="AL138:AL170" si="120">(E138*$C$86*$B$12-L138)*(1-U138)</f>
        <v>16725.598779901986</v>
      </c>
      <c r="AM138" s="1498">
        <f t="shared" ref="AM138:AM170" si="121">(E138*($C$85)*$B$12-O138)*(1-U138)</f>
        <v>1194.4037651748863</v>
      </c>
      <c r="AN138" s="1498">
        <f t="shared" ref="AN138:AN170" si="122">SUM(AK138:AM138)</f>
        <v>64886.148572305057</v>
      </c>
      <c r="AO138" s="1563">
        <f t="shared" ref="AO138:AO170" si="123">AN138-X138</f>
        <v>0</v>
      </c>
    </row>
    <row r="139" spans="1:91">
      <c r="A139" s="127">
        <f>'Input data'!A119</f>
        <v>2019</v>
      </c>
      <c r="B139" s="662">
        <f>'Input data'!B119</f>
        <v>58.364834921819444</v>
      </c>
      <c r="C139" s="236">
        <f>'Input data'!C119</f>
        <v>4436.7699999999986</v>
      </c>
      <c r="D139" s="236">
        <f>'Input data'!D119</f>
        <v>53464172.913892828</v>
      </c>
      <c r="E139" s="527">
        <f>'Input data'!J119*C139</f>
        <v>53378.982305676094</v>
      </c>
      <c r="F139" s="528">
        <f>'Input data'!L119</f>
        <v>106843.15521956893</v>
      </c>
      <c r="G139" s="528">
        <f t="shared" ref="G139:G149" si="124">$G$137*(1+((($G$150/$G$137)^(1/($A$150-$A$137)))-1))^(A139-$A$137)</f>
        <v>61517.098453473154</v>
      </c>
      <c r="H139" s="528">
        <f t="shared" ref="H139:H170" si="125">E139*$B$12+I139*$E$80-G139</f>
        <v>19285.715613153152</v>
      </c>
      <c r="I139" s="530">
        <f t="shared" si="99"/>
        <v>53464.172913892828</v>
      </c>
      <c r="J139" s="417">
        <f t="shared" si="100"/>
        <v>7.3782491286642105E-2</v>
      </c>
      <c r="K139" s="1512">
        <f t="shared" ref="K139:K170" si="126">(I139)*J139-(I139)*$J$137</f>
        <v>654.12093345578569</v>
      </c>
      <c r="L139" s="1512">
        <f t="shared" si="101"/>
        <v>0</v>
      </c>
      <c r="M139" s="1509">
        <f t="shared" ref="M139:M170" si="127">L139+K139</f>
        <v>654.12093345578569</v>
      </c>
      <c r="N139" s="1454">
        <f>($N$142-$N$137)/($A$102-$A$97)+N138</f>
        <v>0.1</v>
      </c>
      <c r="O139" s="1511">
        <f t="shared" si="102"/>
        <v>150.38340000000005</v>
      </c>
      <c r="P139" s="1689">
        <f>O139+M139</f>
        <v>804.50433345578574</v>
      </c>
      <c r="Q139" s="1364">
        <f t="shared" si="103"/>
        <v>79998.309733170521</v>
      </c>
      <c r="R139" s="1364">
        <f t="shared" ref="R139:R170" si="128">Q139-G139</f>
        <v>18481.211279697367</v>
      </c>
      <c r="S139" s="1091">
        <f t="shared" si="104"/>
        <v>0.60636169744795854</v>
      </c>
      <c r="T139" s="135" t="str">
        <f t="shared" si="105"/>
        <v>Yes</v>
      </c>
      <c r="U139" s="1091">
        <f t="shared" si="106"/>
        <v>0.60636169744795854</v>
      </c>
      <c r="V139" s="1494">
        <f>AC139</f>
        <v>88361.943939871562</v>
      </c>
      <c r="W139" s="1491">
        <f t="shared" si="98"/>
        <v>0.17297515448432232</v>
      </c>
      <c r="X139" s="527">
        <f t="shared" si="107"/>
        <v>61517.098453473154</v>
      </c>
      <c r="Y139" s="1509">
        <f t="shared" si="108"/>
        <v>8219.2095546792298</v>
      </c>
      <c r="Z139" s="528">
        <f t="shared" si="109"/>
        <v>2562.5527582487894</v>
      </c>
      <c r="AA139" s="528">
        <f t="shared" si="110"/>
        <v>0</v>
      </c>
      <c r="AB139" s="528">
        <f t="shared" si="111"/>
        <v>16063.083173470395</v>
      </c>
      <c r="AC139" s="528">
        <f t="shared" si="112"/>
        <v>88361.943939871562</v>
      </c>
      <c r="AD139" s="1487">
        <f t="shared" si="113"/>
        <v>0</v>
      </c>
      <c r="AE139" s="417">
        <f t="shared" si="114"/>
        <v>0.69619448951161877</v>
      </c>
      <c r="AF139" s="417">
        <f t="shared" si="115"/>
        <v>9.3017527548649545E-2</v>
      </c>
      <c r="AG139" s="417">
        <f t="shared" si="116"/>
        <v>2.9000638102671807E-2</v>
      </c>
      <c r="AH139" s="417">
        <f t="shared" ref="AH139:AH170" si="129">AA139/AC139</f>
        <v>0</v>
      </c>
      <c r="AI139" s="417">
        <f t="shared" si="117"/>
        <v>0.18178734483705999</v>
      </c>
      <c r="AJ139" s="525">
        <f t="shared" si="118"/>
        <v>1.0000000000000002</v>
      </c>
      <c r="AK139" s="1497">
        <f t="shared" si="119"/>
        <v>49519.453041726003</v>
      </c>
      <c r="AL139" s="1498">
        <f t="shared" si="120"/>
        <v>11214.368870906917</v>
      </c>
      <c r="AM139" s="1498">
        <f t="shared" si="121"/>
        <v>783.27654084022697</v>
      </c>
      <c r="AN139" s="1498">
        <f t="shared" si="122"/>
        <v>61517.098453473147</v>
      </c>
      <c r="AO139" s="1563">
        <f t="shared" si="123"/>
        <v>0</v>
      </c>
    </row>
    <row r="140" spans="1:91">
      <c r="A140" s="127">
        <f>'Input data'!A120</f>
        <v>2020</v>
      </c>
      <c r="B140" s="662">
        <f>'Input data'!B120</f>
        <v>59.233695328537607</v>
      </c>
      <c r="C140" s="236">
        <f>'Input data'!C120</f>
        <v>4157.24</v>
      </c>
      <c r="D140" s="236">
        <f>'Input data'!D120</f>
        <v>51247282.188414559</v>
      </c>
      <c r="E140" s="527">
        <f>'Input data'!J120*C140</f>
        <v>50015.944121613007</v>
      </c>
      <c r="F140" s="528">
        <f>'Input data'!L120</f>
        <v>101263.22631002756</v>
      </c>
      <c r="G140" s="528">
        <f t="shared" si="124"/>
        <v>58322.977791126912</v>
      </c>
      <c r="H140" s="528">
        <f t="shared" si="125"/>
        <v>18469.654906915785</v>
      </c>
      <c r="I140" s="530">
        <f t="shared" si="99"/>
        <v>51247.28218841456</v>
      </c>
      <c r="J140" s="417">
        <f t="shared" si="100"/>
        <v>8.0783733850016193E-2</v>
      </c>
      <c r="K140" s="1512">
        <f t="shared" si="126"/>
        <v>985.79247700030373</v>
      </c>
      <c r="L140" s="1512">
        <f t="shared" si="101"/>
        <v>0</v>
      </c>
      <c r="M140" s="1509">
        <f t="shared" si="127"/>
        <v>985.79247700030373</v>
      </c>
      <c r="N140" s="1454">
        <f>($N$142-$N$137)/($A$102-$A$97)+N139</f>
        <v>0.15000000000000002</v>
      </c>
      <c r="O140" s="1511">
        <f t="shared" si="102"/>
        <v>225.57510000000011</v>
      </c>
      <c r="P140" s="1689">
        <f t="shared" ref="P140:P170" si="130">O140+M140</f>
        <v>1211.3675770003038</v>
      </c>
      <c r="Q140" s="1364">
        <f t="shared" si="103"/>
        <v>75581.265121042394</v>
      </c>
      <c r="R140" s="1364">
        <f t="shared" si="128"/>
        <v>17258.287329915482</v>
      </c>
      <c r="S140" s="1091">
        <f t="shared" si="104"/>
        <v>0.60610837664611317</v>
      </c>
      <c r="T140" s="135" t="str">
        <f t="shared" si="105"/>
        <v>Yes</v>
      </c>
      <c r="U140" s="1091">
        <f t="shared" si="106"/>
        <v>0.60610837664611317</v>
      </c>
      <c r="V140" s="1494">
        <f t="shared" si="97"/>
        <v>84004.9389801121</v>
      </c>
      <c r="W140" s="1491">
        <f t="shared" si="98"/>
        <v>0.17042995723914101</v>
      </c>
      <c r="X140" s="527">
        <f t="shared" si="107"/>
        <v>58322.977791126912</v>
      </c>
      <c r="Y140" s="1509">
        <f t="shared" si="108"/>
        <v>8145.1306407730171</v>
      </c>
      <c r="Z140" s="528">
        <f t="shared" si="109"/>
        <v>2485.7704544777393</v>
      </c>
      <c r="AA140" s="528">
        <f t="shared" si="110"/>
        <v>0</v>
      </c>
      <c r="AB140" s="528">
        <f t="shared" si="111"/>
        <v>15051.060093734426</v>
      </c>
      <c r="AC140" s="528">
        <f t="shared" si="112"/>
        <v>84004.9389801121</v>
      </c>
      <c r="AD140" s="1487">
        <f t="shared" si="113"/>
        <v>0</v>
      </c>
      <c r="AE140" s="417">
        <f t="shared" si="114"/>
        <v>0.69428034231338098</v>
      </c>
      <c r="AF140" s="417">
        <f t="shared" si="115"/>
        <v>9.6960139959167774E-2</v>
      </c>
      <c r="AG140" s="417">
        <f t="shared" si="116"/>
        <v>2.9590765550895019E-2</v>
      </c>
      <c r="AH140" s="417">
        <f t="shared" si="129"/>
        <v>0</v>
      </c>
      <c r="AI140" s="417">
        <f t="shared" si="117"/>
        <v>0.17916875217655615</v>
      </c>
      <c r="AJ140" s="525">
        <f t="shared" si="118"/>
        <v>0.99999999999999989</v>
      </c>
      <c r="AK140" s="1497">
        <f t="shared" si="119"/>
        <v>47107.335383569007</v>
      </c>
      <c r="AL140" s="1498">
        <f t="shared" si="120"/>
        <v>10514.591711565148</v>
      </c>
      <c r="AM140" s="1498">
        <f t="shared" si="121"/>
        <v>701.05069599275589</v>
      </c>
      <c r="AN140" s="1498">
        <f t="shared" si="122"/>
        <v>58322.977791126912</v>
      </c>
      <c r="AO140" s="1563">
        <f t="shared" si="123"/>
        <v>0</v>
      </c>
    </row>
    <row r="141" spans="1:91">
      <c r="A141" s="127">
        <f>'Input data'!A121</f>
        <v>2021</v>
      </c>
      <c r="B141" s="662">
        <f>'Input data'!B121</f>
        <v>60.170135702880636</v>
      </c>
      <c r="C141" s="236">
        <f>'Input data'!C121</f>
        <v>4296.6100000000006</v>
      </c>
      <c r="D141" s="1550">
        <f>'Input data'!D121</f>
        <v>50719928.257477686</v>
      </c>
      <c r="E141" s="1508">
        <f>'Input data'!J121*C141</f>
        <v>51692.710950621971</v>
      </c>
      <c r="F141" s="1509">
        <f>'Input data'!L121</f>
        <v>102412.63920809966</v>
      </c>
      <c r="G141" s="1509">
        <f t="shared" si="124"/>
        <v>55294.7038130703</v>
      </c>
      <c r="H141" s="1509">
        <f t="shared" si="125"/>
        <v>21965.173140552288</v>
      </c>
      <c r="I141" s="1511">
        <f t="shared" si="99"/>
        <v>50719.928257477688</v>
      </c>
      <c r="J141" s="417">
        <f t="shared" si="100"/>
        <v>8.8449326404511766E-2</v>
      </c>
      <c r="K141" s="1512">
        <f t="shared" si="126"/>
        <v>1364.4466037022457</v>
      </c>
      <c r="L141" s="1512">
        <f t="shared" si="101"/>
        <v>0</v>
      </c>
      <c r="M141" s="1509">
        <f t="shared" si="127"/>
        <v>1364.4466037022457</v>
      </c>
      <c r="N141" s="1454">
        <f>($N$142-$N$137)/($A$102-$A$97)+N140</f>
        <v>0.2</v>
      </c>
      <c r="O141" s="1511">
        <f t="shared" si="102"/>
        <v>300.7668000000001</v>
      </c>
      <c r="P141" s="1689">
        <f t="shared" si="130"/>
        <v>1665.2134037022458</v>
      </c>
      <c r="Q141" s="1364">
        <f t="shared" si="103"/>
        <v>75594.66354992034</v>
      </c>
      <c r="R141" s="1364">
        <f t="shared" si="128"/>
        <v>20299.95973685004</v>
      </c>
      <c r="S141" s="1091">
        <f t="shared" si="104"/>
        <v>0.69139482804665986</v>
      </c>
      <c r="T141" s="135" t="str">
        <f t="shared" si="105"/>
        <v>Yes</v>
      </c>
      <c r="U141" s="1091">
        <f t="shared" si="106"/>
        <v>0.69139482804665986</v>
      </c>
      <c r="V141" s="1494">
        <f t="shared" si="97"/>
        <v>82112.679471249619</v>
      </c>
      <c r="W141" s="1491">
        <f t="shared" si="98"/>
        <v>0.19821732838659767</v>
      </c>
      <c r="X141" s="527">
        <f t="shared" si="107"/>
        <v>55294.7038130703</v>
      </c>
      <c r="Y141" s="1509">
        <f t="shared" si="108"/>
        <v>8625.5996964896258</v>
      </c>
      <c r="Z141" s="528">
        <f t="shared" si="109"/>
        <v>2636.7344039878863</v>
      </c>
      <c r="AA141" s="528">
        <f t="shared" si="110"/>
        <v>0</v>
      </c>
      <c r="AB141" s="528">
        <f t="shared" si="111"/>
        <v>15555.641557701811</v>
      </c>
      <c r="AC141" s="528">
        <f t="shared" si="112"/>
        <v>82112.679471249619</v>
      </c>
      <c r="AD141" s="1487">
        <f t="shared" si="113"/>
        <v>0</v>
      </c>
      <c r="AE141" s="417">
        <f t="shared" si="114"/>
        <v>0.67340031002679457</v>
      </c>
      <c r="AF141" s="417">
        <f t="shared" si="115"/>
        <v>0.10504589244965189</v>
      </c>
      <c r="AG141" s="417">
        <f t="shared" si="116"/>
        <v>3.2111172366639122E-2</v>
      </c>
      <c r="AH141" s="417">
        <f t="shared" si="129"/>
        <v>0</v>
      </c>
      <c r="AI141" s="417">
        <f t="shared" si="117"/>
        <v>0.18944262515691451</v>
      </c>
      <c r="AJ141" s="525">
        <f t="shared" si="118"/>
        <v>1</v>
      </c>
      <c r="AK141" s="1497">
        <f t="shared" si="119"/>
        <v>46233.78476781863</v>
      </c>
      <c r="AL141" s="1498">
        <f t="shared" si="120"/>
        <v>8514.1188081633954</v>
      </c>
      <c r="AM141" s="1498">
        <f t="shared" si="121"/>
        <v>546.80023708827991</v>
      </c>
      <c r="AN141" s="1498">
        <f t="shared" si="122"/>
        <v>55294.703813070308</v>
      </c>
      <c r="AO141" s="1563">
        <f t="shared" si="123"/>
        <v>0</v>
      </c>
    </row>
    <row r="142" spans="1:91">
      <c r="A142" s="873">
        <f>'Input data'!A122</f>
        <v>2022</v>
      </c>
      <c r="B142" s="1551">
        <f>'Input data'!B122</f>
        <v>61.14166465104848</v>
      </c>
      <c r="C142" s="1550">
        <f>'Input data'!C122</f>
        <v>4408.5100000000011</v>
      </c>
      <c r="D142" s="1550">
        <f>'Input data'!D122</f>
        <v>50359792.847133137</v>
      </c>
      <c r="E142" s="1508">
        <f>'Input data'!J122*C142</f>
        <v>53038.984956262379</v>
      </c>
      <c r="F142" s="1509">
        <f>'Input data'!L122</f>
        <v>103398.77780339553</v>
      </c>
      <c r="G142" s="1509">
        <f t="shared" si="124"/>
        <v>52423.665347216396</v>
      </c>
      <c r="H142" s="1509">
        <f t="shared" si="125"/>
        <v>25270.743325713054</v>
      </c>
      <c r="I142" s="1511">
        <f t="shared" si="99"/>
        <v>50359.79284713314</v>
      </c>
      <c r="J142" s="417">
        <f t="shared" si="100"/>
        <v>9.6842309318564565E-2</v>
      </c>
      <c r="K142" s="1512">
        <f t="shared" si="126"/>
        <v>1777.4272702588346</v>
      </c>
      <c r="L142" s="1512">
        <f t="shared" si="101"/>
        <v>0</v>
      </c>
      <c r="M142" s="1509">
        <f t="shared" si="127"/>
        <v>1777.4272702588346</v>
      </c>
      <c r="N142" s="1454">
        <f>$C$26</f>
        <v>0.25</v>
      </c>
      <c r="O142" s="1511">
        <f t="shared" si="102"/>
        <v>375.95850000000013</v>
      </c>
      <c r="P142" s="1689">
        <f t="shared" si="130"/>
        <v>2153.3857702588348</v>
      </c>
      <c r="Q142" s="1364">
        <f t="shared" si="103"/>
        <v>75541.022902670622</v>
      </c>
      <c r="R142" s="1364">
        <f t="shared" si="128"/>
        <v>23117.357555454226</v>
      </c>
      <c r="S142" s="1091">
        <f t="shared" si="104"/>
        <v>0.76908684660262494</v>
      </c>
      <c r="T142" s="135" t="str">
        <f t="shared" si="105"/>
        <v>Yes</v>
      </c>
      <c r="U142" s="1091">
        <f t="shared" si="106"/>
        <v>0.76908684660262494</v>
      </c>
      <c r="V142" s="1494">
        <f t="shared" si="97"/>
        <v>80281.420247941307</v>
      </c>
      <c r="W142" s="1491">
        <f t="shared" si="98"/>
        <v>0.2235747660326316</v>
      </c>
      <c r="X142" s="527">
        <f t="shared" si="107"/>
        <v>52423.665347216389</v>
      </c>
      <c r="Y142" s="1509">
        <f t="shared" si="108"/>
        <v>9124.2219628772546</v>
      </c>
      <c r="Z142" s="528">
        <f t="shared" si="109"/>
        <v>2772.7635490634798</v>
      </c>
      <c r="AA142" s="528">
        <f t="shared" si="110"/>
        <v>0</v>
      </c>
      <c r="AB142" s="528">
        <f t="shared" si="111"/>
        <v>15960.769388784185</v>
      </c>
      <c r="AC142" s="528">
        <f t="shared" si="112"/>
        <v>80281.420247941307</v>
      </c>
      <c r="AD142" s="1487">
        <f t="shared" si="113"/>
        <v>0</v>
      </c>
      <c r="AE142" s="417">
        <f t="shared" si="114"/>
        <v>0.6529987285390696</v>
      </c>
      <c r="AF142" s="417">
        <f t="shared" si="115"/>
        <v>0.11365297144342973</v>
      </c>
      <c r="AG142" s="417">
        <f t="shared" si="116"/>
        <v>3.4538048037766035E-2</v>
      </c>
      <c r="AH142" s="417">
        <f t="shared" si="129"/>
        <v>0</v>
      </c>
      <c r="AI142" s="417">
        <f t="shared" si="117"/>
        <v>0.19881025197973468</v>
      </c>
      <c r="AJ142" s="525">
        <f t="shared" si="118"/>
        <v>1</v>
      </c>
      <c r="AK142" s="1497">
        <f t="shared" si="119"/>
        <v>45482.834211012239</v>
      </c>
      <c r="AL142" s="1498">
        <f t="shared" si="120"/>
        <v>6536.5874149100318</v>
      </c>
      <c r="AM142" s="1498">
        <f t="shared" si="121"/>
        <v>404.24372129411944</v>
      </c>
      <c r="AN142" s="1498">
        <f t="shared" si="122"/>
        <v>52423.665347216396</v>
      </c>
      <c r="AO142" s="1563">
        <f t="shared" si="123"/>
        <v>0</v>
      </c>
    </row>
    <row r="143" spans="1:91">
      <c r="A143" s="873">
        <f>'Input data'!A123</f>
        <v>2023</v>
      </c>
      <c r="B143" s="1551">
        <f>'Input data'!B123</f>
        <v>62.126086164056694</v>
      </c>
      <c r="C143" s="1550">
        <f>'Input data'!C123</f>
        <v>4511.7199999999984</v>
      </c>
      <c r="D143" s="1550">
        <f>'Input data'!D123</f>
        <v>48748213.106871188</v>
      </c>
      <c r="E143" s="1508">
        <f>'Input data'!J123*C143</f>
        <v>54280.70917540574</v>
      </c>
      <c r="F143" s="1509">
        <f>'Input data'!L123</f>
        <v>103028.92228227694</v>
      </c>
      <c r="G143" s="1509">
        <f t="shared" si="124"/>
        <v>49701.698334937471</v>
      </c>
      <c r="H143" s="1509">
        <f t="shared" si="125"/>
        <v>27192.829884006329</v>
      </c>
      <c r="I143" s="1511">
        <f t="shared" si="99"/>
        <v>48748.21310687119</v>
      </c>
      <c r="J143" s="417">
        <f t="shared" si="100"/>
        <v>0.10603170487993842</v>
      </c>
      <c r="K143" s="1512">
        <f t="shared" si="126"/>
        <v>2168.5138682889515</v>
      </c>
      <c r="L143" s="1512">
        <f t="shared" si="101"/>
        <v>0</v>
      </c>
      <c r="M143" s="1509">
        <f t="shared" si="127"/>
        <v>2168.5138682889515</v>
      </c>
      <c r="N143" s="1454">
        <f>($N$147-$N$142)/($A$107-$A$102)+N142</f>
        <v>0.3</v>
      </c>
      <c r="O143" s="1511">
        <f t="shared" si="102"/>
        <v>451.15020000000015</v>
      </c>
      <c r="P143" s="1689">
        <f t="shared" si="130"/>
        <v>2619.6640682889515</v>
      </c>
      <c r="Q143" s="1364">
        <f t="shared" si="103"/>
        <v>74274.864150654845</v>
      </c>
      <c r="R143" s="1364">
        <f t="shared" si="128"/>
        <v>24573.165815717373</v>
      </c>
      <c r="S143" s="1091">
        <f t="shared" si="104"/>
        <v>0.80054601033725781</v>
      </c>
      <c r="T143" s="135" t="str">
        <f t="shared" si="105"/>
        <v>Yes</v>
      </c>
      <c r="U143" s="1091">
        <f t="shared" si="106"/>
        <v>0.80054601033725781</v>
      </c>
      <c r="V143" s="1494">
        <f t="shared" si="97"/>
        <v>78455.756466559556</v>
      </c>
      <c r="W143" s="1491">
        <f t="shared" si="98"/>
        <v>0.23850745277517538</v>
      </c>
      <c r="X143" s="527">
        <f t="shared" si="107"/>
        <v>49701.698334937471</v>
      </c>
      <c r="Y143" s="1509">
        <f t="shared" si="108"/>
        <v>9515.5544396880723</v>
      </c>
      <c r="Z143" s="528">
        <f t="shared" si="109"/>
        <v>2904.0681418807435</v>
      </c>
      <c r="AA143" s="528">
        <f t="shared" si="110"/>
        <v>0</v>
      </c>
      <c r="AB143" s="528">
        <f t="shared" si="111"/>
        <v>16334.435550053271</v>
      </c>
      <c r="AC143" s="528">
        <f t="shared" si="112"/>
        <v>78455.756466559556</v>
      </c>
      <c r="AD143" s="1487">
        <f t="shared" si="113"/>
        <v>0</v>
      </c>
      <c r="AE143" s="417">
        <f t="shared" si="114"/>
        <v>0.63349970191316662</v>
      </c>
      <c r="AF143" s="417">
        <f t="shared" si="115"/>
        <v>0.12128561202190329</v>
      </c>
      <c r="AG143" s="417">
        <f t="shared" si="116"/>
        <v>3.70153609202475E-2</v>
      </c>
      <c r="AH143" s="417">
        <f t="shared" si="129"/>
        <v>0</v>
      </c>
      <c r="AI143" s="417">
        <f t="shared" si="117"/>
        <v>0.20819932514468265</v>
      </c>
      <c r="AJ143" s="525">
        <f t="shared" si="118"/>
        <v>1</v>
      </c>
      <c r="AK143" s="1497">
        <f t="shared" si="119"/>
        <v>43579.356961299076</v>
      </c>
      <c r="AL143" s="1498">
        <f t="shared" si="120"/>
        <v>5778.2381616108914</v>
      </c>
      <c r="AM143" s="1498">
        <f t="shared" si="121"/>
        <v>344.10321202750248</v>
      </c>
      <c r="AN143" s="1498">
        <f t="shared" si="122"/>
        <v>49701.698334937471</v>
      </c>
      <c r="AO143" s="1563">
        <f t="shared" si="123"/>
        <v>0</v>
      </c>
    </row>
    <row r="144" spans="1:91">
      <c r="A144" s="873">
        <f>'Input data'!A124</f>
        <v>2024</v>
      </c>
      <c r="B144" s="1551">
        <f>'Input data'!B124</f>
        <v>63.126357518916684</v>
      </c>
      <c r="C144" s="1550">
        <f>'Input data'!C124</f>
        <v>4622.4800000000005</v>
      </c>
      <c r="D144" s="1550">
        <f>'Input data'!D124</f>
        <v>46900203.343432628</v>
      </c>
      <c r="E144" s="1508">
        <f>'Input data'!J124*C144</f>
        <v>55613.267789031597</v>
      </c>
      <c r="F144" s="1509">
        <f>'Input data'!L124</f>
        <v>102513.47113246423</v>
      </c>
      <c r="G144" s="1509">
        <f t="shared" si="124"/>
        <v>47121.062615822855</v>
      </c>
      <c r="H144" s="1509">
        <f t="shared" si="125"/>
        <v>28803.828281492504</v>
      </c>
      <c r="I144" s="1511">
        <f t="shared" si="99"/>
        <v>46900.203343432629</v>
      </c>
      <c r="J144" s="417">
        <f t="shared" si="100"/>
        <v>0.11609308492183117</v>
      </c>
      <c r="K144" s="1512">
        <f t="shared" si="126"/>
        <v>2558.1878341585452</v>
      </c>
      <c r="L144" s="1512">
        <f t="shared" si="101"/>
        <v>0</v>
      </c>
      <c r="M144" s="1509">
        <f t="shared" si="127"/>
        <v>2558.1878341585452</v>
      </c>
      <c r="N144" s="1454">
        <f>($N$147-$N$142)/($A$107-$A$102)+N143</f>
        <v>0.35</v>
      </c>
      <c r="O144" s="1511">
        <f t="shared" si="102"/>
        <v>526.34190000000012</v>
      </c>
      <c r="P144" s="1689">
        <f t="shared" si="130"/>
        <v>3084.5297341585456</v>
      </c>
      <c r="Q144" s="1364">
        <f t="shared" si="103"/>
        <v>72840.36116315682</v>
      </c>
      <c r="R144" s="1364">
        <f t="shared" si="128"/>
        <v>25719.298547333965</v>
      </c>
      <c r="S144" s="1091">
        <f t="shared" si="104"/>
        <v>0.81947879210198715</v>
      </c>
      <c r="T144" s="135" t="str">
        <f t="shared" si="105"/>
        <v>Yes</v>
      </c>
      <c r="U144" s="1091">
        <f t="shared" si="106"/>
        <v>0.81947879210198715</v>
      </c>
      <c r="V144" s="1494">
        <f t="shared" si="97"/>
        <v>76794.172585130276</v>
      </c>
      <c r="W144" s="1491">
        <f t="shared" si="98"/>
        <v>0.25088701283073711</v>
      </c>
      <c r="X144" s="527">
        <f t="shared" si="107"/>
        <v>47121.062615822855</v>
      </c>
      <c r="Y144" s="1509">
        <f t="shared" si="108"/>
        <v>9898.1964005435839</v>
      </c>
      <c r="Z144" s="528">
        <f t="shared" si="109"/>
        <v>3039.4774952906882</v>
      </c>
      <c r="AA144" s="528">
        <f t="shared" si="110"/>
        <v>0</v>
      </c>
      <c r="AB144" s="528">
        <f t="shared" si="111"/>
        <v>16735.436073473149</v>
      </c>
      <c r="AC144" s="528">
        <f t="shared" si="112"/>
        <v>76794.172585130276</v>
      </c>
      <c r="AD144" s="1487">
        <f t="shared" si="113"/>
        <v>0</v>
      </c>
      <c r="AE144" s="417">
        <f t="shared" si="114"/>
        <v>0.61360206158334141</v>
      </c>
      <c r="AF144" s="417">
        <f t="shared" si="115"/>
        <v>0.12889254571459738</v>
      </c>
      <c r="AG144" s="417">
        <f t="shared" si="116"/>
        <v>3.9579533094405983E-2</v>
      </c>
      <c r="AH144" s="417">
        <f t="shared" si="129"/>
        <v>0</v>
      </c>
      <c r="AI144" s="417">
        <f t="shared" si="117"/>
        <v>0.21792585960765526</v>
      </c>
      <c r="AJ144" s="525">
        <f t="shared" si="118"/>
        <v>1</v>
      </c>
      <c r="AK144" s="1497">
        <f t="shared" si="119"/>
        <v>41455.414053832355</v>
      </c>
      <c r="AL144" s="1498">
        <f t="shared" si="120"/>
        <v>5358.1373568571498</v>
      </c>
      <c r="AM144" s="1498">
        <f t="shared" si="121"/>
        <v>307.51120513334683</v>
      </c>
      <c r="AN144" s="1498">
        <f t="shared" si="122"/>
        <v>47121.062615822855</v>
      </c>
      <c r="AO144" s="1563">
        <f t="shared" si="123"/>
        <v>0</v>
      </c>
    </row>
    <row r="145" spans="1:41">
      <c r="A145" s="873">
        <f>'Input data'!A125</f>
        <v>2025</v>
      </c>
      <c r="B145" s="1551">
        <f>'Input data'!B125</f>
        <v>64.142733908636146</v>
      </c>
      <c r="C145" s="1550">
        <f>'Input data'!C125</f>
        <v>4727.3100000000004</v>
      </c>
      <c r="D145" s="1550">
        <f>'Input data'!D125</f>
        <v>41859241.005426526</v>
      </c>
      <c r="E145" s="1508">
        <f>'Input data'!J125*C145</f>
        <v>56874.48230209043</v>
      </c>
      <c r="F145" s="1509">
        <f>'Input data'!L125</f>
        <v>98733.72330751695</v>
      </c>
      <c r="G145" s="1509">
        <f t="shared" si="124"/>
        <v>44674.419917829786</v>
      </c>
      <c r="H145" s="1509">
        <f t="shared" si="125"/>
        <v>27243.462340839062</v>
      </c>
      <c r="I145" s="1511">
        <f t="shared" si="99"/>
        <v>41859.241005426527</v>
      </c>
      <c r="J145" s="417">
        <f t="shared" si="100"/>
        <v>0.12710919231119061</v>
      </c>
      <c r="K145" s="1512">
        <f t="shared" si="126"/>
        <v>2744.3526917651843</v>
      </c>
      <c r="L145" s="1512">
        <f t="shared" si="101"/>
        <v>0</v>
      </c>
      <c r="M145" s="1509">
        <f t="shared" si="127"/>
        <v>2744.3526917651843</v>
      </c>
      <c r="N145" s="1454">
        <f>($N$147-$N$142)/($A$107-$A$102)+N144</f>
        <v>0.39999999999999997</v>
      </c>
      <c r="O145" s="1511">
        <f t="shared" si="102"/>
        <v>601.53360000000009</v>
      </c>
      <c r="P145" s="1689">
        <f t="shared" si="130"/>
        <v>3345.8862917651845</v>
      </c>
      <c r="Q145" s="1364">
        <f t="shared" si="103"/>
        <v>68571.995966903662</v>
      </c>
      <c r="R145" s="1364">
        <f t="shared" si="128"/>
        <v>23897.576049073876</v>
      </c>
      <c r="S145" s="1091">
        <f t="shared" si="104"/>
        <v>0.7460194449510249</v>
      </c>
      <c r="T145" s="135" t="str">
        <f t="shared" si="105"/>
        <v>Yes</v>
      </c>
      <c r="U145" s="1091">
        <f t="shared" si="106"/>
        <v>0.7460194449510249</v>
      </c>
      <c r="V145" s="1494">
        <f t="shared" si="97"/>
        <v>74836.147258443089</v>
      </c>
      <c r="W145" s="1491">
        <f t="shared" si="98"/>
        <v>0.24204066501819499</v>
      </c>
      <c r="X145" s="527">
        <f t="shared" si="107"/>
        <v>44674.419917829786</v>
      </c>
      <c r="Y145" s="1509">
        <f t="shared" si="108"/>
        <v>9875.097139770467</v>
      </c>
      <c r="Z145" s="528">
        <f t="shared" si="109"/>
        <v>3171.6628446854556</v>
      </c>
      <c r="AA145" s="528">
        <f t="shared" si="110"/>
        <v>0</v>
      </c>
      <c r="AB145" s="528">
        <f t="shared" si="111"/>
        <v>17114.967356157376</v>
      </c>
      <c r="AC145" s="528">
        <f t="shared" si="112"/>
        <v>74836.147258443089</v>
      </c>
      <c r="AD145" s="1487">
        <f t="shared" si="113"/>
        <v>0</v>
      </c>
      <c r="AE145" s="417">
        <f t="shared" si="114"/>
        <v>0.59696311948754921</v>
      </c>
      <c r="AF145" s="417">
        <f t="shared" si="115"/>
        <v>0.13195624710164844</v>
      </c>
      <c r="AG145" s="417">
        <f t="shared" si="116"/>
        <v>4.2381428773080321E-2</v>
      </c>
      <c r="AH145" s="417">
        <f t="shared" si="129"/>
        <v>0</v>
      </c>
      <c r="AI145" s="417">
        <f t="shared" si="117"/>
        <v>0.22869920463772203</v>
      </c>
      <c r="AJ145" s="525">
        <f t="shared" si="118"/>
        <v>1</v>
      </c>
      <c r="AK145" s="1497">
        <f t="shared" si="119"/>
        <v>36538.546690467294</v>
      </c>
      <c r="AL145" s="1498">
        <f t="shared" si="120"/>
        <v>7709.4806320806711</v>
      </c>
      <c r="AM145" s="1498">
        <f t="shared" si="121"/>
        <v>426.39259528182691</v>
      </c>
      <c r="AN145" s="1498">
        <f t="shared" si="122"/>
        <v>44674.419917829786</v>
      </c>
      <c r="AO145" s="1563">
        <f t="shared" si="123"/>
        <v>0</v>
      </c>
    </row>
    <row r="146" spans="1:41">
      <c r="A146" s="873">
        <f>'Input data'!A126</f>
        <v>2026</v>
      </c>
      <c r="B146" s="1551">
        <f>'Input data'!B126</f>
        <v>65.115730264701668</v>
      </c>
      <c r="C146" s="1550">
        <f>'Input data'!C126</f>
        <v>4818.42</v>
      </c>
      <c r="D146" s="1550">
        <f>'Input data'!D126</f>
        <v>37757514.205797322</v>
      </c>
      <c r="E146" s="1508">
        <f>'Input data'!J126*C146</f>
        <v>57970.630869149376</v>
      </c>
      <c r="F146" s="1509">
        <f>'Input data'!L126</f>
        <v>95728.145074946689</v>
      </c>
      <c r="G146" s="1509">
        <f t="shared" si="124"/>
        <v>42354.812990240433</v>
      </c>
      <c r="H146" s="1509">
        <f t="shared" si="125"/>
        <v>26342.772329722226</v>
      </c>
      <c r="I146" s="1511">
        <f t="shared" si="99"/>
        <v>37757.514205797321</v>
      </c>
      <c r="J146" s="417">
        <f t="shared" si="100"/>
        <v>0.13917062141024203</v>
      </c>
      <c r="K146" s="1512">
        <f t="shared" si="126"/>
        <v>2930.8471005851679</v>
      </c>
      <c r="L146" s="1512">
        <f t="shared" si="101"/>
        <v>0</v>
      </c>
      <c r="M146" s="1509">
        <f t="shared" si="127"/>
        <v>2930.8471005851679</v>
      </c>
      <c r="N146" s="1454">
        <f>($N$147-$N$142)/($A$107-$A$102)+N145</f>
        <v>0.44999999999999996</v>
      </c>
      <c r="O146" s="1511">
        <f t="shared" si="102"/>
        <v>676.72530000000006</v>
      </c>
      <c r="P146" s="1689">
        <f t="shared" si="130"/>
        <v>3607.572400585168</v>
      </c>
      <c r="Q146" s="1364">
        <f t="shared" si="103"/>
        <v>65090.012919377492</v>
      </c>
      <c r="R146" s="1364">
        <f t="shared" si="128"/>
        <v>22735.199929137059</v>
      </c>
      <c r="S146" s="1091">
        <f t="shared" si="104"/>
        <v>0.69767194517054698</v>
      </c>
      <c r="T146" s="135" t="str">
        <f t="shared" si="105"/>
        <v>Yes</v>
      </c>
      <c r="U146" s="1091">
        <f t="shared" si="106"/>
        <v>0.69767194517054698</v>
      </c>
      <c r="V146" s="1494">
        <f t="shared" si="97"/>
        <v>72992.945145809645</v>
      </c>
      <c r="W146" s="1491">
        <f t="shared" si="98"/>
        <v>0.23749755008140383</v>
      </c>
      <c r="X146" s="527">
        <f t="shared" si="107"/>
        <v>42354.812990240433</v>
      </c>
      <c r="Y146" s="1509">
        <f t="shared" si="108"/>
        <v>9896.9170794739075</v>
      </c>
      <c r="Z146" s="528">
        <f t="shared" si="109"/>
        <v>3296.3889470164409</v>
      </c>
      <c r="AA146" s="528">
        <f t="shared" si="110"/>
        <v>0</v>
      </c>
      <c r="AB146" s="528">
        <f t="shared" si="111"/>
        <v>17444.826129078869</v>
      </c>
      <c r="AC146" s="528">
        <f t="shared" si="112"/>
        <v>72992.945145809645</v>
      </c>
      <c r="AD146" s="1487">
        <f t="shared" si="113"/>
        <v>0</v>
      </c>
      <c r="AE146" s="417">
        <f t="shared" si="114"/>
        <v>0.58025899497044642</v>
      </c>
      <c r="AF146" s="417">
        <f t="shared" si="115"/>
        <v>0.13558730997501156</v>
      </c>
      <c r="AG146" s="417">
        <f t="shared" si="116"/>
        <v>4.5160377354710408E-2</v>
      </c>
      <c r="AH146" s="417">
        <f t="shared" si="129"/>
        <v>0</v>
      </c>
      <c r="AI146" s="417">
        <f t="shared" si="117"/>
        <v>0.23899331769983165</v>
      </c>
      <c r="AJ146" s="525">
        <f t="shared" si="118"/>
        <v>1</v>
      </c>
      <c r="AK146" s="1497">
        <f t="shared" si="119"/>
        <v>32502.777490870467</v>
      </c>
      <c r="AL146" s="1498">
        <f t="shared" si="120"/>
        <v>9353.9204833626391</v>
      </c>
      <c r="AM146" s="1498">
        <f t="shared" si="121"/>
        <v>498.11501600732464</v>
      </c>
      <c r="AN146" s="1498">
        <f t="shared" si="122"/>
        <v>42354.812990240425</v>
      </c>
      <c r="AO146" s="1563">
        <f t="shared" si="123"/>
        <v>0</v>
      </c>
    </row>
    <row r="147" spans="1:41">
      <c r="A147" s="873">
        <f>'Input data'!A127</f>
        <v>2027</v>
      </c>
      <c r="B147" s="1551">
        <f>'Input data'!B127</f>
        <v>66.042835586617315</v>
      </c>
      <c r="C147" s="1550">
        <f>'Input data'!C127</f>
        <v>4908.8799999999992</v>
      </c>
      <c r="D147" s="1550">
        <f>'Input data'!D127</f>
        <v>35019614.880897872</v>
      </c>
      <c r="E147" s="1508">
        <f>'Input data'!J127*C147</f>
        <v>59058.959256550894</v>
      </c>
      <c r="F147" s="1509">
        <f>'Input data'!L127</f>
        <v>94078.57413744877</v>
      </c>
      <c r="G147" s="1509">
        <f t="shared" si="124"/>
        <v>40155.6458200876</v>
      </c>
      <c r="H147" s="1509">
        <f t="shared" si="125"/>
        <v>26597.042264229975</v>
      </c>
      <c r="I147" s="1511">
        <f t="shared" si="99"/>
        <v>35019.614880897869</v>
      </c>
      <c r="J147" s="417">
        <f t="shared" si="100"/>
        <v>0.15237656310721223</v>
      </c>
      <c r="K147" s="1512">
        <f t="shared" si="126"/>
        <v>3180.7904544965099</v>
      </c>
      <c r="L147" s="1512">
        <f t="shared" si="101"/>
        <v>0</v>
      </c>
      <c r="M147" s="1509">
        <f t="shared" si="127"/>
        <v>3180.7904544965099</v>
      </c>
      <c r="N147" s="1454">
        <f>$C$27</f>
        <v>0.5</v>
      </c>
      <c r="O147" s="1511">
        <f t="shared" si="102"/>
        <v>751.91700000000026</v>
      </c>
      <c r="P147" s="1689">
        <f t="shared" si="130"/>
        <v>3932.7074544965103</v>
      </c>
      <c r="Q147" s="1364">
        <f t="shared" si="103"/>
        <v>62819.980629821068</v>
      </c>
      <c r="R147" s="1364">
        <f t="shared" si="128"/>
        <v>22664.334809733467</v>
      </c>
      <c r="S147" s="1091">
        <f t="shared" si="104"/>
        <v>0.68396817242767094</v>
      </c>
      <c r="T147" s="135" t="str">
        <f t="shared" si="105"/>
        <v>Yes</v>
      </c>
      <c r="U147" s="1091">
        <f t="shared" si="106"/>
        <v>0.68396817242767094</v>
      </c>
      <c r="V147" s="1494">
        <f t="shared" si="97"/>
        <v>71414.239327715317</v>
      </c>
      <c r="W147" s="1491">
        <f t="shared" si="98"/>
        <v>0.24090857049577374</v>
      </c>
      <c r="X147" s="527">
        <f t="shared" si="107"/>
        <v>40155.6458200876</v>
      </c>
      <c r="Y147" s="1509">
        <f t="shared" si="108"/>
        <v>10065.500235721414</v>
      </c>
      <c r="Z147" s="528">
        <f t="shared" si="109"/>
        <v>3420.7616593626267</v>
      </c>
      <c r="AA147" s="528">
        <f t="shared" si="110"/>
        <v>0</v>
      </c>
      <c r="AB147" s="528">
        <f t="shared" si="111"/>
        <v>17772.331612543669</v>
      </c>
      <c r="AC147" s="528">
        <f t="shared" si="112"/>
        <v>71414.239327715317</v>
      </c>
      <c r="AD147" s="1487">
        <f t="shared" si="113"/>
        <v>0</v>
      </c>
      <c r="AE147" s="417">
        <f t="shared" si="114"/>
        <v>0.56229186501330564</v>
      </c>
      <c r="AF147" s="417">
        <f t="shared" si="115"/>
        <v>0.14094528388843416</v>
      </c>
      <c r="AG147" s="417">
        <f t="shared" si="116"/>
        <v>4.7900274392967672E-2</v>
      </c>
      <c r="AH147" s="417">
        <f t="shared" si="129"/>
        <v>0</v>
      </c>
      <c r="AI147" s="417">
        <f t="shared" si="117"/>
        <v>0.24886257670529249</v>
      </c>
      <c r="AJ147" s="525">
        <f t="shared" si="118"/>
        <v>1</v>
      </c>
      <c r="AK147" s="1497">
        <f t="shared" si="119"/>
        <v>29683.44632400847</v>
      </c>
      <c r="AL147" s="1498">
        <f t="shared" si="120"/>
        <v>9961.478670211196</v>
      </c>
      <c r="AM147" s="1498">
        <f t="shared" si="121"/>
        <v>510.72082586793505</v>
      </c>
      <c r="AN147" s="1498">
        <f t="shared" si="122"/>
        <v>40155.6458200876</v>
      </c>
      <c r="AO147" s="1563">
        <f t="shared" si="123"/>
        <v>0</v>
      </c>
    </row>
    <row r="148" spans="1:41">
      <c r="A148" s="873">
        <f>'Input data'!A128</f>
        <v>2028</v>
      </c>
      <c r="B148" s="1551">
        <f>'Input data'!B128</f>
        <v>66.921626677758155</v>
      </c>
      <c r="C148" s="1550">
        <f>'Input data'!C128</f>
        <v>5001.3400000000011</v>
      </c>
      <c r="D148" s="1550">
        <f>'Input data'!D128</f>
        <v>32897025.730580334</v>
      </c>
      <c r="E148" s="1508">
        <f>'Input data'!J128*C148</f>
        <v>60171.349735206066</v>
      </c>
      <c r="F148" s="1509">
        <f>'Input data'!L128</f>
        <v>93068.375465786405</v>
      </c>
      <c r="G148" s="1509">
        <f t="shared" si="124"/>
        <v>38070.664875792791</v>
      </c>
      <c r="H148" s="1509">
        <f t="shared" si="125"/>
        <v>27328.372196958662</v>
      </c>
      <c r="I148" s="1511">
        <f t="shared" si="99"/>
        <v>32897.025730580332</v>
      </c>
      <c r="J148" s="417">
        <f t="shared" si="100"/>
        <v>0.16683562054324133</v>
      </c>
      <c r="K148" s="1512">
        <f t="shared" si="126"/>
        <v>3463.6581615641335</v>
      </c>
      <c r="L148" s="1512">
        <f t="shared" si="101"/>
        <v>0</v>
      </c>
      <c r="M148" s="1509">
        <f t="shared" si="127"/>
        <v>3463.6581615641335</v>
      </c>
      <c r="N148" s="1454">
        <f>N147</f>
        <v>0.5</v>
      </c>
      <c r="O148" s="1511">
        <f t="shared" si="102"/>
        <v>751.91700000000026</v>
      </c>
      <c r="P148" s="1689">
        <f t="shared" si="130"/>
        <v>4215.5751615641339</v>
      </c>
      <c r="Q148" s="1364">
        <f t="shared" si="103"/>
        <v>61183.461911187318</v>
      </c>
      <c r="R148" s="1364">
        <f t="shared" si="128"/>
        <v>23112.797035394527</v>
      </c>
      <c r="S148" s="1091">
        <f t="shared" si="104"/>
        <v>0.68432012084838112</v>
      </c>
      <c r="T148" s="135" t="str">
        <f t="shared" si="105"/>
        <v>Yes</v>
      </c>
      <c r="U148" s="1091">
        <f t="shared" si="106"/>
        <v>0.68432012084838112</v>
      </c>
      <c r="V148" s="1494">
        <f t="shared" si="97"/>
        <v>69955.578430391877</v>
      </c>
      <c r="W148" s="1491">
        <f t="shared" si="98"/>
        <v>0.24834211320139787</v>
      </c>
      <c r="X148" s="527">
        <f t="shared" si="107"/>
        <v>38070.664875792791</v>
      </c>
      <c r="Y148" s="1509">
        <f t="shared" si="108"/>
        <v>10306.80554244644</v>
      </c>
      <c r="Z148" s="528">
        <f t="shared" si="109"/>
        <v>3471.0300255081979</v>
      </c>
      <c r="AA148" s="528">
        <f t="shared" si="110"/>
        <v>0</v>
      </c>
      <c r="AB148" s="528">
        <f t="shared" si="111"/>
        <v>18107.077986644446</v>
      </c>
      <c r="AC148" s="528">
        <f t="shared" si="112"/>
        <v>69955.578430391877</v>
      </c>
      <c r="AD148" s="1487">
        <f t="shared" si="113"/>
        <v>0</v>
      </c>
      <c r="AE148" s="1504">
        <f t="shared" si="114"/>
        <v>0.54421199466850756</v>
      </c>
      <c r="AF148" s="1504">
        <f t="shared" si="115"/>
        <v>0.1473335761593631</v>
      </c>
      <c r="AG148" s="1504">
        <f t="shared" si="116"/>
        <v>4.9617630264639841E-2</v>
      </c>
      <c r="AH148" s="1504">
        <f t="shared" si="129"/>
        <v>0</v>
      </c>
      <c r="AI148" s="1504">
        <f t="shared" si="117"/>
        <v>0.2588367989074894</v>
      </c>
      <c r="AJ148" s="1541">
        <f t="shared" si="118"/>
        <v>0.99999999999999978</v>
      </c>
      <c r="AK148" s="1555">
        <f t="shared" si="119"/>
        <v>27408.630028791984</v>
      </c>
      <c r="AL148" s="1498">
        <f t="shared" si="120"/>
        <v>10137.803109934532</v>
      </c>
      <c r="AM148" s="1498">
        <f t="shared" si="121"/>
        <v>524.23173706627063</v>
      </c>
      <c r="AN148" s="1498">
        <f t="shared" si="122"/>
        <v>38070.664875792783</v>
      </c>
      <c r="AO148" s="1563">
        <f t="shared" si="123"/>
        <v>0</v>
      </c>
    </row>
    <row r="149" spans="1:41">
      <c r="A149" s="873">
        <f>'Input data'!A129</f>
        <v>2029</v>
      </c>
      <c r="B149" s="1551">
        <f>'Input data'!B129</f>
        <v>67.749778587208695</v>
      </c>
      <c r="C149" s="1550">
        <f>'Input data'!C129</f>
        <v>5124.16</v>
      </c>
      <c r="D149" s="1550">
        <f>'Input data'!D129</f>
        <v>31986451.408819646</v>
      </c>
      <c r="E149" s="1508">
        <f>'Input data'!J129*C149</f>
        <v>61649.00275909125</v>
      </c>
      <c r="F149" s="1509">
        <f>'Input data'!L129</f>
        <v>93635.454167910895</v>
      </c>
      <c r="G149" s="1509">
        <f t="shared" si="124"/>
        <v>36093.941324681233</v>
      </c>
      <c r="H149" s="1509">
        <f t="shared" si="125"/>
        <v>29298.45304224662</v>
      </c>
      <c r="I149" s="1511">
        <f t="shared" si="99"/>
        <v>31986.451408819645</v>
      </c>
      <c r="J149" s="1504">
        <f>$J$137*(1+((($J$150/$J$137)^(1/($A$150-$A$137)))-1))^(A149-$A$137)</f>
        <v>0.18266670224386344</v>
      </c>
      <c r="K149" s="1512">
        <f t="shared" si="126"/>
        <v>3874.1658454356484</v>
      </c>
      <c r="L149" s="1512">
        <f t="shared" si="101"/>
        <v>0</v>
      </c>
      <c r="M149" s="1509">
        <f t="shared" si="127"/>
        <v>3874.1658454356484</v>
      </c>
      <c r="N149" s="1454">
        <f t="shared" ref="N149:N170" si="131">N148</f>
        <v>0.5</v>
      </c>
      <c r="O149" s="1511">
        <f t="shared" si="102"/>
        <v>751.91700000000026</v>
      </c>
      <c r="P149" s="1689">
        <f t="shared" si="130"/>
        <v>4626.0828454356488</v>
      </c>
      <c r="Q149" s="1364">
        <f t="shared" si="103"/>
        <v>60766.3115214922</v>
      </c>
      <c r="R149" s="1364">
        <f t="shared" si="128"/>
        <v>24672.370196810967</v>
      </c>
      <c r="S149" s="1091">
        <f t="shared" si="104"/>
        <v>0.71260635804721018</v>
      </c>
      <c r="T149" s="135" t="str">
        <f t="shared" si="105"/>
        <v>Yes</v>
      </c>
      <c r="U149" s="1091">
        <f t="shared" si="106"/>
        <v>0.71260635804721018</v>
      </c>
      <c r="V149" s="1494">
        <f t="shared" si="97"/>
        <v>68963.083971099928</v>
      </c>
      <c r="W149" s="1491">
        <f t="shared" si="98"/>
        <v>0.26349389145448554</v>
      </c>
      <c r="X149" s="527">
        <f t="shared" si="107"/>
        <v>36093.941324681233</v>
      </c>
      <c r="Y149" s="1509">
        <f t="shared" si="108"/>
        <v>10779.597143491072</v>
      </c>
      <c r="Z149" s="528">
        <f t="shared" si="109"/>
        <v>3537.8044223284328</v>
      </c>
      <c r="AA149" s="528">
        <f t="shared" si="110"/>
        <v>0</v>
      </c>
      <c r="AB149" s="528">
        <f t="shared" si="111"/>
        <v>18551.741080599193</v>
      </c>
      <c r="AC149" s="528">
        <f t="shared" si="112"/>
        <v>68963.083971099928</v>
      </c>
      <c r="AD149" s="1487">
        <f t="shared" si="113"/>
        <v>0</v>
      </c>
      <c r="AE149" s="1504">
        <f t="shared" si="114"/>
        <v>0.52338061534207159</v>
      </c>
      <c r="AF149" s="1504">
        <f t="shared" si="115"/>
        <v>0.15630967356402495</v>
      </c>
      <c r="AG149" s="1504">
        <f t="shared" si="116"/>
        <v>5.1299974110946167E-2</v>
      </c>
      <c r="AH149" s="1504">
        <f t="shared" si="129"/>
        <v>0</v>
      </c>
      <c r="AI149" s="1504">
        <f t="shared" si="117"/>
        <v>0.26900973698295733</v>
      </c>
      <c r="AJ149" s="1541">
        <f t="shared" si="118"/>
        <v>1</v>
      </c>
      <c r="AK149" s="1555">
        <f t="shared" si="119"/>
        <v>26143.591813486983</v>
      </c>
      <c r="AL149" s="1498">
        <f t="shared" si="120"/>
        <v>9456.0641320205796</v>
      </c>
      <c r="AM149" s="1498">
        <f t="shared" si="121"/>
        <v>494.28537917367271</v>
      </c>
      <c r="AN149" s="1498">
        <f t="shared" si="122"/>
        <v>36093.941324681233</v>
      </c>
      <c r="AO149" s="1563">
        <f t="shared" si="123"/>
        <v>0</v>
      </c>
    </row>
    <row r="150" spans="1:41" s="1151" customFormat="1">
      <c r="A150" s="1565">
        <f>'Input data'!A130</f>
        <v>2030</v>
      </c>
      <c r="B150" s="1551">
        <f>'Input data'!B130</f>
        <v>68.525074762177482</v>
      </c>
      <c r="C150" s="1550">
        <f>'Input data'!C130</f>
        <v>5234.6499999999996</v>
      </c>
      <c r="D150" s="1550">
        <f>'Input data'!D130</f>
        <v>29783743.542171866</v>
      </c>
      <c r="E150" s="1508">
        <f>'Input data'!J130*C150</f>
        <v>62978.312990397841</v>
      </c>
      <c r="F150" s="1509">
        <f>'Input data'!L130</f>
        <v>92762.05653256971</v>
      </c>
      <c r="G150" s="1509">
        <f>G137*(1-$C$4)</f>
        <v>34219.854173807704</v>
      </c>
      <c r="H150" s="1509">
        <f t="shared" si="125"/>
        <v>29868.171689516581</v>
      </c>
      <c r="I150" s="1511">
        <f t="shared" si="99"/>
        <v>29783.743542171866</v>
      </c>
      <c r="J150" s="1504">
        <v>0.2</v>
      </c>
      <c r="K150" s="1512">
        <f t="shared" si="126"/>
        <v>4123.6266465153121</v>
      </c>
      <c r="L150" s="1512">
        <f t="shared" si="101"/>
        <v>0</v>
      </c>
      <c r="M150" s="1509">
        <f t="shared" si="127"/>
        <v>4123.6266465153121</v>
      </c>
      <c r="N150" s="1454">
        <f t="shared" si="131"/>
        <v>0.5</v>
      </c>
      <c r="O150" s="1511">
        <f t="shared" si="102"/>
        <v>751.91700000000026</v>
      </c>
      <c r="P150" s="1689">
        <f t="shared" si="130"/>
        <v>4875.5436465153125</v>
      </c>
      <c r="Q150" s="1364">
        <f t="shared" si="103"/>
        <v>59212.482216808974</v>
      </c>
      <c r="R150" s="1364">
        <f t="shared" si="128"/>
        <v>24992.62804300127</v>
      </c>
      <c r="S150" s="1091">
        <f t="shared" si="104"/>
        <v>0.70629599565605583</v>
      </c>
      <c r="T150" s="135" t="str">
        <f t="shared" si="105"/>
        <v>Yes</v>
      </c>
      <c r="U150" s="1091">
        <f t="shared" si="106"/>
        <v>0.70629599565605583</v>
      </c>
      <c r="V150" s="1494">
        <f t="shared" si="97"/>
        <v>67769.42848956844</v>
      </c>
      <c r="W150" s="1491">
        <f t="shared" si="98"/>
        <v>0.26942727422419854</v>
      </c>
      <c r="X150" s="527">
        <f t="shared" si="107"/>
        <v>34219.854173807704</v>
      </c>
      <c r="Y150" s="1509">
        <f t="shared" si="108"/>
        <v>10999.934949002076</v>
      </c>
      <c r="Z150" s="528">
        <f t="shared" si="109"/>
        <v>3597.8752829754594</v>
      </c>
      <c r="AA150" s="528">
        <f t="shared" si="110"/>
        <v>0</v>
      </c>
      <c r="AB150" s="528">
        <f t="shared" si="111"/>
        <v>18951.764083783208</v>
      </c>
      <c r="AC150" s="528">
        <f t="shared" si="112"/>
        <v>67769.42848956844</v>
      </c>
      <c r="AD150" s="1487">
        <f t="shared" si="113"/>
        <v>0</v>
      </c>
      <c r="AE150" s="1504">
        <f t="shared" si="114"/>
        <v>0.50494529666979659</v>
      </c>
      <c r="AF150" s="1504">
        <f t="shared" si="115"/>
        <v>0.16231411706084056</v>
      </c>
      <c r="AG150" s="1504">
        <f t="shared" si="116"/>
        <v>5.3089945764103211E-2</v>
      </c>
      <c r="AH150" s="1504">
        <f t="shared" si="129"/>
        <v>0</v>
      </c>
      <c r="AI150" s="1504">
        <f t="shared" si="117"/>
        <v>0.27965064050525967</v>
      </c>
      <c r="AJ150" s="1541">
        <f t="shared" si="118"/>
        <v>1</v>
      </c>
      <c r="AK150" s="1555">
        <f t="shared" si="119"/>
        <v>23826.994833737492</v>
      </c>
      <c r="AL150" s="1498">
        <f t="shared" si="120"/>
        <v>9872.0668569499358</v>
      </c>
      <c r="AM150" s="1498">
        <f t="shared" si="121"/>
        <v>520.79248312026903</v>
      </c>
      <c r="AN150" s="1498">
        <f t="shared" si="122"/>
        <v>34219.854173807696</v>
      </c>
      <c r="AO150" s="1563">
        <f t="shared" si="123"/>
        <v>0</v>
      </c>
    </row>
    <row r="151" spans="1:41">
      <c r="A151" s="873">
        <f>'Input data'!A131</f>
        <v>2031</v>
      </c>
      <c r="B151" s="1551">
        <f>'Input data'!B131</f>
        <v>69.286388472916428</v>
      </c>
      <c r="C151" s="1550">
        <f>'Input data'!C131</f>
        <v>5365.4400000000005</v>
      </c>
      <c r="D151" s="1550">
        <f>'Input data'!D131</f>
        <v>28782558.928955987</v>
      </c>
      <c r="E151" s="1508">
        <f>'Input data'!J131*C151</f>
        <v>64551.853447928748</v>
      </c>
      <c r="F151" s="1509">
        <f>'Input data'!L131</f>
        <v>93334.412376884735</v>
      </c>
      <c r="G151" s="1509">
        <f>$G$150*(1+((($G$160/$G$150)^(1/($A$160-$A$150)))-1))^(A151-$A$150)</f>
        <v>33020.827958397946</v>
      </c>
      <c r="H151" s="1509">
        <f t="shared" si="125"/>
        <v>31030.542658299521</v>
      </c>
      <c r="I151" s="1511">
        <f t="shared" si="99"/>
        <v>28782.558928955987</v>
      </c>
      <c r="J151" s="1504">
        <f t="shared" ref="J151:J170" si="132">J150</f>
        <v>0.2</v>
      </c>
      <c r="K151" s="1512">
        <f t="shared" si="126"/>
        <v>3985.0103727318487</v>
      </c>
      <c r="L151" s="1512">
        <f t="shared" si="101"/>
        <v>0</v>
      </c>
      <c r="M151" s="1509">
        <f t="shared" si="127"/>
        <v>3985.0103727318487</v>
      </c>
      <c r="N151" s="1454">
        <f t="shared" si="131"/>
        <v>0.5</v>
      </c>
      <c r="O151" s="1511">
        <f t="shared" si="102"/>
        <v>751.91700000000026</v>
      </c>
      <c r="P151" s="1689">
        <f t="shared" si="130"/>
        <v>4736.9273727318487</v>
      </c>
      <c r="Q151" s="1364">
        <f t="shared" si="103"/>
        <v>59314.443243965616</v>
      </c>
      <c r="R151" s="1364">
        <f t="shared" si="128"/>
        <v>26293.61528556767</v>
      </c>
      <c r="S151" s="1091">
        <f t="shared" si="104"/>
        <v>0.72457364091072107</v>
      </c>
      <c r="T151" s="135" t="str">
        <f t="shared" si="105"/>
        <v>Yes</v>
      </c>
      <c r="U151" s="1091">
        <f t="shared" si="106"/>
        <v>0.72457364091072107</v>
      </c>
      <c r="V151" s="1494">
        <f t="shared" si="97"/>
        <v>67040.797091317072</v>
      </c>
      <c r="W151" s="1491">
        <f t="shared" si="98"/>
        <v>0.28171404968398939</v>
      </c>
      <c r="X151" s="527">
        <f t="shared" si="107"/>
        <v>33020.827958397946</v>
      </c>
      <c r="Y151" s="1509">
        <f t="shared" si="108"/>
        <v>10925.704221310589</v>
      </c>
      <c r="Z151" s="528">
        <f t="shared" si="109"/>
        <v>3668.9827846862445</v>
      </c>
      <c r="AA151" s="528">
        <f t="shared" si="110"/>
        <v>0</v>
      </c>
      <c r="AB151" s="528">
        <f t="shared" si="111"/>
        <v>19425.282126922295</v>
      </c>
      <c r="AC151" s="528">
        <f t="shared" si="112"/>
        <v>67040.797091317072</v>
      </c>
      <c r="AD151" s="1487">
        <f t="shared" si="113"/>
        <v>0</v>
      </c>
      <c r="AE151" s="1504">
        <f t="shared" si="114"/>
        <v>0.49254826003067775</v>
      </c>
      <c r="AF151" s="1504">
        <f t="shared" si="115"/>
        <v>0.16297097730548396</v>
      </c>
      <c r="AG151" s="1504">
        <f t="shared" si="116"/>
        <v>5.4727612795066848E-2</v>
      </c>
      <c r="AH151" s="1504">
        <f t="shared" si="129"/>
        <v>0</v>
      </c>
      <c r="AI151" s="1504">
        <f t="shared" si="117"/>
        <v>0.28975314986877149</v>
      </c>
      <c r="AJ151" s="1541">
        <f t="shared" si="118"/>
        <v>1</v>
      </c>
      <c r="AK151" s="1555">
        <f t="shared" si="119"/>
        <v>23026.047143164789</v>
      </c>
      <c r="AL151" s="1498">
        <f t="shared" si="120"/>
        <v>9489.0211546832707</v>
      </c>
      <c r="AM151" s="1498">
        <f t="shared" si="121"/>
        <v>505.75966054988464</v>
      </c>
      <c r="AN151" s="1498">
        <f t="shared" si="122"/>
        <v>33020.827958397946</v>
      </c>
      <c r="AO151" s="1563">
        <f t="shared" si="123"/>
        <v>0</v>
      </c>
    </row>
    <row r="152" spans="1:41">
      <c r="A152" s="873">
        <f>'Input data'!A132</f>
        <v>2032</v>
      </c>
      <c r="B152" s="1551">
        <f>'Input data'!B132</f>
        <v>70.033051881823098</v>
      </c>
      <c r="C152" s="1550">
        <f>'Input data'!C132</f>
        <v>5502.3</v>
      </c>
      <c r="D152" s="1550">
        <f>'Input data'!D132</f>
        <v>27987384.812012181</v>
      </c>
      <c r="E152" s="1508">
        <f>'Input data'!J132*C152</f>
        <v>66198.422352414404</v>
      </c>
      <c r="F152" s="1509">
        <f>'Input data'!L132</f>
        <v>94185.807164426587</v>
      </c>
      <c r="G152" s="1509">
        <f t="shared" ref="G152:G159" si="133">$G$150*(1+((($G$160/$G$150)^(1/($A$160-$A$150)))-1))^(A152-$A$150)</f>
        <v>31863.814308498775</v>
      </c>
      <c r="H152" s="1509">
        <f t="shared" si="125"/>
        <v>32386.136320477679</v>
      </c>
      <c r="I152" s="1511">
        <f t="shared" si="99"/>
        <v>27987.38481201218</v>
      </c>
      <c r="J152" s="1504">
        <f t="shared" si="132"/>
        <v>0.2</v>
      </c>
      <c r="K152" s="1512">
        <f t="shared" si="126"/>
        <v>3874.9167180303875</v>
      </c>
      <c r="L152" s="1512">
        <f t="shared" si="101"/>
        <v>0</v>
      </c>
      <c r="M152" s="1509">
        <f t="shared" si="127"/>
        <v>3874.9167180303875</v>
      </c>
      <c r="N152" s="1454">
        <f t="shared" si="131"/>
        <v>0.5</v>
      </c>
      <c r="O152" s="1511">
        <f t="shared" si="102"/>
        <v>751.91700000000026</v>
      </c>
      <c r="P152" s="1689">
        <f t="shared" si="130"/>
        <v>4626.8337180303879</v>
      </c>
      <c r="Q152" s="1364">
        <f t="shared" si="103"/>
        <v>59623.116910946068</v>
      </c>
      <c r="R152" s="1364">
        <f t="shared" si="128"/>
        <v>27759.302602447293</v>
      </c>
      <c r="S152" s="1091">
        <f t="shared" si="104"/>
        <v>0.74555224495202277</v>
      </c>
      <c r="T152" s="135" t="str">
        <f t="shared" si="105"/>
        <v>Yes</v>
      </c>
      <c r="U152" s="1091">
        <f t="shared" si="106"/>
        <v>0.74555224495202277</v>
      </c>
      <c r="V152" s="1494">
        <f t="shared" si="97"/>
        <v>66426.504561979295</v>
      </c>
      <c r="W152" s="1491">
        <f t="shared" si="98"/>
        <v>0.29472914697206964</v>
      </c>
      <c r="X152" s="527">
        <f t="shared" si="107"/>
        <v>31863.814308498779</v>
      </c>
      <c r="Y152" s="1509">
        <f t="shared" si="108"/>
        <v>10898.52357516082</v>
      </c>
      <c r="Z152" s="528">
        <f t="shared" si="109"/>
        <v>3743.3904051781628</v>
      </c>
      <c r="AA152" s="528">
        <f t="shared" si="110"/>
        <v>0</v>
      </c>
      <c r="AB152" s="528">
        <f t="shared" si="111"/>
        <v>19920.776273141539</v>
      </c>
      <c r="AC152" s="528">
        <f t="shared" si="112"/>
        <v>66426.504561979295</v>
      </c>
      <c r="AD152" s="1487">
        <f t="shared" si="113"/>
        <v>0</v>
      </c>
      <c r="AE152" s="1504">
        <f t="shared" si="114"/>
        <v>0.47968524790835904</v>
      </c>
      <c r="AF152" s="1504">
        <f t="shared" si="115"/>
        <v>0.16406890061469281</v>
      </c>
      <c r="AG152" s="1504">
        <f t="shared" si="116"/>
        <v>5.6353867027360893E-2</v>
      </c>
      <c r="AH152" s="1504">
        <f t="shared" si="129"/>
        <v>0</v>
      </c>
      <c r="AI152" s="1504">
        <f t="shared" si="117"/>
        <v>0.29989198444958737</v>
      </c>
      <c r="AJ152" s="1541">
        <f t="shared" si="118"/>
        <v>1</v>
      </c>
      <c r="AK152" s="1555">
        <f t="shared" si="119"/>
        <v>22389.907849609743</v>
      </c>
      <c r="AL152" s="1498">
        <f t="shared" si="120"/>
        <v>8989.8710058761953</v>
      </c>
      <c r="AM152" s="1498">
        <f t="shared" si="121"/>
        <v>484.03545301283322</v>
      </c>
      <c r="AN152" s="1498">
        <f t="shared" si="122"/>
        <v>31863.814308498768</v>
      </c>
      <c r="AO152" s="1563">
        <f t="shared" si="123"/>
        <v>0</v>
      </c>
    </row>
    <row r="153" spans="1:41">
      <c r="A153" s="873">
        <f>'Input data'!A133</f>
        <v>2033</v>
      </c>
      <c r="B153" s="1551">
        <f>'Input data'!B133</f>
        <v>70.764404167450692</v>
      </c>
      <c r="C153" s="1550">
        <f>'Input data'!C133</f>
        <v>5663.260000000002</v>
      </c>
      <c r="D153" s="1550">
        <f>'Input data'!D133</f>
        <v>28989172.151095852</v>
      </c>
      <c r="E153" s="1508">
        <f>'Input data'!J133*C153</f>
        <v>68134.939456506283</v>
      </c>
      <c r="F153" s="1509">
        <f>'Input data'!L133</f>
        <v>97124.111607602128</v>
      </c>
      <c r="G153" s="1509">
        <f t="shared" si="133"/>
        <v>30747.341149823493</v>
      </c>
      <c r="H153" s="1509">
        <f t="shared" si="125"/>
        <v>35553.92637478796</v>
      </c>
      <c r="I153" s="1511">
        <f t="shared" si="99"/>
        <v>28989.172151095852</v>
      </c>
      <c r="J153" s="1504">
        <f t="shared" si="132"/>
        <v>0.2</v>
      </c>
      <c r="K153" s="1512">
        <f t="shared" si="126"/>
        <v>4013.6164405732529</v>
      </c>
      <c r="L153" s="1512">
        <f t="shared" si="101"/>
        <v>0</v>
      </c>
      <c r="M153" s="1509">
        <f t="shared" si="127"/>
        <v>4013.6164405732529</v>
      </c>
      <c r="N153" s="1454">
        <f t="shared" si="131"/>
        <v>0.5</v>
      </c>
      <c r="O153" s="1511">
        <f t="shared" si="102"/>
        <v>751.91700000000026</v>
      </c>
      <c r="P153" s="1689">
        <f t="shared" si="130"/>
        <v>4765.5334405732528</v>
      </c>
      <c r="Q153" s="1364">
        <f t="shared" si="103"/>
        <v>61535.734084038202</v>
      </c>
      <c r="R153" s="1364">
        <f t="shared" si="128"/>
        <v>30788.392934214709</v>
      </c>
      <c r="S153" s="1091">
        <f t="shared" si="104"/>
        <v>0.80294373766159832</v>
      </c>
      <c r="T153" s="135" t="str">
        <f t="shared" si="105"/>
        <v>Yes</v>
      </c>
      <c r="U153" s="1091">
        <f t="shared" si="106"/>
        <v>0.80294373766159832</v>
      </c>
      <c r="V153" s="1494">
        <f t="shared" si="97"/>
        <v>66335.718673387426</v>
      </c>
      <c r="W153" s="1491">
        <f t="shared" si="98"/>
        <v>0.31700051021938846</v>
      </c>
      <c r="X153" s="527">
        <f t="shared" si="107"/>
        <v>30747.341149823493</v>
      </c>
      <c r="Y153" s="1509">
        <f t="shared" si="108"/>
        <v>11253.953733087073</v>
      </c>
      <c r="Z153" s="528">
        <f t="shared" si="109"/>
        <v>3830.9006389526726</v>
      </c>
      <c r="AA153" s="528">
        <f t="shared" si="110"/>
        <v>0</v>
      </c>
      <c r="AB153" s="528">
        <f t="shared" si="111"/>
        <v>20503.523151524198</v>
      </c>
      <c r="AC153" s="528">
        <f t="shared" si="112"/>
        <v>66335.718673387426</v>
      </c>
      <c r="AD153" s="1487">
        <f t="shared" si="113"/>
        <v>0</v>
      </c>
      <c r="AE153" s="1504">
        <f t="shared" si="114"/>
        <v>0.46351108821496367</v>
      </c>
      <c r="AF153" s="1504">
        <f t="shared" si="115"/>
        <v>0.16965149331534923</v>
      </c>
      <c r="AG153" s="1504">
        <f t="shared" si="116"/>
        <v>5.7750194247756813E-2</v>
      </c>
      <c r="AH153" s="1504">
        <f t="shared" si="129"/>
        <v>0</v>
      </c>
      <c r="AI153" s="1504">
        <f t="shared" si="117"/>
        <v>0.30908722422193047</v>
      </c>
      <c r="AJ153" s="1541">
        <f t="shared" si="118"/>
        <v>1.0000000000000002</v>
      </c>
      <c r="AK153" s="1555">
        <f t="shared" si="119"/>
        <v>23191.337720876683</v>
      </c>
      <c r="AL153" s="1498">
        <f t="shared" si="120"/>
        <v>7165.8433939890092</v>
      </c>
      <c r="AM153" s="1498">
        <f t="shared" si="121"/>
        <v>390.16003495780097</v>
      </c>
      <c r="AN153" s="1498">
        <f t="shared" si="122"/>
        <v>30747.341149823493</v>
      </c>
      <c r="AO153" s="1563">
        <f t="shared" si="123"/>
        <v>0</v>
      </c>
    </row>
    <row r="154" spans="1:41">
      <c r="A154" s="873">
        <f>'Input data'!A134</f>
        <v>2034</v>
      </c>
      <c r="B154" s="1551">
        <f>'Input data'!B134</f>
        <v>71.479792486390252</v>
      </c>
      <c r="C154" s="1550">
        <f>'Input data'!C134</f>
        <v>5838.79</v>
      </c>
      <c r="D154" s="1550">
        <f>'Input data'!D134</f>
        <v>30478258.098855209</v>
      </c>
      <c r="E154" s="1508">
        <f>'Input data'!J134*C154</f>
        <v>70246.748895380792</v>
      </c>
      <c r="F154" s="1509">
        <f>'Input data'!L134</f>
        <v>100725.006994236</v>
      </c>
      <c r="G154" s="1509">
        <f t="shared" si="133"/>
        <v>29669.987987956312</v>
      </c>
      <c r="H154" s="1509">
        <f t="shared" si="125"/>
        <v>39240.486903315308</v>
      </c>
      <c r="I154" s="1511">
        <f t="shared" si="99"/>
        <v>30478.258098855207</v>
      </c>
      <c r="J154" s="1504">
        <f t="shared" si="132"/>
        <v>0.2</v>
      </c>
      <c r="K154" s="1512">
        <f t="shared" si="126"/>
        <v>4219.7837574666955</v>
      </c>
      <c r="L154" s="1512">
        <f t="shared" si="101"/>
        <v>0</v>
      </c>
      <c r="M154" s="1509">
        <f t="shared" si="127"/>
        <v>4219.7837574666955</v>
      </c>
      <c r="N154" s="1454">
        <f t="shared" si="131"/>
        <v>0.5</v>
      </c>
      <c r="O154" s="1511">
        <f t="shared" si="102"/>
        <v>751.91700000000026</v>
      </c>
      <c r="P154" s="1689">
        <f t="shared" si="130"/>
        <v>4971.7007574666959</v>
      </c>
      <c r="Q154" s="1364">
        <f t="shared" si="103"/>
        <v>63938.774133804924</v>
      </c>
      <c r="R154" s="1364">
        <f t="shared" si="128"/>
        <v>34268.786145848615</v>
      </c>
      <c r="S154" s="1091">
        <f t="shared" si="104"/>
        <v>0.86633231118280152</v>
      </c>
      <c r="T154" s="135" t="str">
        <f t="shared" si="105"/>
        <v>Yes</v>
      </c>
      <c r="U154" s="1091">
        <f t="shared" si="106"/>
        <v>0.86633231118280152</v>
      </c>
      <c r="V154" s="1494">
        <f t="shared" si="97"/>
        <v>66456.220848387413</v>
      </c>
      <c r="W154" s="1491">
        <f t="shared" si="98"/>
        <v>0.34022123371815327</v>
      </c>
      <c r="X154" s="527">
        <f t="shared" si="107"/>
        <v>29669.987987956312</v>
      </c>
      <c r="Y154" s="1509">
        <f t="shared" si="108"/>
        <v>11720.880697085533</v>
      </c>
      <c r="Z154" s="528">
        <f t="shared" si="109"/>
        <v>3926.3322451557001</v>
      </c>
      <c r="AA154" s="528">
        <f t="shared" si="110"/>
        <v>0</v>
      </c>
      <c r="AB154" s="528">
        <f t="shared" si="111"/>
        <v>21139.019918189864</v>
      </c>
      <c r="AC154" s="528">
        <f t="shared" si="112"/>
        <v>66456.220848387413</v>
      </c>
      <c r="AD154" s="1487">
        <f t="shared" si="113"/>
        <v>0</v>
      </c>
      <c r="AE154" s="1504">
        <f t="shared" si="114"/>
        <v>0.44645915174209411</v>
      </c>
      <c r="AF154" s="1504">
        <f t="shared" si="115"/>
        <v>0.17636995524956856</v>
      </c>
      <c r="AG154" s="1504">
        <f t="shared" si="116"/>
        <v>5.9081485450597576E-2</v>
      </c>
      <c r="AH154" s="1504">
        <f t="shared" si="129"/>
        <v>0</v>
      </c>
      <c r="AI154" s="1504">
        <f t="shared" si="117"/>
        <v>0.31808940755773973</v>
      </c>
      <c r="AJ154" s="1541">
        <f t="shared" si="118"/>
        <v>1</v>
      </c>
      <c r="AK154" s="1555">
        <f t="shared" si="119"/>
        <v>24382.606479084166</v>
      </c>
      <c r="AL154" s="1498">
        <f t="shared" si="120"/>
        <v>5011.4091955062377</v>
      </c>
      <c r="AM154" s="1498">
        <f t="shared" si="121"/>
        <v>275.97231336590573</v>
      </c>
      <c r="AN154" s="1498">
        <f t="shared" si="122"/>
        <v>29669.987987956309</v>
      </c>
      <c r="AO154" s="1563">
        <f t="shared" si="123"/>
        <v>0</v>
      </c>
    </row>
    <row r="155" spans="1:41">
      <c r="A155" s="873">
        <f>'Input data'!A135</f>
        <v>2035</v>
      </c>
      <c r="B155" s="1551">
        <f>'Input data'!B135</f>
        <v>72.178572932855872</v>
      </c>
      <c r="C155" s="1550">
        <f>'Input data'!C135</f>
        <v>5978.8699999999981</v>
      </c>
      <c r="D155" s="1550">
        <f>'Input data'!D135</f>
        <v>23293526.984521989</v>
      </c>
      <c r="E155" s="1508">
        <f>'Input data'!J135*C155</f>
        <v>71932.057766784754</v>
      </c>
      <c r="F155" s="1509">
        <f>'Input data'!L135</f>
        <v>95225.584751306742</v>
      </c>
      <c r="G155" s="1509">
        <f t="shared" si="133"/>
        <v>28630.384101050156</v>
      </c>
      <c r="H155" s="1509">
        <f t="shared" si="125"/>
        <v>34504.60585776146</v>
      </c>
      <c r="I155" s="1511">
        <f t="shared" si="99"/>
        <v>23293.526984521988</v>
      </c>
      <c r="J155" s="1504">
        <f t="shared" si="132"/>
        <v>0.2</v>
      </c>
      <c r="K155" s="1512">
        <f t="shared" si="126"/>
        <v>3225.0414871015901</v>
      </c>
      <c r="L155" s="1512">
        <f t="shared" si="101"/>
        <v>0</v>
      </c>
      <c r="M155" s="1509">
        <f t="shared" si="127"/>
        <v>3225.0414871015901</v>
      </c>
      <c r="N155" s="1454">
        <f t="shared" si="131"/>
        <v>0.5</v>
      </c>
      <c r="O155" s="1511">
        <f t="shared" si="102"/>
        <v>751.91700000000026</v>
      </c>
      <c r="P155" s="1689">
        <f t="shared" si="130"/>
        <v>3976.9584871015904</v>
      </c>
      <c r="Q155" s="1364">
        <f t="shared" si="103"/>
        <v>59158.031471710026</v>
      </c>
      <c r="R155" s="1364">
        <f t="shared" si="128"/>
        <v>30527.64737065987</v>
      </c>
      <c r="S155" s="1091">
        <f t="shared" si="104"/>
        <v>0.75333734563420252</v>
      </c>
      <c r="T155" s="135" t="str">
        <f t="shared" si="105"/>
        <v>Yes</v>
      </c>
      <c r="U155" s="1091">
        <f t="shared" si="106"/>
        <v>0.75333734563420252</v>
      </c>
      <c r="V155" s="1494">
        <f t="shared" si="97"/>
        <v>64697.937380646879</v>
      </c>
      <c r="W155" s="1491">
        <f t="shared" si="98"/>
        <v>0.3205824091328664</v>
      </c>
      <c r="X155" s="527">
        <f t="shared" si="107"/>
        <v>28630.384101050156</v>
      </c>
      <c r="Y155" s="1509">
        <f t="shared" si="108"/>
        <v>10418.890875999088</v>
      </c>
      <c r="Z155" s="528">
        <f t="shared" si="109"/>
        <v>4002.4905052646268</v>
      </c>
      <c r="AA155" s="528">
        <f t="shared" si="110"/>
        <v>0</v>
      </c>
      <c r="AB155" s="528">
        <f t="shared" si="111"/>
        <v>21646.171898333007</v>
      </c>
      <c r="AC155" s="528">
        <f t="shared" si="112"/>
        <v>64697.937380646879</v>
      </c>
      <c r="AD155" s="1487">
        <f t="shared" si="113"/>
        <v>0</v>
      </c>
      <c r="AE155" s="1504">
        <f t="shared" si="114"/>
        <v>0.44252390818280363</v>
      </c>
      <c r="AF155" s="1504">
        <f t="shared" si="115"/>
        <v>0.16103899595283999</v>
      </c>
      <c r="AG155" s="1504">
        <f t="shared" si="116"/>
        <v>6.1864267506955999E-2</v>
      </c>
      <c r="AH155" s="1504">
        <f t="shared" si="129"/>
        <v>0</v>
      </c>
      <c r="AI155" s="1504">
        <f t="shared" si="117"/>
        <v>0.33457282835740038</v>
      </c>
      <c r="AJ155" s="1541">
        <f t="shared" si="118"/>
        <v>1</v>
      </c>
      <c r="AK155" s="1555">
        <f t="shared" si="119"/>
        <v>18634.821587617589</v>
      </c>
      <c r="AL155" s="1498">
        <f t="shared" si="120"/>
        <v>9469.6315663295645</v>
      </c>
      <c r="AM155" s="1498">
        <f t="shared" si="121"/>
        <v>525.93094710299533</v>
      </c>
      <c r="AN155" s="1498">
        <f t="shared" si="122"/>
        <v>28630.384101050149</v>
      </c>
      <c r="AO155" s="1563">
        <f t="shared" si="123"/>
        <v>0</v>
      </c>
    </row>
    <row r="156" spans="1:41">
      <c r="A156" s="873">
        <f>'Input data'!A136</f>
        <v>2036</v>
      </c>
      <c r="B156" s="1551">
        <f>'Input data'!B136</f>
        <v>72.865243718484663</v>
      </c>
      <c r="C156" s="1550">
        <f>'Input data'!C136</f>
        <v>6119.1299999999983</v>
      </c>
      <c r="D156" s="1550">
        <f>'Input data'!D136</f>
        <v>16814169.506355952</v>
      </c>
      <c r="E156" s="1508">
        <f>'Input data'!J136*C156</f>
        <v>73619.532226401585</v>
      </c>
      <c r="F156" s="1509">
        <f>'Input data'!L136</f>
        <v>90433.70173275753</v>
      </c>
      <c r="G156" s="1509">
        <f t="shared" si="133"/>
        <v>27627.206795850379</v>
      </c>
      <c r="H156" s="1509">
        <f t="shared" si="125"/>
        <v>30395.500344432668</v>
      </c>
      <c r="I156" s="1511">
        <f t="shared" si="99"/>
        <v>16814.169506355953</v>
      </c>
      <c r="J156" s="1504">
        <f t="shared" si="132"/>
        <v>0.2</v>
      </c>
      <c r="K156" s="1512">
        <f t="shared" si="126"/>
        <v>2327.9597917991805</v>
      </c>
      <c r="L156" s="1512">
        <f t="shared" si="101"/>
        <v>0</v>
      </c>
      <c r="M156" s="1509">
        <f t="shared" si="127"/>
        <v>2327.9597917991805</v>
      </c>
      <c r="N156" s="1454">
        <f t="shared" si="131"/>
        <v>0.5</v>
      </c>
      <c r="O156" s="1511">
        <f t="shared" si="102"/>
        <v>751.91700000000026</v>
      </c>
      <c r="P156" s="1689">
        <f t="shared" si="130"/>
        <v>3079.8767917991809</v>
      </c>
      <c r="Q156" s="1364">
        <f t="shared" si="103"/>
        <v>54942.830348483869</v>
      </c>
      <c r="R156" s="1364">
        <f t="shared" si="128"/>
        <v>27315.623552633489</v>
      </c>
      <c r="S156" s="1091">
        <f t="shared" si="104"/>
        <v>0.65834272111826342</v>
      </c>
      <c r="T156" s="135" t="str">
        <f t="shared" si="105"/>
        <v>Yes</v>
      </c>
      <c r="U156" s="1091">
        <f t="shared" si="106"/>
        <v>0.65834272111826342</v>
      </c>
      <c r="V156" s="1494">
        <f t="shared" si="97"/>
        <v>63118.078180124059</v>
      </c>
      <c r="W156" s="1491">
        <f t="shared" si="98"/>
        <v>0.3020513705538056</v>
      </c>
      <c r="X156" s="527">
        <f t="shared" si="107"/>
        <v>27627.206795850376</v>
      </c>
      <c r="Y156" s="1509">
        <f t="shared" si="108"/>
        <v>9258.1491984247805</v>
      </c>
      <c r="Z156" s="528">
        <f t="shared" si="109"/>
        <v>4078.7466272155002</v>
      </c>
      <c r="AA156" s="528">
        <f t="shared" si="110"/>
        <v>0</v>
      </c>
      <c r="AB156" s="528">
        <f t="shared" si="111"/>
        <v>22153.975558633399</v>
      </c>
      <c r="AC156" s="528">
        <f t="shared" si="112"/>
        <v>63118.078180124059</v>
      </c>
      <c r="AD156" s="1487">
        <f t="shared" si="113"/>
        <v>0</v>
      </c>
      <c r="AE156" s="1504">
        <f t="shared" si="114"/>
        <v>0.43770671719453919</v>
      </c>
      <c r="AF156" s="1504">
        <f t="shared" si="115"/>
        <v>0.14667983350196775</v>
      </c>
      <c r="AG156" s="1504">
        <f t="shared" si="116"/>
        <v>6.46208938043982E-2</v>
      </c>
      <c r="AH156" s="1504">
        <f t="shared" si="129"/>
        <v>0</v>
      </c>
      <c r="AI156" s="1504">
        <f t="shared" si="117"/>
        <v>0.3509925554990948</v>
      </c>
      <c r="AJ156" s="1541">
        <f t="shared" si="118"/>
        <v>0.99999999999999989</v>
      </c>
      <c r="AK156" s="1555">
        <f t="shared" si="119"/>
        <v>13451.335605084761</v>
      </c>
      <c r="AL156" s="1498">
        <f t="shared" si="120"/>
        <v>13424.277729268972</v>
      </c>
      <c r="AM156" s="1498">
        <f t="shared" si="121"/>
        <v>751.59346149663963</v>
      </c>
      <c r="AN156" s="1498">
        <f t="shared" si="122"/>
        <v>27627.206795850372</v>
      </c>
      <c r="AO156" s="1563">
        <f t="shared" si="123"/>
        <v>0</v>
      </c>
    </row>
    <row r="157" spans="1:41">
      <c r="A157" s="873">
        <f>'Input data'!A137</f>
        <v>2037</v>
      </c>
      <c r="B157" s="1551">
        <f>'Input data'!B137</f>
        <v>73.539326072165721</v>
      </c>
      <c r="C157" s="1550">
        <f>'Input data'!C137</f>
        <v>6283.2400000000007</v>
      </c>
      <c r="D157" s="1550">
        <f>'Input data'!D137</f>
        <v>17542322.49040458</v>
      </c>
      <c r="E157" s="1508">
        <f>'Input data'!J137*C157</f>
        <v>75593.947124217928</v>
      </c>
      <c r="F157" s="1509">
        <f>'Input data'!L137</f>
        <v>93136.269614622506</v>
      </c>
      <c r="G157" s="1509">
        <f t="shared" si="133"/>
        <v>26659.179724825448</v>
      </c>
      <c r="H157" s="1509">
        <f t="shared" si="125"/>
        <v>33179.797555673416</v>
      </c>
      <c r="I157" s="1511">
        <f t="shared" si="99"/>
        <v>17542.322490404578</v>
      </c>
      <c r="J157" s="1504">
        <f t="shared" si="132"/>
        <v>0.2</v>
      </c>
      <c r="K157" s="1512">
        <f t="shared" si="126"/>
        <v>2428.7742190893905</v>
      </c>
      <c r="L157" s="1512">
        <f t="shared" si="101"/>
        <v>0</v>
      </c>
      <c r="M157" s="1509">
        <f t="shared" si="127"/>
        <v>2428.7742190893905</v>
      </c>
      <c r="N157" s="1454">
        <f t="shared" si="131"/>
        <v>0.5</v>
      </c>
      <c r="O157" s="1511">
        <f t="shared" si="102"/>
        <v>751.91700000000026</v>
      </c>
      <c r="P157" s="1689">
        <f t="shared" si="130"/>
        <v>3180.6912190893909</v>
      </c>
      <c r="Q157" s="1364">
        <f t="shared" si="103"/>
        <v>56658.286061409475</v>
      </c>
      <c r="R157" s="1364">
        <f t="shared" si="128"/>
        <v>29999.106336584027</v>
      </c>
      <c r="S157" s="1091">
        <f t="shared" si="104"/>
        <v>0.70380079441679255</v>
      </c>
      <c r="T157" s="135" t="str">
        <f t="shared" si="105"/>
        <v>Yes</v>
      </c>
      <c r="U157" s="1091">
        <f t="shared" si="106"/>
        <v>0.70380079441679255</v>
      </c>
      <c r="V157" s="1494">
        <f t="shared" si="97"/>
        <v>63137.16327803849</v>
      </c>
      <c r="W157" s="1491">
        <f t="shared" si="98"/>
        <v>0.32209907548062378</v>
      </c>
      <c r="X157" s="527">
        <f t="shared" si="107"/>
        <v>26659.179724825452</v>
      </c>
      <c r="Y157" s="1509">
        <f t="shared" si="108"/>
        <v>9561.8872702212921</v>
      </c>
      <c r="Z157" s="528">
        <f t="shared" si="109"/>
        <v>4167.9694432240412</v>
      </c>
      <c r="AA157" s="528">
        <f t="shared" si="110"/>
        <v>0</v>
      </c>
      <c r="AB157" s="528">
        <f t="shared" si="111"/>
        <v>22748.126839767705</v>
      </c>
      <c r="AC157" s="528">
        <f t="shared" si="112"/>
        <v>63137.16327803849</v>
      </c>
      <c r="AD157" s="1487">
        <f t="shared" si="113"/>
        <v>0</v>
      </c>
      <c r="AE157" s="1504">
        <f t="shared" si="114"/>
        <v>0.42224227920132945</v>
      </c>
      <c r="AF157" s="1504">
        <f t="shared" si="115"/>
        <v>0.15144626039205156</v>
      </c>
      <c r="AG157" s="1504">
        <f t="shared" si="116"/>
        <v>6.6014518657885601E-2</v>
      </c>
      <c r="AH157" s="1504">
        <f t="shared" si="129"/>
        <v>0</v>
      </c>
      <c r="AI157" s="1504">
        <f t="shared" si="117"/>
        <v>0.36029694174873345</v>
      </c>
      <c r="AJ157" s="1541">
        <f t="shared" si="118"/>
        <v>1</v>
      </c>
      <c r="AK157" s="1555">
        <f t="shared" si="119"/>
        <v>14033.857992323661</v>
      </c>
      <c r="AL157" s="1498">
        <f t="shared" si="120"/>
        <v>11950.280772249424</v>
      </c>
      <c r="AM157" s="1498">
        <f t="shared" si="121"/>
        <v>675.04096025236208</v>
      </c>
      <c r="AN157" s="1498">
        <f t="shared" si="122"/>
        <v>26659.179724825448</v>
      </c>
      <c r="AO157" s="1563">
        <f t="shared" si="123"/>
        <v>0</v>
      </c>
    </row>
    <row r="158" spans="1:41">
      <c r="A158" s="873">
        <f>'Input data'!A138</f>
        <v>2038</v>
      </c>
      <c r="B158" s="1551">
        <f>'Input data'!B138</f>
        <v>74.200346452615136</v>
      </c>
      <c r="C158" s="1550">
        <f>'Input data'!C138</f>
        <v>6443.4999999999982</v>
      </c>
      <c r="D158" s="1550">
        <f>'Input data'!D138</f>
        <v>14615640.739395874</v>
      </c>
      <c r="E158" s="1508">
        <f>'Input data'!J138*C158</f>
        <v>77522.042496370981</v>
      </c>
      <c r="F158" s="1509">
        <f>'Input data'!L138</f>
        <v>92137.683235766861</v>
      </c>
      <c r="G158" s="1509">
        <f t="shared" si="133"/>
        <v>25725.071262263602</v>
      </c>
      <c r="H158" s="1509">
        <f t="shared" si="125"/>
        <v>32473.709762667047</v>
      </c>
      <c r="I158" s="1511">
        <f t="shared" si="99"/>
        <v>14615.640739395874</v>
      </c>
      <c r="J158" s="1504">
        <f t="shared" si="132"/>
        <v>0.2</v>
      </c>
      <c r="K158" s="1512">
        <f t="shared" si="126"/>
        <v>2023.5685122499772</v>
      </c>
      <c r="L158" s="1512">
        <f t="shared" si="101"/>
        <v>0</v>
      </c>
      <c r="M158" s="1509">
        <f t="shared" si="127"/>
        <v>2023.5685122499772</v>
      </c>
      <c r="N158" s="1454">
        <f t="shared" si="131"/>
        <v>0.5</v>
      </c>
      <c r="O158" s="1511">
        <f t="shared" si="102"/>
        <v>751.91700000000026</v>
      </c>
      <c r="P158" s="1689">
        <f t="shared" si="130"/>
        <v>2775.4855122499775</v>
      </c>
      <c r="Q158" s="1364">
        <f t="shared" si="103"/>
        <v>55423.29551268067</v>
      </c>
      <c r="R158" s="1364">
        <f t="shared" si="128"/>
        <v>29698.224250417068</v>
      </c>
      <c r="S158" s="1091">
        <f t="shared" si="104"/>
        <v>0.67911485380803238</v>
      </c>
      <c r="T158" s="135" t="str">
        <f t="shared" si="105"/>
        <v>Yes</v>
      </c>
      <c r="U158" s="1091">
        <f t="shared" si="106"/>
        <v>0.67911485380803238</v>
      </c>
      <c r="V158" s="1494">
        <f t="shared" si="97"/>
        <v>62439.458985349796</v>
      </c>
      <c r="W158" s="1491">
        <f t="shared" si="98"/>
        <v>0.32232440850963928</v>
      </c>
      <c r="X158" s="527">
        <f t="shared" si="107"/>
        <v>25725.071262263602</v>
      </c>
      <c r="Y158" s="1509">
        <f t="shared" si="108"/>
        <v>9130.9492134896718</v>
      </c>
      <c r="Z158" s="528">
        <f t="shared" si="109"/>
        <v>4255.0991031687627</v>
      </c>
      <c r="AA158" s="528">
        <f t="shared" si="110"/>
        <v>0</v>
      </c>
      <c r="AB158" s="528">
        <f t="shared" si="111"/>
        <v>23328.33940642776</v>
      </c>
      <c r="AC158" s="528">
        <f t="shared" si="112"/>
        <v>62439.458985349796</v>
      </c>
      <c r="AD158" s="1487">
        <f t="shared" si="113"/>
        <v>0</v>
      </c>
      <c r="AE158" s="1504">
        <f t="shared" si="114"/>
        <v>0.41200022678446796</v>
      </c>
      <c r="AF158" s="1504">
        <f t="shared" si="115"/>
        <v>0.14623684064322323</v>
      </c>
      <c r="AG158" s="1504">
        <f t="shared" si="116"/>
        <v>6.8147597245631783E-2</v>
      </c>
      <c r="AH158" s="1504">
        <f t="shared" si="129"/>
        <v>0</v>
      </c>
      <c r="AI158" s="1504">
        <f t="shared" si="117"/>
        <v>0.37361533532667701</v>
      </c>
      <c r="AJ158" s="1541">
        <f t="shared" si="118"/>
        <v>1</v>
      </c>
      <c r="AK158" s="1555">
        <f t="shared" si="119"/>
        <v>11692.512591516697</v>
      </c>
      <c r="AL158" s="1498">
        <f t="shared" si="120"/>
        <v>13276.451641923461</v>
      </c>
      <c r="AM158" s="1498">
        <f t="shared" si="121"/>
        <v>756.10702882344106</v>
      </c>
      <c r="AN158" s="1498">
        <f t="shared" si="122"/>
        <v>25725.071262263598</v>
      </c>
      <c r="AO158" s="1563">
        <f t="shared" si="123"/>
        <v>0</v>
      </c>
    </row>
    <row r="159" spans="1:41">
      <c r="A159" s="873">
        <f>'Input data'!A139</f>
        <v>2039</v>
      </c>
      <c r="B159" s="1551">
        <f>'Input data'!B139</f>
        <v>74.847837096563296</v>
      </c>
      <c r="C159" s="1550">
        <f>'Input data'!C139</f>
        <v>6615.260000000002</v>
      </c>
      <c r="D159" s="1550">
        <f>'Input data'!D139</f>
        <v>11688958.988387169</v>
      </c>
      <c r="E159" s="1508">
        <f>'Input data'!J139*C159</f>
        <v>79588.494893232477</v>
      </c>
      <c r="F159" s="1509">
        <f>'Input data'!L139</f>
        <v>91277.453881619644</v>
      </c>
      <c r="G159" s="1509">
        <f t="shared" si="133"/>
        <v>24823.692937269236</v>
      </c>
      <c r="H159" s="1509">
        <f t="shared" si="125"/>
        <v>31814.282077936867</v>
      </c>
      <c r="I159" s="1511">
        <f t="shared" si="99"/>
        <v>11688.958988387169</v>
      </c>
      <c r="J159" s="1504">
        <f t="shared" si="132"/>
        <v>0.2</v>
      </c>
      <c r="K159" s="1512">
        <f t="shared" si="126"/>
        <v>1618.3628054105625</v>
      </c>
      <c r="L159" s="1512">
        <f t="shared" si="101"/>
        <v>0</v>
      </c>
      <c r="M159" s="1509">
        <f t="shared" si="127"/>
        <v>1618.3628054105625</v>
      </c>
      <c r="N159" s="1454">
        <f t="shared" si="131"/>
        <v>0.5</v>
      </c>
      <c r="O159" s="1511">
        <f t="shared" si="102"/>
        <v>751.91700000000026</v>
      </c>
      <c r="P159" s="1689">
        <f t="shared" si="130"/>
        <v>2370.2798054105629</v>
      </c>
      <c r="Q159" s="1364">
        <f t="shared" si="103"/>
        <v>54267.695209795536</v>
      </c>
      <c r="R159" s="1364">
        <f t="shared" si="128"/>
        <v>29444.002272526301</v>
      </c>
      <c r="S159" s="1091">
        <f t="shared" si="104"/>
        <v>0.65552712044027617</v>
      </c>
      <c r="T159" s="135" t="str">
        <f t="shared" si="105"/>
        <v>Yes</v>
      </c>
      <c r="U159" s="1091">
        <f t="shared" si="106"/>
        <v>0.65552712044027617</v>
      </c>
      <c r="V159" s="1494">
        <f t="shared" si="97"/>
        <v>61833.451609093347</v>
      </c>
      <c r="W159" s="1491">
        <f t="shared" si="98"/>
        <v>0.32257694556985639</v>
      </c>
      <c r="X159" s="527">
        <f t="shared" si="107"/>
        <v>24823.692937269239</v>
      </c>
      <c r="Y159" s="1509">
        <f t="shared" si="108"/>
        <v>8711.0905301195107</v>
      </c>
      <c r="Z159" s="528">
        <f t="shared" si="109"/>
        <v>4348.4810474599535</v>
      </c>
      <c r="AA159" s="528">
        <f t="shared" si="110"/>
        <v>0</v>
      </c>
      <c r="AB159" s="528">
        <f t="shared" si="111"/>
        <v>23950.187094244651</v>
      </c>
      <c r="AC159" s="528">
        <f t="shared" si="112"/>
        <v>61833.451609093347</v>
      </c>
      <c r="AD159" s="1487">
        <f t="shared" si="113"/>
        <v>0</v>
      </c>
      <c r="AE159" s="1504">
        <f t="shared" si="114"/>
        <v>0.40146057338352786</v>
      </c>
      <c r="AF159" s="1504">
        <f t="shared" si="115"/>
        <v>0.14087990082116716</v>
      </c>
      <c r="AG159" s="1504">
        <f t="shared" si="116"/>
        <v>7.0325704522379559E-2</v>
      </c>
      <c r="AH159" s="1504">
        <f t="shared" si="129"/>
        <v>0</v>
      </c>
      <c r="AI159" s="1504">
        <f t="shared" si="117"/>
        <v>0.38733382127292554</v>
      </c>
      <c r="AJ159" s="1541">
        <f t="shared" si="118"/>
        <v>1</v>
      </c>
      <c r="AK159" s="1555">
        <f t="shared" si="119"/>
        <v>9351.1671907097352</v>
      </c>
      <c r="AL159" s="1498">
        <f t="shared" si="120"/>
        <v>14632.297566519759</v>
      </c>
      <c r="AM159" s="1498">
        <f t="shared" si="121"/>
        <v>840.2281800397443</v>
      </c>
      <c r="AN159" s="1498">
        <f t="shared" si="122"/>
        <v>24823.692937269236</v>
      </c>
      <c r="AO159" s="1563">
        <f t="shared" si="123"/>
        <v>0</v>
      </c>
    </row>
    <row r="160" spans="1:41" s="1" customFormat="1">
      <c r="A160" s="873">
        <f>'Input data'!A140</f>
        <v>2040</v>
      </c>
      <c r="B160" s="1551">
        <f>'Input data'!B140</f>
        <v>75.481336564720067</v>
      </c>
      <c r="C160" s="1550">
        <f>'Input data'!C140</f>
        <v>6787.6000000000013</v>
      </c>
      <c r="D160" s="1550">
        <f>'Input data'!D140</f>
        <v>8762277.2373784631</v>
      </c>
      <c r="E160" s="1508">
        <f>'Input data'!J140*C160</f>
        <v>81661.925296557456</v>
      </c>
      <c r="F160" s="1509">
        <f>'Input data'!L140</f>
        <v>90424.202533935924</v>
      </c>
      <c r="G160" s="1509">
        <f>G137*(1-$C$5)</f>
        <v>23953.89792166539</v>
      </c>
      <c r="H160" s="1509">
        <f t="shared" si="125"/>
        <v>31127.275113606505</v>
      </c>
      <c r="I160" s="1511">
        <f t="shared" si="99"/>
        <v>8762.2772373784628</v>
      </c>
      <c r="J160" s="1504">
        <f t="shared" si="132"/>
        <v>0.2</v>
      </c>
      <c r="K160" s="1512">
        <f t="shared" si="126"/>
        <v>1213.1570985711483</v>
      </c>
      <c r="L160" s="1512">
        <f t="shared" si="101"/>
        <v>0</v>
      </c>
      <c r="M160" s="1509">
        <f t="shared" si="127"/>
        <v>1213.1570985711483</v>
      </c>
      <c r="N160" s="1454">
        <f t="shared" si="131"/>
        <v>0.5</v>
      </c>
      <c r="O160" s="1511">
        <f t="shared" si="102"/>
        <v>751.91700000000026</v>
      </c>
      <c r="P160" s="1689">
        <f t="shared" si="130"/>
        <v>1965.0740985711486</v>
      </c>
      <c r="Q160" s="1364">
        <f t="shared" si="103"/>
        <v>53116.09893670075</v>
      </c>
      <c r="R160" s="1364">
        <f t="shared" si="128"/>
        <v>29162.20101503536</v>
      </c>
      <c r="S160" s="1091">
        <f t="shared" si="104"/>
        <v>0.63249958182886246</v>
      </c>
      <c r="T160" s="135" t="str">
        <f t="shared" si="105"/>
        <v>Yes</v>
      </c>
      <c r="U160" s="1091">
        <f t="shared" si="106"/>
        <v>0.63249958182886246</v>
      </c>
      <c r="V160" s="1494">
        <f t="shared" si="97"/>
        <v>61262.001518900579</v>
      </c>
      <c r="W160" s="1491">
        <f t="shared" si="98"/>
        <v>0.32250437601692827</v>
      </c>
      <c r="X160" s="527">
        <f t="shared" si="107"/>
        <v>23953.89792166539</v>
      </c>
      <c r="Y160" s="1509">
        <f t="shared" si="108"/>
        <v>8291.7906325362692</v>
      </c>
      <c r="Z160" s="528">
        <f t="shared" si="109"/>
        <v>4442.1783243529617</v>
      </c>
      <c r="AA160" s="528">
        <f t="shared" si="110"/>
        <v>0</v>
      </c>
      <c r="AB160" s="528">
        <f t="shared" si="111"/>
        <v>24574.134640345954</v>
      </c>
      <c r="AC160" s="528">
        <f t="shared" si="112"/>
        <v>61262.001518900579</v>
      </c>
      <c r="AD160" s="1487">
        <f t="shared" si="113"/>
        <v>0</v>
      </c>
      <c r="AE160" s="1504">
        <f t="shared" si="114"/>
        <v>0.39100743246652042</v>
      </c>
      <c r="AF160" s="1504">
        <f t="shared" si="115"/>
        <v>0.13534965275298885</v>
      </c>
      <c r="AG160" s="1504">
        <f t="shared" si="116"/>
        <v>7.2511152332860998E-2</v>
      </c>
      <c r="AH160" s="1504">
        <f t="shared" si="129"/>
        <v>0</v>
      </c>
      <c r="AI160" s="1504">
        <f t="shared" si="117"/>
        <v>0.40113176244762966</v>
      </c>
      <c r="AJ160" s="1541">
        <f t="shared" si="118"/>
        <v>1</v>
      </c>
      <c r="AK160" s="1555">
        <f t="shared" si="119"/>
        <v>7009.8217899027713</v>
      </c>
      <c r="AL160" s="1498">
        <f t="shared" si="120"/>
        <v>16017.128126014048</v>
      </c>
      <c r="AM160" s="1498">
        <f t="shared" si="121"/>
        <v>926.94800574856799</v>
      </c>
      <c r="AN160" s="1498">
        <f t="shared" si="122"/>
        <v>23953.897921665386</v>
      </c>
      <c r="AO160" s="1563">
        <f t="shared" si="123"/>
        <v>0</v>
      </c>
    </row>
    <row r="161" spans="1:41">
      <c r="A161" s="873">
        <f>'Input data'!A141</f>
        <v>2041</v>
      </c>
      <c r="B161" s="1551">
        <f>'Input data'!B141</f>
        <v>76.101885632753024</v>
      </c>
      <c r="C161" s="1550">
        <f>'Input data'!C141</f>
        <v>6981.3799999999992</v>
      </c>
      <c r="D161" s="1550">
        <f>'Input data'!D141</f>
        <v>7249397.5356904445</v>
      </c>
      <c r="E161" s="1508">
        <f>'Input data'!J141*C161</f>
        <v>83993.301318121303</v>
      </c>
      <c r="F161" s="1509">
        <f>'Input data'!L141</f>
        <v>91242.698853811744</v>
      </c>
      <c r="G161" s="1509">
        <f>$G$160*(1+((($G$170/$G$160)^(1/($A$170-$A$160)))-1))^(A161-$A$160)</f>
        <v>22650.218174049241</v>
      </c>
      <c r="H161" s="1509">
        <f t="shared" si="125"/>
        <v>32348.949643903299</v>
      </c>
      <c r="I161" s="1511">
        <f t="shared" si="99"/>
        <v>7249.3975356904448</v>
      </c>
      <c r="J161" s="1504">
        <f t="shared" si="132"/>
        <v>0.2</v>
      </c>
      <c r="K161" s="1512">
        <f t="shared" si="126"/>
        <v>1003.695482638972</v>
      </c>
      <c r="L161" s="1512">
        <f t="shared" si="101"/>
        <v>0</v>
      </c>
      <c r="M161" s="1509">
        <f t="shared" si="127"/>
        <v>1003.695482638972</v>
      </c>
      <c r="N161" s="1454">
        <f t="shared" si="131"/>
        <v>0.5</v>
      </c>
      <c r="O161" s="1511">
        <f t="shared" si="102"/>
        <v>751.91700000000026</v>
      </c>
      <c r="P161" s="1689">
        <f t="shared" si="130"/>
        <v>1755.6124826389723</v>
      </c>
      <c r="Q161" s="1364">
        <f t="shared" si="103"/>
        <v>53243.555335313569</v>
      </c>
      <c r="R161" s="1364">
        <f t="shared" si="128"/>
        <v>30593.337161264328</v>
      </c>
      <c r="S161" s="1091">
        <f t="shared" si="104"/>
        <v>0.64482997017002386</v>
      </c>
      <c r="T161" s="135" t="str">
        <f t="shared" si="105"/>
        <v>Yes</v>
      </c>
      <c r="U161" s="1091">
        <f t="shared" si="106"/>
        <v>0.64482997017002386</v>
      </c>
      <c r="V161" s="1494">
        <f t="shared" si="97"/>
        <v>60649.361692547434</v>
      </c>
      <c r="W161" s="1491">
        <f t="shared" si="98"/>
        <v>0.3352962762563686</v>
      </c>
      <c r="X161" s="527">
        <f t="shared" si="107"/>
        <v>22650.218174049238</v>
      </c>
      <c r="Y161" s="1509">
        <f t="shared" si="108"/>
        <v>8175.9069504579966</v>
      </c>
      <c r="Z161" s="528">
        <f t="shared" si="109"/>
        <v>4547.532033975378</v>
      </c>
      <c r="AA161" s="528">
        <f t="shared" si="110"/>
        <v>0</v>
      </c>
      <c r="AB161" s="528">
        <f t="shared" si="111"/>
        <v>25275.704534064822</v>
      </c>
      <c r="AC161" s="528">
        <f t="shared" si="112"/>
        <v>60649.361692547434</v>
      </c>
      <c r="AD161" s="1487">
        <f t="shared" si="113"/>
        <v>0</v>
      </c>
      <c r="AE161" s="1504">
        <f t="shared" si="114"/>
        <v>0.37346177341273629</v>
      </c>
      <c r="AF161" s="1504">
        <f t="shared" si="115"/>
        <v>0.1348061500120066</v>
      </c>
      <c r="AG161" s="1504">
        <f t="shared" si="116"/>
        <v>7.4980707250117296E-2</v>
      </c>
      <c r="AH161" s="1504">
        <f t="shared" si="129"/>
        <v>0</v>
      </c>
      <c r="AI161" s="1504">
        <f t="shared" si="117"/>
        <v>0.41675136932513979</v>
      </c>
      <c r="AJ161" s="1541">
        <f t="shared" si="118"/>
        <v>1</v>
      </c>
      <c r="AK161" s="1555">
        <f t="shared" si="119"/>
        <v>5799.5180285523556</v>
      </c>
      <c r="AL161" s="1498">
        <f t="shared" si="120"/>
        <v>15921.653210890099</v>
      </c>
      <c r="AM161" s="1498">
        <f t="shared" si="121"/>
        <v>929.0469346067764</v>
      </c>
      <c r="AN161" s="1498">
        <f t="shared" si="122"/>
        <v>22650.218174049231</v>
      </c>
      <c r="AO161" s="1563">
        <f t="shared" si="123"/>
        <v>0</v>
      </c>
    </row>
    <row r="162" spans="1:41">
      <c r="A162" s="873">
        <f>'Input data'!A142</f>
        <v>2042</v>
      </c>
      <c r="B162" s="1551">
        <f>'Input data'!B142</f>
        <v>76.709073592680113</v>
      </c>
      <c r="C162" s="1550">
        <f>'Input data'!C142</f>
        <v>7178.2100000000019</v>
      </c>
      <c r="D162" s="1550">
        <f>'Input data'!D142</f>
        <v>5736517.8340024278</v>
      </c>
      <c r="E162" s="1508">
        <f>'Input data'!J142*C162</f>
        <v>86361.372028846978</v>
      </c>
      <c r="F162" s="1509">
        <f>'Input data'!L142</f>
        <v>92097.889862849406</v>
      </c>
      <c r="G162" s="1509">
        <f t="shared" ref="G162:G169" si="134">$G$160*(1+((($G$170/$G$160)^(1/($A$170-$A$160)))-1))^(A162-$A$160)</f>
        <v>21417.490590039302</v>
      </c>
      <c r="H162" s="1509">
        <f t="shared" si="125"/>
        <v>33520.727684491561</v>
      </c>
      <c r="I162" s="1511">
        <f t="shared" si="99"/>
        <v>5736.5178340024277</v>
      </c>
      <c r="J162" s="1504">
        <f t="shared" si="132"/>
        <v>0.2</v>
      </c>
      <c r="K162" s="1512">
        <f t="shared" si="126"/>
        <v>794.23386670679554</v>
      </c>
      <c r="L162" s="1512">
        <f t="shared" si="101"/>
        <v>0</v>
      </c>
      <c r="M162" s="1509">
        <f t="shared" si="127"/>
        <v>794.23386670679554</v>
      </c>
      <c r="N162" s="1454">
        <f t="shared" si="131"/>
        <v>0.5</v>
      </c>
      <c r="O162" s="1511">
        <f t="shared" si="102"/>
        <v>751.91700000000026</v>
      </c>
      <c r="P162" s="1689">
        <f t="shared" si="130"/>
        <v>1546.1508667067958</v>
      </c>
      <c r="Q162" s="1364">
        <f t="shared" si="103"/>
        <v>53392.067407824063</v>
      </c>
      <c r="R162" s="1364">
        <f t="shared" si="128"/>
        <v>31974.57681778476</v>
      </c>
      <c r="S162" s="1091">
        <f t="shared" si="104"/>
        <v>0.65517843240951879</v>
      </c>
      <c r="T162" s="135" t="str">
        <f t="shared" si="105"/>
        <v>Yes</v>
      </c>
      <c r="U162" s="1091">
        <f t="shared" si="106"/>
        <v>0.65517843240951879</v>
      </c>
      <c r="V162" s="1494">
        <f t="shared" si="97"/>
        <v>60123.313045064649</v>
      </c>
      <c r="W162" s="1491">
        <f t="shared" si="98"/>
        <v>0.34718034110662843</v>
      </c>
      <c r="X162" s="527">
        <f t="shared" si="107"/>
        <v>21417.490590039302</v>
      </c>
      <c r="Y162" s="1509">
        <f t="shared" si="108"/>
        <v>8062.9617108799384</v>
      </c>
      <c r="Z162" s="528">
        <f t="shared" si="109"/>
        <v>4654.5439581418577</v>
      </c>
      <c r="AA162" s="528">
        <f t="shared" si="110"/>
        <v>0</v>
      </c>
      <c r="AB162" s="528">
        <f t="shared" si="111"/>
        <v>25988.316786003554</v>
      </c>
      <c r="AC162" s="528">
        <f t="shared" si="112"/>
        <v>60123.313045064649</v>
      </c>
      <c r="AD162" s="1487">
        <f t="shared" si="113"/>
        <v>0</v>
      </c>
      <c r="AE162" s="1504">
        <f t="shared" si="114"/>
        <v>0.35622605450877431</v>
      </c>
      <c r="AF162" s="1504">
        <f t="shared" si="115"/>
        <v>0.13410707598292945</v>
      </c>
      <c r="AG162" s="1504">
        <f t="shared" si="116"/>
        <v>7.7416624640313889E-2</v>
      </c>
      <c r="AH162" s="1504">
        <f t="shared" si="129"/>
        <v>0</v>
      </c>
      <c r="AI162" s="1504">
        <f t="shared" si="117"/>
        <v>0.43225024486798236</v>
      </c>
      <c r="AJ162" s="1541">
        <f t="shared" si="118"/>
        <v>1</v>
      </c>
      <c r="AK162" s="1555">
        <f t="shared" si="119"/>
        <v>4589.2142672019427</v>
      </c>
      <c r="AL162" s="1498">
        <f t="shared" si="120"/>
        <v>15893.558781861308</v>
      </c>
      <c r="AM162" s="1498">
        <f t="shared" si="121"/>
        <v>934.71754097604901</v>
      </c>
      <c r="AN162" s="1498">
        <f t="shared" si="122"/>
        <v>21417.490590039299</v>
      </c>
      <c r="AO162" s="1563">
        <f t="shared" si="123"/>
        <v>0</v>
      </c>
    </row>
    <row r="163" spans="1:41">
      <c r="A163" s="873">
        <f>'Input data'!A143</f>
        <v>2043</v>
      </c>
      <c r="B163" s="1551">
        <f>'Input data'!B143</f>
        <v>77.302495984815266</v>
      </c>
      <c r="C163" s="1550">
        <f>'Input data'!C143</f>
        <v>7380.12</v>
      </c>
      <c r="D163" s="1550">
        <f>'Input data'!D143</f>
        <v>4223638.132314411</v>
      </c>
      <c r="E163" s="1508">
        <f>'Input data'!J143*C163</f>
        <v>88790.560451356811</v>
      </c>
      <c r="F163" s="1509">
        <f>'Input data'!L143</f>
        <v>93014.198583671227</v>
      </c>
      <c r="G163" s="1509">
        <f t="shared" si="134"/>
        <v>20251.853631148377</v>
      </c>
      <c r="H163" s="1509">
        <f t="shared" si="125"/>
        <v>34660.484878124749</v>
      </c>
      <c r="I163" s="1511">
        <f t="shared" si="99"/>
        <v>4223.6381323144105</v>
      </c>
      <c r="J163" s="1504">
        <f t="shared" si="132"/>
        <v>0.2</v>
      </c>
      <c r="K163" s="1512">
        <f t="shared" si="126"/>
        <v>584.77225077461912</v>
      </c>
      <c r="L163" s="1512">
        <f t="shared" si="101"/>
        <v>0</v>
      </c>
      <c r="M163" s="1509">
        <f t="shared" si="127"/>
        <v>584.77225077461912</v>
      </c>
      <c r="N163" s="1454">
        <f t="shared" si="131"/>
        <v>0.5</v>
      </c>
      <c r="O163" s="1511">
        <f t="shared" si="102"/>
        <v>751.91700000000026</v>
      </c>
      <c r="P163" s="1689">
        <f t="shared" si="130"/>
        <v>1336.6892507746193</v>
      </c>
      <c r="Q163" s="1364">
        <f t="shared" si="103"/>
        <v>53575.64925849851</v>
      </c>
      <c r="R163" s="1364">
        <f t="shared" si="128"/>
        <v>33323.795627350133</v>
      </c>
      <c r="S163" s="1091">
        <f t="shared" si="104"/>
        <v>0.66386375799349906</v>
      </c>
      <c r="T163" s="135" t="str">
        <f t="shared" si="105"/>
        <v>Yes</v>
      </c>
      <c r="U163" s="1091">
        <f t="shared" si="106"/>
        <v>0.66386375799349906</v>
      </c>
      <c r="V163" s="1494">
        <f t="shared" si="97"/>
        <v>59690.402956321108</v>
      </c>
      <c r="W163" s="1491">
        <f t="shared" si="98"/>
        <v>0.35826568561329475</v>
      </c>
      <c r="X163" s="527">
        <f t="shared" si="107"/>
        <v>20251.853631148377</v>
      </c>
      <c r="Y163" s="1509">
        <f t="shared" si="108"/>
        <v>7954.9106640563259</v>
      </c>
      <c r="Z163" s="528">
        <f t="shared" si="109"/>
        <v>4764.3177609587738</v>
      </c>
      <c r="AA163" s="528">
        <f t="shared" si="110"/>
        <v>0</v>
      </c>
      <c r="AB163" s="528">
        <f t="shared" si="111"/>
        <v>26719.320900157629</v>
      </c>
      <c r="AC163" s="528">
        <f t="shared" si="112"/>
        <v>59690.402956321108</v>
      </c>
      <c r="AD163" s="1487">
        <f t="shared" si="113"/>
        <v>0</v>
      </c>
      <c r="AE163" s="1504">
        <f t="shared" si="114"/>
        <v>0.33928157003677489</v>
      </c>
      <c r="AF163" s="1504">
        <f t="shared" si="115"/>
        <v>0.13326950849833247</v>
      </c>
      <c r="AG163" s="1504">
        <f t="shared" si="116"/>
        <v>7.9817148569847965E-2</v>
      </c>
      <c r="AH163" s="1504">
        <f t="shared" si="129"/>
        <v>0</v>
      </c>
      <c r="AI163" s="1504">
        <f t="shared" si="117"/>
        <v>0.44763177289504458</v>
      </c>
      <c r="AJ163" s="1541">
        <f t="shared" si="118"/>
        <v>1</v>
      </c>
      <c r="AK163" s="1555">
        <f t="shared" si="119"/>
        <v>3378.9105058515279</v>
      </c>
      <c r="AL163" s="1498">
        <f t="shared" si="120"/>
        <v>15929.030171964629</v>
      </c>
      <c r="AM163" s="1498">
        <f t="shared" si="121"/>
        <v>943.91295333221683</v>
      </c>
      <c r="AN163" s="1498">
        <f t="shared" si="122"/>
        <v>20251.853631148373</v>
      </c>
      <c r="AO163" s="1563">
        <f t="shared" si="123"/>
        <v>0</v>
      </c>
    </row>
    <row r="164" spans="1:41">
      <c r="A164" s="873">
        <f>'Input data'!A144</f>
        <v>2044</v>
      </c>
      <c r="B164" s="1551">
        <f>'Input data'!B144</f>
        <v>77.881755043150378</v>
      </c>
      <c r="C164" s="1550">
        <f>'Input data'!C144</f>
        <v>7589.87</v>
      </c>
      <c r="D164" s="1550">
        <f>'Input data'!D144</f>
        <v>2710758.4306263938</v>
      </c>
      <c r="E164" s="1508">
        <f>'Input data'!J144*C164</f>
        <v>91314.072271580881</v>
      </c>
      <c r="F164" s="1509">
        <f>'Input data'!L144</f>
        <v>94024.830702207269</v>
      </c>
      <c r="G164" s="1509">
        <f t="shared" si="134"/>
        <v>19149.655921324487</v>
      </c>
      <c r="H164" s="1509">
        <f t="shared" si="125"/>
        <v>35790.92625985734</v>
      </c>
      <c r="I164" s="1511">
        <f t="shared" si="99"/>
        <v>2710.7584306263939</v>
      </c>
      <c r="J164" s="1504">
        <f t="shared" si="132"/>
        <v>0.2</v>
      </c>
      <c r="K164" s="1512">
        <f t="shared" si="126"/>
        <v>375.31063484244271</v>
      </c>
      <c r="L164" s="1512">
        <f t="shared" si="101"/>
        <v>0</v>
      </c>
      <c r="M164" s="1509">
        <f t="shared" si="127"/>
        <v>375.31063484244271</v>
      </c>
      <c r="N164" s="1454">
        <f t="shared" si="131"/>
        <v>0.5</v>
      </c>
      <c r="O164" s="1511">
        <f t="shared" si="102"/>
        <v>751.91700000000026</v>
      </c>
      <c r="P164" s="1689">
        <f t="shared" si="130"/>
        <v>1127.227634842443</v>
      </c>
      <c r="Q164" s="1364">
        <f t="shared" si="103"/>
        <v>53813.354546339389</v>
      </c>
      <c r="R164" s="1364">
        <f t="shared" si="128"/>
        <v>34663.698625014906</v>
      </c>
      <c r="S164" s="1091">
        <f t="shared" si="104"/>
        <v>0.67119504113022432</v>
      </c>
      <c r="T164" s="135" t="str">
        <f t="shared" si="105"/>
        <v>Yes</v>
      </c>
      <c r="U164" s="1091">
        <f t="shared" si="106"/>
        <v>0.67119504113022432</v>
      </c>
      <c r="V164" s="1494">
        <f>AC164</f>
        <v>59361.132077192393</v>
      </c>
      <c r="W164" s="1491">
        <f t="shared" si="98"/>
        <v>0.36866536601167343</v>
      </c>
      <c r="X164" s="527">
        <f t="shared" si="107"/>
        <v>19149.655921324487</v>
      </c>
      <c r="Y164" s="1509">
        <f t="shared" si="108"/>
        <v>7854.4128595939146</v>
      </c>
      <c r="Z164" s="528">
        <f t="shared" si="109"/>
        <v>4878.3539906692804</v>
      </c>
      <c r="AA164" s="528">
        <f t="shared" si="110"/>
        <v>0</v>
      </c>
      <c r="AB164" s="528">
        <f t="shared" si="111"/>
        <v>27478.709305604705</v>
      </c>
      <c r="AC164" s="528">
        <f t="shared" si="112"/>
        <v>59361.132077192393</v>
      </c>
      <c r="AD164" s="1487">
        <f t="shared" si="113"/>
        <v>0</v>
      </c>
      <c r="AE164" s="1504">
        <f t="shared" si="114"/>
        <v>0.32259586788915245</v>
      </c>
      <c r="AF164" s="1504">
        <f t="shared" si="115"/>
        <v>0.13231575249239089</v>
      </c>
      <c r="AG164" s="1504">
        <f t="shared" si="116"/>
        <v>8.2180946015745396E-2</v>
      </c>
      <c r="AH164" s="1504">
        <f t="shared" si="129"/>
        <v>0</v>
      </c>
      <c r="AI164" s="1504">
        <f t="shared" si="117"/>
        <v>0.46290743360271114</v>
      </c>
      <c r="AJ164" s="1541">
        <f t="shared" si="118"/>
        <v>0.99999999999999989</v>
      </c>
      <c r="AK164" s="1555">
        <f t="shared" si="119"/>
        <v>2168.6067445011149</v>
      </c>
      <c r="AL164" s="1498">
        <f t="shared" si="120"/>
        <v>16024.454972171889</v>
      </c>
      <c r="AM164" s="1498">
        <f t="shared" si="121"/>
        <v>956.59420465147934</v>
      </c>
      <c r="AN164" s="1498">
        <f t="shared" si="122"/>
        <v>19149.655921324484</v>
      </c>
      <c r="AO164" s="1563">
        <f t="shared" si="123"/>
        <v>0</v>
      </c>
    </row>
    <row r="165" spans="1:41">
      <c r="A165" s="873">
        <f>'Input data'!A145</f>
        <v>2045</v>
      </c>
      <c r="B165" s="1551">
        <f>'Input data'!B145</f>
        <v>78.446460136387472</v>
      </c>
      <c r="C165" s="1550">
        <f>'Input data'!C145</f>
        <v>7808.4800000000005</v>
      </c>
      <c r="D165" s="1550">
        <f>'Input data'!D145</f>
        <v>1197878.7289383768</v>
      </c>
      <c r="E165" s="1508">
        <f>'Input data'!J145*C165</f>
        <v>93944.179156058526</v>
      </c>
      <c r="F165" s="1509">
        <f>'Input data'!L145</f>
        <v>95142.057884996902</v>
      </c>
      <c r="G165" s="1509">
        <f t="shared" si="134"/>
        <v>18107.444808958157</v>
      </c>
      <c r="H165" s="1509">
        <f t="shared" si="125"/>
        <v>36922.54605093017</v>
      </c>
      <c r="I165" s="1511">
        <f t="shared" si="99"/>
        <v>1197.8787289383768</v>
      </c>
      <c r="J165" s="1504">
        <f t="shared" si="132"/>
        <v>0.2</v>
      </c>
      <c r="K165" s="1512">
        <f t="shared" si="126"/>
        <v>165.84901891026627</v>
      </c>
      <c r="L165" s="1512">
        <f t="shared" si="101"/>
        <v>0</v>
      </c>
      <c r="M165" s="1509">
        <f t="shared" si="127"/>
        <v>165.84901891026627</v>
      </c>
      <c r="N165" s="1454">
        <f t="shared" si="131"/>
        <v>0.5</v>
      </c>
      <c r="O165" s="1511">
        <f t="shared" si="102"/>
        <v>751.91700000000026</v>
      </c>
      <c r="P165" s="1689">
        <f t="shared" si="130"/>
        <v>917.76601891026655</v>
      </c>
      <c r="Q165" s="1364">
        <f t="shared" si="103"/>
        <v>54112.224840978059</v>
      </c>
      <c r="R165" s="1364">
        <f t="shared" si="128"/>
        <v>36004.780032019902</v>
      </c>
      <c r="S165" s="1091">
        <f t="shared" si="104"/>
        <v>0.67736826886119783</v>
      </c>
      <c r="T165" s="135" t="str">
        <f t="shared" si="105"/>
        <v>Yes</v>
      </c>
      <c r="U165" s="1091">
        <f t="shared" si="106"/>
        <v>0.67736826886119783</v>
      </c>
      <c r="V165" s="1494">
        <f t="shared" si="97"/>
        <v>59137.277852977008</v>
      </c>
      <c r="W165" s="1491">
        <f t="shared" si="98"/>
        <v>0.37843179801240712</v>
      </c>
      <c r="X165" s="527">
        <f t="shared" si="107"/>
        <v>18107.444808958157</v>
      </c>
      <c r="Y165" s="1509">
        <f t="shared" si="108"/>
        <v>7762.4509897386752</v>
      </c>
      <c r="Z165" s="528">
        <f t="shared" si="109"/>
        <v>4997.2071977110627</v>
      </c>
      <c r="AA165" s="528">
        <f t="shared" si="110"/>
        <v>0</v>
      </c>
      <c r="AB165" s="528">
        <f t="shared" si="111"/>
        <v>28270.174856569116</v>
      </c>
      <c r="AC165" s="528">
        <f t="shared" si="112"/>
        <v>59137.277852977008</v>
      </c>
      <c r="AD165" s="1487">
        <f t="shared" si="113"/>
        <v>0</v>
      </c>
      <c r="AE165" s="1504">
        <f t="shared" si="114"/>
        <v>0.30619341076157797</v>
      </c>
      <c r="AF165" s="1504">
        <f t="shared" si="115"/>
        <v>0.13126155399031286</v>
      </c>
      <c r="AG165" s="1504">
        <f t="shared" si="116"/>
        <v>8.4501813054952787E-2</v>
      </c>
      <c r="AH165" s="1504">
        <f t="shared" si="129"/>
        <v>0</v>
      </c>
      <c r="AI165" s="1504">
        <f t="shared" si="117"/>
        <v>0.47804322219315643</v>
      </c>
      <c r="AJ165" s="1541">
        <f t="shared" si="118"/>
        <v>1</v>
      </c>
      <c r="AK165" s="1555">
        <f t="shared" si="119"/>
        <v>958.30298315070127</v>
      </c>
      <c r="AL165" s="1498">
        <f t="shared" si="120"/>
        <v>16176.484716523126</v>
      </c>
      <c r="AM165" s="1498">
        <f t="shared" si="121"/>
        <v>972.65710928432759</v>
      </c>
      <c r="AN165" s="1498">
        <f t="shared" si="122"/>
        <v>18107.444808958153</v>
      </c>
      <c r="AO165" s="1563">
        <f t="shared" si="123"/>
        <v>0</v>
      </c>
    </row>
    <row r="166" spans="1:41">
      <c r="A166" s="873">
        <f>'Input data'!A146</f>
        <v>2046</v>
      </c>
      <c r="B166" s="1551">
        <f>'Input data'!B146</f>
        <v>78.997842335977523</v>
      </c>
      <c r="C166" s="1550">
        <f>'Input data'!C146</f>
        <v>8042.25</v>
      </c>
      <c r="D166" s="1550">
        <f>'Input data'!D146</f>
        <v>1000767.4916723419</v>
      </c>
      <c r="E166" s="1508">
        <f>'Input data'!J146*C166</f>
        <v>96756.67669223866</v>
      </c>
      <c r="F166" s="1509">
        <f>'Input data'!L146</f>
        <v>97757.444183911008</v>
      </c>
      <c r="G166" s="1509">
        <f t="shared" si="134"/>
        <v>17121.955551397077</v>
      </c>
      <c r="H166" s="1509">
        <f t="shared" si="125"/>
        <v>39336.886932640533</v>
      </c>
      <c r="I166" s="1511">
        <f t="shared" si="99"/>
        <v>1000.767491672342</v>
      </c>
      <c r="J166" s="1504">
        <f t="shared" si="132"/>
        <v>0.2</v>
      </c>
      <c r="K166" s="1512">
        <f t="shared" si="126"/>
        <v>138.55852236247898</v>
      </c>
      <c r="L166" s="1512">
        <f t="shared" si="101"/>
        <v>0</v>
      </c>
      <c r="M166" s="1509">
        <f t="shared" si="127"/>
        <v>138.55852236247898</v>
      </c>
      <c r="N166" s="1454">
        <f t="shared" si="131"/>
        <v>0.5</v>
      </c>
      <c r="O166" s="1511">
        <f t="shared" si="102"/>
        <v>751.91700000000026</v>
      </c>
      <c r="P166" s="1689">
        <f t="shared" si="130"/>
        <v>890.4755223624793</v>
      </c>
      <c r="Q166" s="1364">
        <f t="shared" si="103"/>
        <v>55568.366961675129</v>
      </c>
      <c r="R166" s="1364">
        <f t="shared" si="128"/>
        <v>38446.411410278051</v>
      </c>
      <c r="S166" s="1091">
        <f t="shared" si="104"/>
        <v>0.70198993616745564</v>
      </c>
      <c r="T166" s="135" t="str">
        <f t="shared" si="105"/>
        <v>Yes</v>
      </c>
      <c r="U166" s="1091">
        <f t="shared" si="106"/>
        <v>0.70198993616745564</v>
      </c>
      <c r="V166" s="1494">
        <f t="shared" si="97"/>
        <v>59311.032773632964</v>
      </c>
      <c r="W166" s="1491">
        <f t="shared" si="98"/>
        <v>0.39328372106321474</v>
      </c>
      <c r="X166" s="527">
        <f t="shared" si="107"/>
        <v>17121.955551397081</v>
      </c>
      <c r="Y166" s="1509">
        <f t="shared" si="108"/>
        <v>7948.2483171295389</v>
      </c>
      <c r="Z166" s="528">
        <f t="shared" si="109"/>
        <v>5124.3025465521841</v>
      </c>
      <c r="AA166" s="528">
        <f t="shared" si="110"/>
        <v>0</v>
      </c>
      <c r="AB166" s="528">
        <f t="shared" si="111"/>
        <v>29116.526358554158</v>
      </c>
      <c r="AC166" s="528">
        <f t="shared" si="112"/>
        <v>59311.032773632964</v>
      </c>
      <c r="AD166" s="1487">
        <f t="shared" si="113"/>
        <v>0</v>
      </c>
      <c r="AE166" s="1504">
        <f t="shared" si="114"/>
        <v>0.28868078586230145</v>
      </c>
      <c r="AF166" s="1504">
        <f t="shared" si="115"/>
        <v>0.13400960909692633</v>
      </c>
      <c r="AG166" s="1504">
        <f t="shared" si="116"/>
        <v>8.6397122203379001E-2</v>
      </c>
      <c r="AH166" s="1504">
        <f t="shared" si="129"/>
        <v>0</v>
      </c>
      <c r="AI166" s="1504">
        <f t="shared" si="117"/>
        <v>0.49091248283739319</v>
      </c>
      <c r="AJ166" s="1541">
        <f t="shared" si="118"/>
        <v>1</v>
      </c>
      <c r="AK166" s="1555">
        <f t="shared" si="119"/>
        <v>800.61399333787358</v>
      </c>
      <c r="AL166" s="1498">
        <f t="shared" si="120"/>
        <v>15389.307265552496</v>
      </c>
      <c r="AM166" s="1498">
        <f t="shared" si="121"/>
        <v>932.03429250670683</v>
      </c>
      <c r="AN166" s="1498">
        <f t="shared" si="122"/>
        <v>17121.955551397074</v>
      </c>
      <c r="AO166" s="1563">
        <f t="shared" si="123"/>
        <v>0</v>
      </c>
    </row>
    <row r="167" spans="1:41">
      <c r="A167" s="873">
        <f>'Input data'!A147</f>
        <v>2047</v>
      </c>
      <c r="B167" s="1551">
        <f>'Input data'!B147</f>
        <v>79.535560193629763</v>
      </c>
      <c r="C167" s="1550">
        <f>'Input data'!C147</f>
        <v>8187.4100000000008</v>
      </c>
      <c r="D167" s="1550">
        <f>'Input data'!D147</f>
        <v>803656.25440630724</v>
      </c>
      <c r="E167" s="1508">
        <f>'Input data'!J147*C167</f>
        <v>98503.103275426867</v>
      </c>
      <c r="F167" s="1509">
        <f>'Input data'!L147</f>
        <v>99306.759529833173</v>
      </c>
      <c r="G167" s="1509">
        <f t="shared" si="134"/>
        <v>16190.101088088571</v>
      </c>
      <c r="H167" s="1509">
        <f t="shared" si="125"/>
        <v>41085.873917124103</v>
      </c>
      <c r="I167" s="1511">
        <f t="shared" si="99"/>
        <v>803.6562544063072</v>
      </c>
      <c r="J167" s="1504">
        <f t="shared" si="132"/>
        <v>0.2</v>
      </c>
      <c r="K167" s="1512">
        <f t="shared" si="126"/>
        <v>111.2680258146917</v>
      </c>
      <c r="L167" s="1512">
        <f t="shared" si="101"/>
        <v>0</v>
      </c>
      <c r="M167" s="1509">
        <f t="shared" si="127"/>
        <v>111.2680258146917</v>
      </c>
      <c r="N167" s="1454">
        <f t="shared" si="131"/>
        <v>0.5</v>
      </c>
      <c r="O167" s="1511">
        <f t="shared" si="102"/>
        <v>751.91700000000026</v>
      </c>
      <c r="P167" s="1689">
        <f t="shared" si="130"/>
        <v>863.18502581469193</v>
      </c>
      <c r="Q167" s="1364">
        <f t="shared" si="103"/>
        <v>56412.789979397981</v>
      </c>
      <c r="R167" s="1364">
        <f t="shared" si="128"/>
        <v>40222.688891309408</v>
      </c>
      <c r="S167" s="1091">
        <f t="shared" si="104"/>
        <v>0.7212262197283511</v>
      </c>
      <c r="T167" s="135" t="str">
        <f t="shared" si="105"/>
        <v>Yes</v>
      </c>
      <c r="U167" s="1091">
        <f t="shared" si="106"/>
        <v>0.7212262197283511</v>
      </c>
      <c r="V167" s="1494">
        <f t="shared" si="97"/>
        <v>59084.070638523772</v>
      </c>
      <c r="W167" s="1491">
        <f t="shared" si="98"/>
        <v>0.40503475374428999</v>
      </c>
      <c r="X167" s="527">
        <f t="shared" si="107"/>
        <v>16190.101088088575</v>
      </c>
      <c r="Y167" s="1509">
        <f t="shared" si="108"/>
        <v>8048.6766642109824</v>
      </c>
      <c r="Z167" s="528">
        <f t="shared" si="109"/>
        <v>5203.2226853115508</v>
      </c>
      <c r="AA167" s="528">
        <f t="shared" si="110"/>
        <v>0</v>
      </c>
      <c r="AB167" s="528">
        <f t="shared" si="111"/>
        <v>29642.070200912669</v>
      </c>
      <c r="AC167" s="528">
        <f t="shared" si="112"/>
        <v>59084.070638523772</v>
      </c>
      <c r="AD167" s="1487">
        <f t="shared" si="113"/>
        <v>0</v>
      </c>
      <c r="AE167" s="1504">
        <f t="shared" si="114"/>
        <v>0.27401803757123611</v>
      </c>
      <c r="AF167" s="1504">
        <f t="shared" si="115"/>
        <v>0.13622413921770507</v>
      </c>
      <c r="AG167" s="1504">
        <f t="shared" si="116"/>
        <v>8.8064729276099762E-2</v>
      </c>
      <c r="AH167" s="1504">
        <f t="shared" si="129"/>
        <v>0</v>
      </c>
      <c r="AI167" s="1504">
        <f t="shared" si="117"/>
        <v>0.5016930939349592</v>
      </c>
      <c r="AJ167" s="1541">
        <f t="shared" si="118"/>
        <v>1</v>
      </c>
      <c r="AK167" s="1555">
        <f t="shared" si="119"/>
        <v>642.92500352504578</v>
      </c>
      <c r="AL167" s="1498">
        <f t="shared" si="120"/>
        <v>14655.783283494688</v>
      </c>
      <c r="AM167" s="1498">
        <f t="shared" si="121"/>
        <v>891.39280106884041</v>
      </c>
      <c r="AN167" s="1498">
        <f t="shared" si="122"/>
        <v>16190.101088088573</v>
      </c>
      <c r="AO167" s="1563">
        <f t="shared" si="123"/>
        <v>0</v>
      </c>
    </row>
    <row r="168" spans="1:41">
      <c r="A168" s="873">
        <f>'Input data'!A148</f>
        <v>2048</v>
      </c>
      <c r="B168" s="1551">
        <f>'Input data'!B148</f>
        <v>80.059278886956378</v>
      </c>
      <c r="C168" s="1550">
        <f>'Input data'!C148</f>
        <v>8322.6399999999976</v>
      </c>
      <c r="D168" s="1550">
        <f>'Input data'!D148</f>
        <v>606545.01714027242</v>
      </c>
      <c r="E168" s="1508">
        <f>'Input data'!J148*C168</f>
        <v>100130.06157554078</v>
      </c>
      <c r="F168" s="1509">
        <f>'Input data'!L148</f>
        <v>100736.60659268106</v>
      </c>
      <c r="G168" s="1509">
        <f t="shared" si="134"/>
        <v>15308.962370313993</v>
      </c>
      <c r="H168" s="1509">
        <f t="shared" si="125"/>
        <v>42715.593404662664</v>
      </c>
      <c r="I168" s="1511">
        <f t="shared" si="99"/>
        <v>606.54501714027242</v>
      </c>
      <c r="J168" s="417">
        <f t="shared" si="132"/>
        <v>0.2</v>
      </c>
      <c r="K168" s="1512">
        <f t="shared" si="126"/>
        <v>83.97752926690444</v>
      </c>
      <c r="L168" s="1512">
        <f t="shared" si="101"/>
        <v>0</v>
      </c>
      <c r="M168" s="1509">
        <f t="shared" si="127"/>
        <v>83.97752926690444</v>
      </c>
      <c r="N168" s="1454">
        <f t="shared" si="131"/>
        <v>0.5</v>
      </c>
      <c r="O168" s="1511">
        <f t="shared" si="102"/>
        <v>751.91700000000026</v>
      </c>
      <c r="P168" s="1689">
        <f t="shared" si="130"/>
        <v>835.89452926690467</v>
      </c>
      <c r="Q168" s="1364">
        <f t="shared" si="103"/>
        <v>57188.661245709758</v>
      </c>
      <c r="R168" s="1364">
        <f t="shared" si="128"/>
        <v>41879.698875395763</v>
      </c>
      <c r="S168" s="1091">
        <f t="shared" si="104"/>
        <v>0.73857441070002938</v>
      </c>
      <c r="T168" s="135" t="str">
        <f t="shared" si="105"/>
        <v>Yes</v>
      </c>
      <c r="U168" s="1091">
        <f t="shared" si="106"/>
        <v>0.73857441070002938</v>
      </c>
      <c r="V168" s="1494">
        <f t="shared" si="97"/>
        <v>58856.907717285299</v>
      </c>
      <c r="W168" s="1491">
        <f t="shared" si="98"/>
        <v>0.41573465984150493</v>
      </c>
      <c r="X168" s="527">
        <f t="shared" si="107"/>
        <v>15308.962370313997</v>
      </c>
      <c r="Y168" s="1509">
        <f t="shared" si="108"/>
        <v>8139.5382132507511</v>
      </c>
      <c r="Z168" s="528">
        <f t="shared" si="109"/>
        <v>5276.7441124569687</v>
      </c>
      <c r="AA168" s="528">
        <f t="shared" si="110"/>
        <v>0</v>
      </c>
      <c r="AB168" s="528">
        <f t="shared" si="111"/>
        <v>30131.663021263586</v>
      </c>
      <c r="AC168" s="528">
        <f t="shared" si="112"/>
        <v>58856.907717285299</v>
      </c>
      <c r="AD168" s="1487">
        <f t="shared" si="113"/>
        <v>0</v>
      </c>
      <c r="AE168" s="1504">
        <f t="shared" si="114"/>
        <v>0.26010476873588806</v>
      </c>
      <c r="AF168" s="1504">
        <f t="shared" si="115"/>
        <v>0.13829367747874907</v>
      </c>
      <c r="AG168" s="1504">
        <f t="shared" si="116"/>
        <v>8.9653777561733441E-2</v>
      </c>
      <c r="AH168" s="1504">
        <f t="shared" si="129"/>
        <v>0</v>
      </c>
      <c r="AI168" s="1504">
        <f t="shared" si="117"/>
        <v>0.51194777622362952</v>
      </c>
      <c r="AJ168" s="1541">
        <f t="shared" si="118"/>
        <v>1</v>
      </c>
      <c r="AK168" s="1555">
        <f t="shared" si="119"/>
        <v>485.23601371221798</v>
      </c>
      <c r="AL168" s="1498">
        <f t="shared" si="120"/>
        <v>13970.751766493209</v>
      </c>
      <c r="AM168" s="1498">
        <f t="shared" si="121"/>
        <v>852.9745901085679</v>
      </c>
      <c r="AN168" s="1498">
        <f t="shared" si="122"/>
        <v>15308.962370313995</v>
      </c>
      <c r="AO168" s="1563">
        <f t="shared" si="123"/>
        <v>0</v>
      </c>
    </row>
    <row r="169" spans="1:41">
      <c r="A169" s="873">
        <f>'Input data'!A149</f>
        <v>2049</v>
      </c>
      <c r="B169" s="1551">
        <f>'Input data'!B149</f>
        <v>80.568670564877792</v>
      </c>
      <c r="C169" s="1550">
        <f>'Input data'!C149</f>
        <v>8457.3799999999992</v>
      </c>
      <c r="D169" s="1550">
        <f>'Input data'!D149</f>
        <v>409433.77987423755</v>
      </c>
      <c r="E169" s="1508">
        <f>'Input data'!J149*C169</f>
        <v>101751.12466329761</v>
      </c>
      <c r="F169" s="1509">
        <f>'Input data'!L149</f>
        <v>102160.55844317185</v>
      </c>
      <c r="G169" s="1509">
        <f t="shared" si="134"/>
        <v>14475.779217222871</v>
      </c>
      <c r="H169" s="1509">
        <f t="shared" si="125"/>
        <v>44293.974612694903</v>
      </c>
      <c r="I169" s="1511">
        <f t="shared" si="99"/>
        <v>409.43377987423753</v>
      </c>
      <c r="J169" s="417">
        <f t="shared" si="132"/>
        <v>0.2</v>
      </c>
      <c r="K169" s="1512">
        <f t="shared" si="126"/>
        <v>56.687032719117141</v>
      </c>
      <c r="L169" s="1512">
        <f t="shared" si="101"/>
        <v>0</v>
      </c>
      <c r="M169" s="1509">
        <f t="shared" si="127"/>
        <v>56.687032719117141</v>
      </c>
      <c r="N169" s="1454">
        <f t="shared" si="131"/>
        <v>0.5</v>
      </c>
      <c r="O169" s="1511">
        <f t="shared" si="102"/>
        <v>751.91700000000026</v>
      </c>
      <c r="P169" s="1689">
        <f t="shared" si="130"/>
        <v>808.60403271911741</v>
      </c>
      <c r="Q169" s="1364">
        <f t="shared" si="103"/>
        <v>57961.149797198661</v>
      </c>
      <c r="R169" s="1364">
        <f t="shared" si="128"/>
        <v>43485.370579975788</v>
      </c>
      <c r="S169" s="1091">
        <f t="shared" si="104"/>
        <v>0.75451418074668519</v>
      </c>
      <c r="T169" s="135" t="str">
        <f t="shared" si="105"/>
        <v>Yes</v>
      </c>
      <c r="U169" s="1091">
        <f t="shared" si="106"/>
        <v>0.75451418074668519</v>
      </c>
      <c r="V169" s="1494">
        <f t="shared" si="97"/>
        <v>58675.187863196079</v>
      </c>
      <c r="W169" s="1491">
        <f t="shared" si="98"/>
        <v>0.42565713463836508</v>
      </c>
      <c r="X169" s="527">
        <f t="shared" si="107"/>
        <v>14475.779217222876</v>
      </c>
      <c r="Y169" s="1509">
        <f t="shared" si="108"/>
        <v>8229.9276846429493</v>
      </c>
      <c r="Z169" s="528">
        <f t="shared" si="109"/>
        <v>5349.9991379215398</v>
      </c>
      <c r="AA169" s="528">
        <f t="shared" si="110"/>
        <v>0</v>
      </c>
      <c r="AB169" s="528">
        <f t="shared" si="111"/>
        <v>30619.481823408714</v>
      </c>
      <c r="AC169" s="528">
        <f t="shared" si="112"/>
        <v>58675.187863196079</v>
      </c>
      <c r="AD169" s="1487">
        <f t="shared" si="113"/>
        <v>0</v>
      </c>
      <c r="AE169" s="417">
        <f t="shared" si="114"/>
        <v>0.24671040254653853</v>
      </c>
      <c r="AF169" s="417">
        <f t="shared" si="115"/>
        <v>0.140262485462022</v>
      </c>
      <c r="AG169" s="417">
        <f t="shared" si="116"/>
        <v>9.1179923452402251E-2</v>
      </c>
      <c r="AH169" s="417">
        <f t="shared" si="129"/>
        <v>0</v>
      </c>
      <c r="AI169" s="417">
        <f t="shared" si="117"/>
        <v>0.52184718853903722</v>
      </c>
      <c r="AJ169" s="525">
        <f t="shared" si="118"/>
        <v>1</v>
      </c>
      <c r="AK169" s="1497">
        <f t="shared" si="119"/>
        <v>327.54702389939001</v>
      </c>
      <c r="AL169" s="1498">
        <f t="shared" si="120"/>
        <v>13331.309930454972</v>
      </c>
      <c r="AM169" s="1498">
        <f t="shared" si="121"/>
        <v>816.92226286851167</v>
      </c>
      <c r="AN169" s="1498">
        <f t="shared" si="122"/>
        <v>14475.779217222873</v>
      </c>
      <c r="AO169" s="1563">
        <f t="shared" si="123"/>
        <v>0</v>
      </c>
    </row>
    <row r="170" spans="1:41" ht="15.75" thickBot="1">
      <c r="A170" s="1566">
        <f>'Input data'!A150</f>
        <v>2050</v>
      </c>
      <c r="B170" s="1567">
        <f>'Input data'!B150</f>
        <v>81.063414687793369</v>
      </c>
      <c r="C170" s="1568">
        <f>'Input data'!C150</f>
        <v>8589.119999999999</v>
      </c>
      <c r="D170" s="1568">
        <f>'Input data'!D150</f>
        <v>212322.54260820278</v>
      </c>
      <c r="E170" s="670">
        <f>'Input data'!J150*C170</f>
        <v>103336.09461417398</v>
      </c>
      <c r="F170" s="667">
        <f>'Input data'!L150</f>
        <v>103548.41715678219</v>
      </c>
      <c r="G170" s="667">
        <f>G137*(1-$C$6)</f>
        <v>13687.941669523079</v>
      </c>
      <c r="H170" s="667">
        <f t="shared" si="125"/>
        <v>45806.299716420079</v>
      </c>
      <c r="I170" s="659">
        <f t="shared" si="99"/>
        <v>212.32254260820278</v>
      </c>
      <c r="J170" s="651">
        <f t="shared" si="132"/>
        <v>0.2</v>
      </c>
      <c r="K170" s="1518">
        <f t="shared" si="126"/>
        <v>29.396536171329871</v>
      </c>
      <c r="L170" s="1518">
        <f t="shared" si="101"/>
        <v>0</v>
      </c>
      <c r="M170" s="1518">
        <f t="shared" si="127"/>
        <v>29.396536171329871</v>
      </c>
      <c r="N170" s="1522">
        <f t="shared" si="131"/>
        <v>0.5</v>
      </c>
      <c r="O170" s="1520">
        <f t="shared" si="102"/>
        <v>751.91700000000026</v>
      </c>
      <c r="P170" s="1690">
        <f t="shared" si="130"/>
        <v>781.31353617133016</v>
      </c>
      <c r="Q170" s="1485">
        <f t="shared" si="103"/>
        <v>58712.927849771826</v>
      </c>
      <c r="R170" s="1485">
        <f t="shared" si="128"/>
        <v>45024.986180248743</v>
      </c>
      <c r="S170" s="1094">
        <f t="shared" si="104"/>
        <v>0.76909165033544813</v>
      </c>
      <c r="T170" s="1105" t="str">
        <f t="shared" si="105"/>
        <v>Yes</v>
      </c>
      <c r="U170" s="1094">
        <f t="shared" si="106"/>
        <v>0.76909165033544813</v>
      </c>
      <c r="V170" s="1495">
        <f t="shared" si="97"/>
        <v>58523.430976533462</v>
      </c>
      <c r="W170" s="1492">
        <f t="shared" si="98"/>
        <v>0.43482061258431981</v>
      </c>
      <c r="X170" s="670">
        <f t="shared" si="107"/>
        <v>13687.941669523087</v>
      </c>
      <c r="Y170" s="1518">
        <f t="shared" si="108"/>
        <v>8317.4268847234616</v>
      </c>
      <c r="Z170" s="667">
        <f t="shared" si="109"/>
        <v>5421.623132687032</v>
      </c>
      <c r="AA170" s="667">
        <f t="shared" si="110"/>
        <v>0</v>
      </c>
      <c r="AB170" s="667">
        <f t="shared" si="111"/>
        <v>31096.439289599883</v>
      </c>
      <c r="AC170" s="667">
        <f t="shared" si="112"/>
        <v>58523.430976533462</v>
      </c>
      <c r="AD170" s="1488">
        <f t="shared" si="113"/>
        <v>0</v>
      </c>
      <c r="AE170" s="651">
        <f t="shared" si="114"/>
        <v>0.23388822974188977</v>
      </c>
      <c r="AF170" s="651">
        <f t="shared" si="115"/>
        <v>0.14212131356513524</v>
      </c>
      <c r="AG170" s="651">
        <f t="shared" si="116"/>
        <v>9.2640213367889815E-2</v>
      </c>
      <c r="AH170" s="651">
        <f t="shared" si="129"/>
        <v>0</v>
      </c>
      <c r="AI170" s="651">
        <f>AB170/AC170</f>
        <v>0.53135024332508518</v>
      </c>
      <c r="AJ170" s="652">
        <f t="shared" si="118"/>
        <v>1</v>
      </c>
      <c r="AK170" s="1499">
        <f t="shared" si="119"/>
        <v>169.85803408656221</v>
      </c>
      <c r="AL170" s="1500">
        <f t="shared" si="120"/>
        <v>12734.997931708527</v>
      </c>
      <c r="AM170" s="1500">
        <f t="shared" si="121"/>
        <v>783.08570372799659</v>
      </c>
      <c r="AN170" s="1500">
        <f t="shared" si="122"/>
        <v>13687.941669523087</v>
      </c>
      <c r="AO170" s="1564">
        <f t="shared" si="123"/>
        <v>0</v>
      </c>
    </row>
    <row r="172" spans="1:41" ht="23.25">
      <c r="A172" s="686" t="s">
        <v>640</v>
      </c>
    </row>
    <row r="173" spans="1:41" ht="24" thickBot="1">
      <c r="A173" s="686"/>
    </row>
    <row r="174" spans="1:41" ht="21.6" customHeight="1" thickBot="1">
      <c r="A174" s="1824" t="s">
        <v>602</v>
      </c>
      <c r="B174" s="1825"/>
      <c r="C174" s="1825"/>
      <c r="D174" s="1826"/>
      <c r="E174" s="1827" t="s">
        <v>603</v>
      </c>
      <c r="F174" s="1828"/>
      <c r="G174" s="1828"/>
      <c r="H174" s="1828"/>
      <c r="I174" s="1829"/>
      <c r="J174" s="1830" t="s">
        <v>604</v>
      </c>
      <c r="K174" s="1831"/>
      <c r="L174" s="1832"/>
      <c r="M174" s="1833" t="s">
        <v>757</v>
      </c>
      <c r="N174" s="1835" t="s">
        <v>607</v>
      </c>
      <c r="O174" s="1836"/>
      <c r="P174" s="1814" t="s">
        <v>594</v>
      </c>
      <c r="Q174" s="1816" t="s">
        <v>765</v>
      </c>
      <c r="R174" s="1816" t="s">
        <v>768</v>
      </c>
      <c r="S174" s="1816" t="s">
        <v>767</v>
      </c>
      <c r="T174" s="1848" t="s">
        <v>769</v>
      </c>
      <c r="U174" s="1881" t="s">
        <v>770</v>
      </c>
      <c r="V174" s="1818" t="s">
        <v>760</v>
      </c>
      <c r="W174" s="1820" t="s">
        <v>761</v>
      </c>
      <c r="X174" s="1104" t="s">
        <v>592</v>
      </c>
      <c r="Y174" s="1097"/>
      <c r="Z174" s="1097"/>
      <c r="AA174" s="1097"/>
      <c r="AB174" s="1097"/>
      <c r="AC174" s="1097"/>
      <c r="AD174" s="1097"/>
      <c r="AE174" s="1097"/>
      <c r="AF174" s="1097"/>
      <c r="AG174" s="1097"/>
      <c r="AH174" s="1097"/>
      <c r="AI174" s="1097"/>
      <c r="AJ174" s="1097"/>
      <c r="AK174" s="1889" t="s">
        <v>723</v>
      </c>
      <c r="AL174" s="1890"/>
      <c r="AM174" s="1890"/>
      <c r="AN174" s="1890"/>
      <c r="AO174" s="1891"/>
    </row>
    <row r="175" spans="1:41" ht="58.9" customHeight="1">
      <c r="A175" s="1822" t="s">
        <v>217</v>
      </c>
      <c r="B175" s="703" t="s">
        <v>218</v>
      </c>
      <c r="C175" s="703" t="s">
        <v>390</v>
      </c>
      <c r="D175" s="469" t="s">
        <v>630</v>
      </c>
      <c r="E175" s="704" t="s">
        <v>779</v>
      </c>
      <c r="F175" s="704" t="s">
        <v>780</v>
      </c>
      <c r="G175" s="704" t="s">
        <v>764</v>
      </c>
      <c r="H175" s="705" t="s">
        <v>597</v>
      </c>
      <c r="I175" s="705" t="s">
        <v>626</v>
      </c>
      <c r="J175" s="1461" t="s">
        <v>326</v>
      </c>
      <c r="K175" s="1461" t="s">
        <v>758</v>
      </c>
      <c r="L175" s="706" t="s">
        <v>759</v>
      </c>
      <c r="M175" s="1834"/>
      <c r="N175" s="508" t="s">
        <v>605</v>
      </c>
      <c r="O175" s="559" t="s">
        <v>606</v>
      </c>
      <c r="P175" s="1815"/>
      <c r="Q175" s="1817"/>
      <c r="R175" s="1817"/>
      <c r="S175" s="1817"/>
      <c r="T175" s="1849"/>
      <c r="U175" s="1882"/>
      <c r="V175" s="1819"/>
      <c r="W175" s="1821"/>
      <c r="X175" s="1392" t="s">
        <v>473</v>
      </c>
      <c r="Y175" s="1393" t="s">
        <v>489</v>
      </c>
      <c r="Z175" s="1393" t="s">
        <v>376</v>
      </c>
      <c r="AA175" s="1393" t="s">
        <v>377</v>
      </c>
      <c r="AB175" s="1393" t="s">
        <v>477</v>
      </c>
      <c r="AC175" s="1393" t="s">
        <v>225</v>
      </c>
      <c r="AD175" s="713" t="s">
        <v>617</v>
      </c>
      <c r="AE175" s="1092" t="s">
        <v>473</v>
      </c>
      <c r="AF175" s="710" t="s">
        <v>489</v>
      </c>
      <c r="AG175" s="710" t="s">
        <v>376</v>
      </c>
      <c r="AH175" s="710" t="s">
        <v>377</v>
      </c>
      <c r="AI175" s="710" t="s">
        <v>477</v>
      </c>
      <c r="AJ175" s="718" t="s">
        <v>225</v>
      </c>
      <c r="AK175" s="1569" t="s">
        <v>724</v>
      </c>
      <c r="AL175" s="1570" t="s">
        <v>493</v>
      </c>
      <c r="AM175" s="1570" t="s">
        <v>725</v>
      </c>
      <c r="AN175" s="1570" t="s">
        <v>225</v>
      </c>
      <c r="AO175" s="1571" t="s">
        <v>617</v>
      </c>
    </row>
    <row r="176" spans="1:41" ht="61.15" customHeight="1" thickBot="1">
      <c r="A176" s="1823"/>
      <c r="B176" s="1124" t="s">
        <v>232</v>
      </c>
      <c r="C176" s="1125" t="s">
        <v>482</v>
      </c>
      <c r="D176" s="1126" t="s">
        <v>480</v>
      </c>
      <c r="E176" s="1127" t="s">
        <v>228</v>
      </c>
      <c r="F176" s="1127" t="s">
        <v>228</v>
      </c>
      <c r="G176" s="1127" t="s">
        <v>228</v>
      </c>
      <c r="H176" s="1479" t="str">
        <f>G176</f>
        <v>Gg</v>
      </c>
      <c r="I176" s="1127"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6" t="s">
        <v>28</v>
      </c>
      <c r="X176" s="191" t="s">
        <v>228</v>
      </c>
      <c r="Y176" s="1095" t="s">
        <v>228</v>
      </c>
      <c r="Z176" s="1095" t="s">
        <v>228</v>
      </c>
      <c r="AA176" s="1095" t="s">
        <v>228</v>
      </c>
      <c r="AB176" s="1095" t="s">
        <v>228</v>
      </c>
      <c r="AC176" s="1095" t="s">
        <v>228</v>
      </c>
      <c r="AD176" s="1096" t="s">
        <v>762</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3117.5115237718705</v>
      </c>
      <c r="D177" s="957">
        <f>'Input data'!E117</f>
        <v>49995051</v>
      </c>
      <c r="E177" s="956">
        <f>'Input data'!J117*C177</f>
        <v>37506.923384615395</v>
      </c>
      <c r="F177" s="957">
        <f>'Input data'!L117</f>
        <v>87501.974384615402</v>
      </c>
      <c r="G177" s="957">
        <f>F137*B11</f>
        <v>68439.708347615408</v>
      </c>
      <c r="H177" s="677">
        <f t="shared" ref="H177:H210" si="135">E177*$B$12+I177*$E$80-G177</f>
        <v>0</v>
      </c>
      <c r="I177" s="1467">
        <f>D177/1000</f>
        <v>49995.050999999999</v>
      </c>
      <c r="J177" s="647">
        <f>$H$17</f>
        <v>6.154773859516615E-2</v>
      </c>
      <c r="K177" s="957">
        <f>(I177)*J177-(I177)*$J$137</f>
        <v>0</v>
      </c>
      <c r="L177" s="957">
        <f>(E177)*$C$12*$G$12-(E177)*$C$12*$G$12</f>
        <v>0</v>
      </c>
      <c r="M177" s="1467">
        <f>L177+K177</f>
        <v>0</v>
      </c>
      <c r="N177" s="708">
        <v>0</v>
      </c>
      <c r="O177" s="1467">
        <f>N177*$E$177*($C$85)*$B$12</f>
        <v>0</v>
      </c>
      <c r="P177" s="1480">
        <f>O177+M177</f>
        <v>0</v>
      </c>
      <c r="Q177" s="1484">
        <f>E177*$B$12+(1-$J$137)*I177-P177</f>
        <v>68439.708347615408</v>
      </c>
      <c r="R177" s="1484">
        <f>Q177-G177</f>
        <v>0</v>
      </c>
      <c r="S177" s="1218">
        <f>R177/(Q177-I177*(1-J177))</f>
        <v>0</v>
      </c>
      <c r="T177" s="1489" t="str">
        <f>IF(AND(S177&gt;=0,S177&lt;=1),"Yes","No")</f>
        <v>Yes</v>
      </c>
      <c r="U177" s="1119">
        <f>IF(S177&lt;=0,0,IF(S177&gt;=1,1,S177))</f>
        <v>0</v>
      </c>
      <c r="V177" s="1493">
        <f t="shared" ref="V177:V210" si="136">AC177</f>
        <v>87501.974384615402</v>
      </c>
      <c r="W177" s="1490">
        <f t="shared" ref="W177:W210" si="137">(1-V177/F177)</f>
        <v>0</v>
      </c>
      <c r="X177" s="956">
        <f>(E177*$B$12-O177-L177)*(1-U177)+I177*(1-J177)</f>
        <v>68439.708347615408</v>
      </c>
      <c r="Y177" s="1501">
        <f>I177*J177+E177*$G$12*$C$12</f>
        <v>6080.5670370000007</v>
      </c>
      <c r="Z177" s="1530">
        <f>($C$12*$H$12*E177+O177)</f>
        <v>1694.9190000000001</v>
      </c>
      <c r="AA177" s="1530">
        <f>$F$137*$D$11</f>
        <v>0</v>
      </c>
      <c r="AB177" s="1530">
        <f>E177*$E$12</f>
        <v>11286.78</v>
      </c>
      <c r="AC177" s="1530">
        <f>SUM(X177:AB177)</f>
        <v>87501.974384615402</v>
      </c>
      <c r="AD177" s="1486">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7">
        <f>I177*(1-$J$137)-K177</f>
        <v>46917.968670000002</v>
      </c>
      <c r="AL177" s="1498">
        <f>(E177*$C$86*$B$12-L177)*(1-U177)</f>
        <v>20017.905677615392</v>
      </c>
      <c r="AM177" s="1498">
        <f>(E177*($C$85)*$B$12-O177)*(1-U177)</f>
        <v>1503.8340000000005</v>
      </c>
      <c r="AN177" s="1498">
        <f>SUM(AK177:AM177)</f>
        <v>68439.708347615393</v>
      </c>
      <c r="AO177" s="1184">
        <f>AN177-X177</f>
        <v>0</v>
      </c>
    </row>
    <row r="178" spans="1:41">
      <c r="A178" s="127">
        <f>'Input data'!A118</f>
        <v>2018</v>
      </c>
      <c r="B178" s="662">
        <f>'Input data'!B118</f>
        <v>57.436000617299655</v>
      </c>
      <c r="C178" s="236">
        <f>'Input data'!C118</f>
        <v>3154.0370052724184</v>
      </c>
      <c r="D178" s="528">
        <f>'Input data'!E118</f>
        <v>50359792.847133137</v>
      </c>
      <c r="E178" s="527">
        <f>'Input data'!J118*C178</f>
        <v>37946.363119089809</v>
      </c>
      <c r="F178" s="528">
        <f>'Input data'!L118</f>
        <v>88306.155966222956</v>
      </c>
      <c r="G178" s="528">
        <f>$G$137*(1+((($G$150/$G$137)^(1/($A$150-$A$137)))-1))^(A178-$A$137)</f>
        <v>64886.148572305057</v>
      </c>
      <c r="H178" s="528">
        <f>E178*$B$12+I178*$E$80-G178</f>
        <v>4148.0062349192594</v>
      </c>
      <c r="I178" s="530">
        <f t="shared" ref="I178:I210" si="138">D178/1000</f>
        <v>50359.79284713314</v>
      </c>
      <c r="J178" s="417">
        <f t="shared" ref="J178:J188" si="139">$J$137*(1+((($J$150/$J$137)^(1/($A$150-$A$137)))-1))^(A178-$A$137)</f>
        <v>6.7388021833337503E-2</v>
      </c>
      <c r="K178" s="775">
        <f>(I178)*J178-(I178)*$J$137</f>
        <v>294.11545404289336</v>
      </c>
      <c r="L178" s="775">
        <f t="shared" ref="L178:L210" si="140">(E178)*$C$12*$G$12-(E178)*$C$12*$G$12</f>
        <v>0</v>
      </c>
      <c r="M178" s="530">
        <f>L178+K178</f>
        <v>294.11545404289336</v>
      </c>
      <c r="N178" s="649">
        <f>($N$142-$N$137)/($A$102-$A$97)+N177</f>
        <v>0.05</v>
      </c>
      <c r="O178" s="530">
        <f t="shared" ref="O178:O210" si="141">N178*$E$177*($C$85)*$B$12</f>
        <v>75.191700000000026</v>
      </c>
      <c r="P178" s="1481">
        <f>O178+M178</f>
        <v>369.30715404289339</v>
      </c>
      <c r="Q178" s="1364">
        <f t="shared" ref="Q178:Q210" si="142">E178*$B$12+(1-$J$137)*I178-P178</f>
        <v>68664.847653181423</v>
      </c>
      <c r="R178" s="1364">
        <f>Q178-G178</f>
        <v>3778.6990808763658</v>
      </c>
      <c r="S178" s="576">
        <f t="shared" ref="S178:S210" si="143">R178/(Q178-I178*(1-J178))</f>
        <v>0.1741440177396035</v>
      </c>
      <c r="T178" s="135" t="str">
        <f t="shared" ref="T178:T210" si="144">IF(AND(S178&gt;=0,S178&lt;=1),"Yes","No")</f>
        <v>Yes</v>
      </c>
      <c r="U178" s="1091">
        <f t="shared" ref="U178:U210" si="145">IF(S178&lt;=0,0,IF(S178&gt;=1,1,S178))</f>
        <v>0.1741440177396035</v>
      </c>
      <c r="V178" s="1494">
        <f t="shared" si="136"/>
        <v>84527.45688534659</v>
      </c>
      <c r="W178" s="1491">
        <f t="shared" si="137"/>
        <v>4.2790890844820795E-2</v>
      </c>
      <c r="X178" s="527">
        <f t="shared" ref="X178:X210" si="146">(E178*$B$12-O178-L178)*(1-U178)+I178*(1-J178)</f>
        <v>64886.148572305057</v>
      </c>
      <c r="Y178" s="1509">
        <f t="shared" ref="Y178:Y210" si="147">I178*J178+E178*$G$12*$C$12</f>
        <v>6432.32104401378</v>
      </c>
      <c r="Z178" s="1531">
        <f t="shared" ref="Z178:Z210" si="148">($C$12*$H$12*E178+O178)</f>
        <v>1789.9687605419947</v>
      </c>
      <c r="AA178" s="1531">
        <f t="shared" ref="AA178:AA210" si="149">$F$137*$D$11</f>
        <v>0</v>
      </c>
      <c r="AB178" s="1531">
        <f t="shared" ref="AB178:AB210" si="150">E178*$E$12</f>
        <v>11419.018508485759</v>
      </c>
      <c r="AC178" s="1531">
        <f t="shared" ref="AC178:AC210" si="151">SUM(X178:AB178)</f>
        <v>84527.45688534659</v>
      </c>
      <c r="AD178" s="1487">
        <f t="shared" ref="AD178:AD210" si="152">X178-G178</f>
        <v>0</v>
      </c>
      <c r="AE178" s="649">
        <f t="shared" ref="AE178:AE210" si="153">X178/AC178</f>
        <v>0.76763398501763647</v>
      </c>
      <c r="AF178" s="417">
        <f t="shared" ref="AF178:AF210" si="154">Y178/AC178</f>
        <v>7.6097415928869219E-2</v>
      </c>
      <c r="AG178" s="417">
        <f t="shared" ref="AG178:AG210" si="155">Z178/AC178</f>
        <v>2.117618140304299E-2</v>
      </c>
      <c r="AH178" s="417">
        <f>AA178/AC178</f>
        <v>0</v>
      </c>
      <c r="AI178" s="417">
        <f t="shared" ref="AI178:AI209" si="156">AB178/AC178</f>
        <v>0.13509241765045132</v>
      </c>
      <c r="AJ178" s="525">
        <f t="shared" ref="AJ178:AJ210" si="157">SUM(AE178:AI178)</f>
        <v>1</v>
      </c>
      <c r="AK178" s="1497">
        <f t="shared" ref="AK178:AK210" si="158">I178*(1-$J$137)-K178</f>
        <v>46966.146027228184</v>
      </c>
      <c r="AL178" s="1498">
        <f t="shared" ref="AL178:AL210" si="159">(E178*$C$86*$B$12-L178)*(1-U178)</f>
        <v>16725.598779901986</v>
      </c>
      <c r="AM178" s="1498">
        <f t="shared" ref="AM178:AM210" si="160">(E178*($C$85)*$B$12-O178)*(1-U178)</f>
        <v>1194.4037651748863</v>
      </c>
      <c r="AN178" s="1498">
        <f t="shared" ref="AN178:AN210" si="161">SUM(AK178:AM178)</f>
        <v>64886.148572305057</v>
      </c>
      <c r="AO178" s="1184">
        <f t="shared" ref="AO178:AO210" si="162">AN178-X178</f>
        <v>0</v>
      </c>
    </row>
    <row r="179" spans="1:41">
      <c r="A179" s="127">
        <f>'Input data'!A119</f>
        <v>2019</v>
      </c>
      <c r="B179" s="662">
        <f>'Input data'!B119</f>
        <v>58.364834921819444</v>
      </c>
      <c r="C179" s="236">
        <f>'Input data'!C119</f>
        <v>4436.7699999999986</v>
      </c>
      <c r="D179" s="528">
        <f>'Input data'!E119</f>
        <v>53464172.913892828</v>
      </c>
      <c r="E179" s="527">
        <f>'Input data'!J119*C179</f>
        <v>53378.982305676094</v>
      </c>
      <c r="F179" s="528">
        <f>'Input data'!L119</f>
        <v>106843.15521956893</v>
      </c>
      <c r="G179" s="528">
        <f t="shared" ref="G179:G189" si="163">$G$137*(1+((($G$150/$G$137)^(1/($A$150-$A$137)))-1))^(A179-$A$137)</f>
        <v>61517.098453473154</v>
      </c>
      <c r="H179" s="528">
        <f t="shared" si="135"/>
        <v>19285.715613153152</v>
      </c>
      <c r="I179" s="530">
        <f t="shared" si="138"/>
        <v>53464.172913892828</v>
      </c>
      <c r="J179" s="417">
        <f t="shared" si="139"/>
        <v>7.3782491286642105E-2</v>
      </c>
      <c r="K179" s="775">
        <f t="shared" ref="K179:K210" si="164">(I179)*J179-(I179)*$J$137</f>
        <v>654.12093345578569</v>
      </c>
      <c r="L179" s="1512">
        <f t="shared" si="140"/>
        <v>0</v>
      </c>
      <c r="M179" s="1511">
        <f t="shared" ref="M179:M210" si="165">L179+K179</f>
        <v>654.12093345578569</v>
      </c>
      <c r="N179" s="1454">
        <f>($N$142-$N$137)/($A$102-$A$97)+N178</f>
        <v>0.1</v>
      </c>
      <c r="O179" s="530">
        <f t="shared" si="141"/>
        <v>150.38340000000005</v>
      </c>
      <c r="P179" s="1481">
        <f>O179+M179</f>
        <v>804.50433345578574</v>
      </c>
      <c r="Q179" s="1364">
        <f t="shared" si="142"/>
        <v>79998.309733170521</v>
      </c>
      <c r="R179" s="1364">
        <f t="shared" ref="R179:R210" si="166">Q179-G179</f>
        <v>18481.211279697367</v>
      </c>
      <c r="S179" s="576">
        <f t="shared" si="143"/>
        <v>0.60636169744795854</v>
      </c>
      <c r="T179" s="135" t="str">
        <f t="shared" si="144"/>
        <v>Yes</v>
      </c>
      <c r="U179" s="1091">
        <f t="shared" si="145"/>
        <v>0.60636169744795854</v>
      </c>
      <c r="V179" s="1494">
        <f t="shared" si="136"/>
        <v>88361.943939871562</v>
      </c>
      <c r="W179" s="1491">
        <f t="shared" si="137"/>
        <v>0.17297515448432232</v>
      </c>
      <c r="X179" s="527">
        <f t="shared" si="146"/>
        <v>61517.098453473154</v>
      </c>
      <c r="Y179" s="1509">
        <f t="shared" si="147"/>
        <v>8219.2095546792298</v>
      </c>
      <c r="Z179" s="1531">
        <f t="shared" si="148"/>
        <v>2562.5527582487894</v>
      </c>
      <c r="AA179" s="1531">
        <f t="shared" si="149"/>
        <v>0</v>
      </c>
      <c r="AB179" s="1531">
        <f t="shared" si="150"/>
        <v>16063.083173470395</v>
      </c>
      <c r="AC179" s="1531">
        <f t="shared" si="151"/>
        <v>88361.943939871562</v>
      </c>
      <c r="AD179" s="1487">
        <f t="shared" si="152"/>
        <v>0</v>
      </c>
      <c r="AE179" s="649">
        <f t="shared" si="153"/>
        <v>0.69619448951161877</v>
      </c>
      <c r="AF179" s="417">
        <f t="shared" si="154"/>
        <v>9.3017527548649545E-2</v>
      </c>
      <c r="AG179" s="417">
        <f t="shared" si="155"/>
        <v>2.9000638102671807E-2</v>
      </c>
      <c r="AH179" s="417">
        <f t="shared" ref="AH179:AH210" si="167">AA179/AC179</f>
        <v>0</v>
      </c>
      <c r="AI179" s="417">
        <f t="shared" si="156"/>
        <v>0.18178734483705999</v>
      </c>
      <c r="AJ179" s="525">
        <f t="shared" si="157"/>
        <v>1.0000000000000002</v>
      </c>
      <c r="AK179" s="1497">
        <f t="shared" si="158"/>
        <v>49519.453041726003</v>
      </c>
      <c r="AL179" s="1498">
        <f t="shared" si="159"/>
        <v>11214.368870906917</v>
      </c>
      <c r="AM179" s="1498">
        <f t="shared" si="160"/>
        <v>783.27654084022697</v>
      </c>
      <c r="AN179" s="1498">
        <f t="shared" si="161"/>
        <v>61517.098453473147</v>
      </c>
      <c r="AO179" s="1184">
        <f t="shared" si="162"/>
        <v>0</v>
      </c>
    </row>
    <row r="180" spans="1:41">
      <c r="A180" s="127">
        <f>'Input data'!A120</f>
        <v>2020</v>
      </c>
      <c r="B180" s="662">
        <f>'Input data'!B120</f>
        <v>59.233695328537607</v>
      </c>
      <c r="C180" s="236">
        <f>'Input data'!C120</f>
        <v>4157.24</v>
      </c>
      <c r="D180" s="528">
        <f>'Input data'!E120</f>
        <v>51247282.188414559</v>
      </c>
      <c r="E180" s="527">
        <f>'Input data'!J120*C180</f>
        <v>50015.944121613007</v>
      </c>
      <c r="F180" s="528">
        <f>'Input data'!L120</f>
        <v>101263.22631002756</v>
      </c>
      <c r="G180" s="528">
        <f t="shared" si="163"/>
        <v>58322.977791126912</v>
      </c>
      <c r="H180" s="528">
        <f t="shared" si="135"/>
        <v>18469.654906915785</v>
      </c>
      <c r="I180" s="530">
        <f t="shared" si="138"/>
        <v>51247.28218841456</v>
      </c>
      <c r="J180" s="417">
        <f t="shared" si="139"/>
        <v>8.0783733850016193E-2</v>
      </c>
      <c r="K180" s="775">
        <f t="shared" si="164"/>
        <v>985.79247700030373</v>
      </c>
      <c r="L180" s="1512">
        <f t="shared" si="140"/>
        <v>0</v>
      </c>
      <c r="M180" s="1511">
        <f t="shared" si="165"/>
        <v>985.79247700030373</v>
      </c>
      <c r="N180" s="1454">
        <f>($N$142-$N$137)/($A$102-$A$97)+N179</f>
        <v>0.15000000000000002</v>
      </c>
      <c r="O180" s="530">
        <f t="shared" si="141"/>
        <v>225.57510000000011</v>
      </c>
      <c r="P180" s="1481">
        <f t="shared" ref="P180:P210" si="168">O180+M180</f>
        <v>1211.3675770003038</v>
      </c>
      <c r="Q180" s="1364">
        <f t="shared" si="142"/>
        <v>75581.265121042394</v>
      </c>
      <c r="R180" s="1364">
        <f t="shared" si="166"/>
        <v>17258.287329915482</v>
      </c>
      <c r="S180" s="576">
        <f t="shared" si="143"/>
        <v>0.60610837664611317</v>
      </c>
      <c r="T180" s="135" t="str">
        <f t="shared" si="144"/>
        <v>Yes</v>
      </c>
      <c r="U180" s="1091">
        <f t="shared" si="145"/>
        <v>0.60610837664611317</v>
      </c>
      <c r="V180" s="1494">
        <f t="shared" si="136"/>
        <v>84004.9389801121</v>
      </c>
      <c r="W180" s="1491">
        <f t="shared" si="137"/>
        <v>0.17042995723914101</v>
      </c>
      <c r="X180" s="527">
        <f t="shared" si="146"/>
        <v>58322.977791126912</v>
      </c>
      <c r="Y180" s="1509">
        <f t="shared" si="147"/>
        <v>8145.1306407730171</v>
      </c>
      <c r="Z180" s="1531">
        <f t="shared" si="148"/>
        <v>2485.7704544777393</v>
      </c>
      <c r="AA180" s="1531">
        <f t="shared" si="149"/>
        <v>0</v>
      </c>
      <c r="AB180" s="1531">
        <f t="shared" si="150"/>
        <v>15051.060093734426</v>
      </c>
      <c r="AC180" s="1531">
        <f t="shared" si="151"/>
        <v>84004.9389801121</v>
      </c>
      <c r="AD180" s="1487">
        <f t="shared" si="152"/>
        <v>0</v>
      </c>
      <c r="AE180" s="649">
        <f t="shared" si="153"/>
        <v>0.69428034231338098</v>
      </c>
      <c r="AF180" s="417">
        <f t="shared" si="154"/>
        <v>9.6960139959167774E-2</v>
      </c>
      <c r="AG180" s="417">
        <f t="shared" si="155"/>
        <v>2.9590765550895019E-2</v>
      </c>
      <c r="AH180" s="417">
        <f t="shared" si="167"/>
        <v>0</v>
      </c>
      <c r="AI180" s="417">
        <f t="shared" si="156"/>
        <v>0.17916875217655615</v>
      </c>
      <c r="AJ180" s="525">
        <f t="shared" si="157"/>
        <v>0.99999999999999989</v>
      </c>
      <c r="AK180" s="1497">
        <f t="shared" si="158"/>
        <v>47107.335383569007</v>
      </c>
      <c r="AL180" s="1498">
        <f t="shared" si="159"/>
        <v>10514.591711565148</v>
      </c>
      <c r="AM180" s="1498">
        <f t="shared" si="160"/>
        <v>701.05069599275589</v>
      </c>
      <c r="AN180" s="1498">
        <f t="shared" si="161"/>
        <v>58322.977791126912</v>
      </c>
      <c r="AO180" s="1184">
        <f t="shared" si="162"/>
        <v>0</v>
      </c>
    </row>
    <row r="181" spans="1:41">
      <c r="A181" s="127">
        <f>'Input data'!A121</f>
        <v>2021</v>
      </c>
      <c r="B181" s="662">
        <f>'Input data'!B121</f>
        <v>60.170135702880636</v>
      </c>
      <c r="C181" s="236">
        <f>'Input data'!C121</f>
        <v>4296.6100000000006</v>
      </c>
      <c r="D181" s="528">
        <f>'Input data'!E121</f>
        <v>50719928.257477686</v>
      </c>
      <c r="E181" s="527">
        <f>'Input data'!J121*C181</f>
        <v>51692.710950621971</v>
      </c>
      <c r="F181" s="528">
        <f>'Input data'!L121</f>
        <v>102412.63920809966</v>
      </c>
      <c r="G181" s="528">
        <f t="shared" si="163"/>
        <v>55294.7038130703</v>
      </c>
      <c r="H181" s="528">
        <f t="shared" si="135"/>
        <v>21965.173140552288</v>
      </c>
      <c r="I181" s="530">
        <f t="shared" si="138"/>
        <v>50719.928257477688</v>
      </c>
      <c r="J181" s="417">
        <f t="shared" si="139"/>
        <v>8.8449326404511766E-2</v>
      </c>
      <c r="K181" s="775">
        <f t="shared" si="164"/>
        <v>1364.4466037022457</v>
      </c>
      <c r="L181" s="1512">
        <f t="shared" si="140"/>
        <v>0</v>
      </c>
      <c r="M181" s="1511">
        <f t="shared" si="165"/>
        <v>1364.4466037022457</v>
      </c>
      <c r="N181" s="1454">
        <f>($N$142-$N$137)/($A$102-$A$97)+N180</f>
        <v>0.2</v>
      </c>
      <c r="O181" s="530">
        <f t="shared" si="141"/>
        <v>300.7668000000001</v>
      </c>
      <c r="P181" s="1481">
        <f t="shared" si="168"/>
        <v>1665.2134037022458</v>
      </c>
      <c r="Q181" s="1364">
        <f t="shared" si="142"/>
        <v>75594.66354992034</v>
      </c>
      <c r="R181" s="1364">
        <f t="shared" si="166"/>
        <v>20299.95973685004</v>
      </c>
      <c r="S181" s="576">
        <f t="shared" si="143"/>
        <v>0.69139482804665986</v>
      </c>
      <c r="T181" s="135" t="str">
        <f t="shared" si="144"/>
        <v>Yes</v>
      </c>
      <c r="U181" s="1091">
        <f t="shared" si="145"/>
        <v>0.69139482804665986</v>
      </c>
      <c r="V181" s="1494">
        <f t="shared" si="136"/>
        <v>82112.679471249619</v>
      </c>
      <c r="W181" s="1491">
        <f t="shared" si="137"/>
        <v>0.19821732838659767</v>
      </c>
      <c r="X181" s="527">
        <f t="shared" si="146"/>
        <v>55294.7038130703</v>
      </c>
      <c r="Y181" s="1509">
        <f t="shared" si="147"/>
        <v>8625.5996964896258</v>
      </c>
      <c r="Z181" s="1531">
        <f t="shared" si="148"/>
        <v>2636.7344039878863</v>
      </c>
      <c r="AA181" s="1531">
        <f t="shared" si="149"/>
        <v>0</v>
      </c>
      <c r="AB181" s="1531">
        <f t="shared" si="150"/>
        <v>15555.641557701811</v>
      </c>
      <c r="AC181" s="1531">
        <f t="shared" si="151"/>
        <v>82112.679471249619</v>
      </c>
      <c r="AD181" s="1487">
        <f t="shared" si="152"/>
        <v>0</v>
      </c>
      <c r="AE181" s="649">
        <f t="shared" si="153"/>
        <v>0.67340031002679457</v>
      </c>
      <c r="AF181" s="417">
        <f t="shared" si="154"/>
        <v>0.10504589244965189</v>
      </c>
      <c r="AG181" s="417">
        <f t="shared" si="155"/>
        <v>3.2111172366639122E-2</v>
      </c>
      <c r="AH181" s="417">
        <f t="shared" si="167"/>
        <v>0</v>
      </c>
      <c r="AI181" s="417">
        <f t="shared" si="156"/>
        <v>0.18944262515691451</v>
      </c>
      <c r="AJ181" s="525">
        <f t="shared" si="157"/>
        <v>1</v>
      </c>
      <c r="AK181" s="1497">
        <f t="shared" si="158"/>
        <v>46233.78476781863</v>
      </c>
      <c r="AL181" s="1498">
        <f t="shared" si="159"/>
        <v>8514.1188081633954</v>
      </c>
      <c r="AM181" s="1498">
        <f t="shared" si="160"/>
        <v>546.80023708827991</v>
      </c>
      <c r="AN181" s="1498">
        <f t="shared" si="161"/>
        <v>55294.703813070308</v>
      </c>
      <c r="AO181" s="1184">
        <f t="shared" si="162"/>
        <v>0</v>
      </c>
    </row>
    <row r="182" spans="1:41">
      <c r="A182" s="127">
        <f>'Input data'!A122</f>
        <v>2022</v>
      </c>
      <c r="B182" s="1551">
        <f>'Input data'!B122</f>
        <v>61.14166465104848</v>
      </c>
      <c r="C182" s="1550">
        <f>'Input data'!C122</f>
        <v>4408.5100000000011</v>
      </c>
      <c r="D182" s="1509">
        <f>'Input data'!E122</f>
        <v>50359792.847133137</v>
      </c>
      <c r="E182" s="1508">
        <f>'Input data'!J122*C182</f>
        <v>53038.984956262379</v>
      </c>
      <c r="F182" s="1509">
        <f>'Input data'!L122</f>
        <v>103398.77780339553</v>
      </c>
      <c r="G182" s="1509">
        <f t="shared" si="163"/>
        <v>52423.665347216396</v>
      </c>
      <c r="H182" s="1509">
        <f t="shared" si="135"/>
        <v>25270.743325713054</v>
      </c>
      <c r="I182" s="1511">
        <f t="shared" si="138"/>
        <v>50359.79284713314</v>
      </c>
      <c r="J182" s="1504">
        <f t="shared" si="139"/>
        <v>9.6842309318564565E-2</v>
      </c>
      <c r="K182" s="1512">
        <f t="shared" si="164"/>
        <v>1777.4272702588346</v>
      </c>
      <c r="L182" s="1512">
        <f t="shared" si="140"/>
        <v>0</v>
      </c>
      <c r="M182" s="1511">
        <f t="shared" si="165"/>
        <v>1777.4272702588346</v>
      </c>
      <c r="N182" s="1454">
        <f>$C$26</f>
        <v>0.25</v>
      </c>
      <c r="O182" s="530">
        <f t="shared" si="141"/>
        <v>375.95850000000013</v>
      </c>
      <c r="P182" s="1481">
        <f t="shared" si="168"/>
        <v>2153.3857702588348</v>
      </c>
      <c r="Q182" s="1364">
        <f t="shared" si="142"/>
        <v>75541.022902670622</v>
      </c>
      <c r="R182" s="1364">
        <f t="shared" si="166"/>
        <v>23117.357555454226</v>
      </c>
      <c r="S182" s="576">
        <f t="shared" si="143"/>
        <v>0.76908684660262494</v>
      </c>
      <c r="T182" s="135" t="str">
        <f t="shared" si="144"/>
        <v>Yes</v>
      </c>
      <c r="U182" s="1091">
        <f t="shared" si="145"/>
        <v>0.76908684660262494</v>
      </c>
      <c r="V182" s="1494">
        <f t="shared" si="136"/>
        <v>80281.420247941307</v>
      </c>
      <c r="W182" s="1491">
        <f>(1-V182/F182)</f>
        <v>0.2235747660326316</v>
      </c>
      <c r="X182" s="527">
        <f t="shared" si="146"/>
        <v>52423.665347216389</v>
      </c>
      <c r="Y182" s="1509">
        <f t="shared" si="147"/>
        <v>9124.2219628772546</v>
      </c>
      <c r="Z182" s="1531">
        <f t="shared" si="148"/>
        <v>2772.7635490634798</v>
      </c>
      <c r="AA182" s="1531">
        <f t="shared" si="149"/>
        <v>0</v>
      </c>
      <c r="AB182" s="1531">
        <f t="shared" si="150"/>
        <v>15960.769388784185</v>
      </c>
      <c r="AC182" s="1531">
        <f t="shared" si="151"/>
        <v>80281.420247941307</v>
      </c>
      <c r="AD182" s="1487">
        <f t="shared" si="152"/>
        <v>0</v>
      </c>
      <c r="AE182" s="649">
        <f t="shared" si="153"/>
        <v>0.6529987285390696</v>
      </c>
      <c r="AF182" s="417">
        <f t="shared" si="154"/>
        <v>0.11365297144342973</v>
      </c>
      <c r="AG182" s="417">
        <f t="shared" si="155"/>
        <v>3.4538048037766035E-2</v>
      </c>
      <c r="AH182" s="417">
        <f t="shared" si="167"/>
        <v>0</v>
      </c>
      <c r="AI182" s="417">
        <f t="shared" si="156"/>
        <v>0.19881025197973468</v>
      </c>
      <c r="AJ182" s="525">
        <f t="shared" si="157"/>
        <v>1</v>
      </c>
      <c r="AK182" s="1497">
        <f t="shared" si="158"/>
        <v>45482.834211012239</v>
      </c>
      <c r="AL182" s="1498">
        <f t="shared" si="159"/>
        <v>6536.5874149100318</v>
      </c>
      <c r="AM182" s="1498">
        <f t="shared" si="160"/>
        <v>404.24372129411944</v>
      </c>
      <c r="AN182" s="1498">
        <f t="shared" si="161"/>
        <v>52423.665347216396</v>
      </c>
      <c r="AO182" s="1184">
        <f t="shared" si="162"/>
        <v>0</v>
      </c>
    </row>
    <row r="183" spans="1:41">
      <c r="A183" s="127">
        <f>'Input data'!A123</f>
        <v>2023</v>
      </c>
      <c r="B183" s="1551">
        <f>'Input data'!B123</f>
        <v>62.126086164056694</v>
      </c>
      <c r="C183" s="1550">
        <f>'Input data'!C123</f>
        <v>4511.7199999999984</v>
      </c>
      <c r="D183" s="1509">
        <f>'Input data'!E123</f>
        <v>48748213.106871188</v>
      </c>
      <c r="E183" s="1508">
        <f>'Input data'!J123*C183</f>
        <v>54280.70917540574</v>
      </c>
      <c r="F183" s="1509">
        <f>'Input data'!L123</f>
        <v>103028.92228227694</v>
      </c>
      <c r="G183" s="1509">
        <f t="shared" si="163"/>
        <v>49701.698334937471</v>
      </c>
      <c r="H183" s="1509">
        <f t="shared" si="135"/>
        <v>27192.829884006329</v>
      </c>
      <c r="I183" s="1511">
        <f t="shared" si="138"/>
        <v>48748.21310687119</v>
      </c>
      <c r="J183" s="1504">
        <f t="shared" si="139"/>
        <v>0.10603170487993842</v>
      </c>
      <c r="K183" s="1512">
        <f t="shared" si="164"/>
        <v>2168.5138682889515</v>
      </c>
      <c r="L183" s="1512">
        <f t="shared" si="140"/>
        <v>0</v>
      </c>
      <c r="M183" s="1511">
        <f t="shared" si="165"/>
        <v>2168.5138682889515</v>
      </c>
      <c r="N183" s="1454">
        <f>($N$147-$N$142)/($A$107-$A$102)+N182</f>
        <v>0.3</v>
      </c>
      <c r="O183" s="530">
        <f t="shared" si="141"/>
        <v>451.15020000000015</v>
      </c>
      <c r="P183" s="1481">
        <f t="shared" si="168"/>
        <v>2619.6640682889515</v>
      </c>
      <c r="Q183" s="1364">
        <f t="shared" si="142"/>
        <v>74274.864150654845</v>
      </c>
      <c r="R183" s="1364">
        <f t="shared" si="166"/>
        <v>24573.165815717373</v>
      </c>
      <c r="S183" s="576">
        <f t="shared" si="143"/>
        <v>0.80054601033725781</v>
      </c>
      <c r="T183" s="135" t="str">
        <f t="shared" si="144"/>
        <v>Yes</v>
      </c>
      <c r="U183" s="1091">
        <f t="shared" si="145"/>
        <v>0.80054601033725781</v>
      </c>
      <c r="V183" s="1494">
        <f t="shared" si="136"/>
        <v>78455.756466559556</v>
      </c>
      <c r="W183" s="1491">
        <f t="shared" si="137"/>
        <v>0.23850745277517538</v>
      </c>
      <c r="X183" s="527">
        <f t="shared" si="146"/>
        <v>49701.698334937471</v>
      </c>
      <c r="Y183" s="1509">
        <f t="shared" si="147"/>
        <v>9515.5544396880723</v>
      </c>
      <c r="Z183" s="1531">
        <f t="shared" si="148"/>
        <v>2904.0681418807435</v>
      </c>
      <c r="AA183" s="1531">
        <f t="shared" si="149"/>
        <v>0</v>
      </c>
      <c r="AB183" s="1531">
        <f t="shared" si="150"/>
        <v>16334.435550053271</v>
      </c>
      <c r="AC183" s="1531">
        <f t="shared" si="151"/>
        <v>78455.756466559556</v>
      </c>
      <c r="AD183" s="1487">
        <f t="shared" si="152"/>
        <v>0</v>
      </c>
      <c r="AE183" s="649">
        <f t="shared" si="153"/>
        <v>0.63349970191316662</v>
      </c>
      <c r="AF183" s="417">
        <f t="shared" si="154"/>
        <v>0.12128561202190329</v>
      </c>
      <c r="AG183" s="417">
        <f t="shared" si="155"/>
        <v>3.70153609202475E-2</v>
      </c>
      <c r="AH183" s="417">
        <f t="shared" si="167"/>
        <v>0</v>
      </c>
      <c r="AI183" s="417">
        <f t="shared" si="156"/>
        <v>0.20819932514468265</v>
      </c>
      <c r="AJ183" s="525">
        <f t="shared" si="157"/>
        <v>1</v>
      </c>
      <c r="AK183" s="1497">
        <f t="shared" si="158"/>
        <v>43579.356961299076</v>
      </c>
      <c r="AL183" s="1498">
        <f t="shared" si="159"/>
        <v>5778.2381616108914</v>
      </c>
      <c r="AM183" s="1498">
        <f t="shared" si="160"/>
        <v>344.10321202750248</v>
      </c>
      <c r="AN183" s="1498">
        <f t="shared" si="161"/>
        <v>49701.698334937471</v>
      </c>
      <c r="AO183" s="1184">
        <f t="shared" si="162"/>
        <v>0</v>
      </c>
    </row>
    <row r="184" spans="1:41">
      <c r="A184" s="127">
        <f>'Input data'!A124</f>
        <v>2024</v>
      </c>
      <c r="B184" s="1551">
        <f>'Input data'!B124</f>
        <v>63.126357518916684</v>
      </c>
      <c r="C184" s="1550">
        <f>'Input data'!C124</f>
        <v>4622.4800000000005</v>
      </c>
      <c r="D184" s="1509">
        <f>'Input data'!E124</f>
        <v>46900203.343432628</v>
      </c>
      <c r="E184" s="1508">
        <f>'Input data'!J124*C184</f>
        <v>55613.267789031597</v>
      </c>
      <c r="F184" s="1509">
        <f>'Input data'!L124</f>
        <v>102513.47113246423</v>
      </c>
      <c r="G184" s="1509">
        <f t="shared" si="163"/>
        <v>47121.062615822855</v>
      </c>
      <c r="H184" s="1509">
        <f t="shared" si="135"/>
        <v>28803.828281492504</v>
      </c>
      <c r="I184" s="1511">
        <f t="shared" si="138"/>
        <v>46900.203343432629</v>
      </c>
      <c r="J184" s="1504">
        <f t="shared" si="139"/>
        <v>0.11609308492183117</v>
      </c>
      <c r="K184" s="1512">
        <f t="shared" si="164"/>
        <v>2558.1878341585452</v>
      </c>
      <c r="L184" s="1512">
        <f t="shared" si="140"/>
        <v>0</v>
      </c>
      <c r="M184" s="1511">
        <f t="shared" si="165"/>
        <v>2558.1878341585452</v>
      </c>
      <c r="N184" s="1454">
        <f>($N$147-$N$142)/($A$107-$A$102)+N183</f>
        <v>0.35</v>
      </c>
      <c r="O184" s="530">
        <f t="shared" si="141"/>
        <v>526.34190000000012</v>
      </c>
      <c r="P184" s="1481">
        <f t="shared" si="168"/>
        <v>3084.5297341585456</v>
      </c>
      <c r="Q184" s="1364">
        <f t="shared" si="142"/>
        <v>72840.36116315682</v>
      </c>
      <c r="R184" s="1364">
        <f t="shared" si="166"/>
        <v>25719.298547333965</v>
      </c>
      <c r="S184" s="576">
        <f t="shared" si="143"/>
        <v>0.81947879210198715</v>
      </c>
      <c r="T184" s="135" t="str">
        <f t="shared" si="144"/>
        <v>Yes</v>
      </c>
      <c r="U184" s="1091">
        <f t="shared" si="145"/>
        <v>0.81947879210198715</v>
      </c>
      <c r="V184" s="1494">
        <f t="shared" si="136"/>
        <v>76794.172585130276</v>
      </c>
      <c r="W184" s="1491">
        <f t="shared" si="137"/>
        <v>0.25088701283073711</v>
      </c>
      <c r="X184" s="527">
        <f t="shared" si="146"/>
        <v>47121.062615822855</v>
      </c>
      <c r="Y184" s="1509">
        <f t="shared" si="147"/>
        <v>9898.1964005435839</v>
      </c>
      <c r="Z184" s="1531">
        <f t="shared" si="148"/>
        <v>3039.4774952906882</v>
      </c>
      <c r="AA184" s="1531">
        <f t="shared" si="149"/>
        <v>0</v>
      </c>
      <c r="AB184" s="1531">
        <f t="shared" si="150"/>
        <v>16735.436073473149</v>
      </c>
      <c r="AC184" s="1531">
        <f t="shared" si="151"/>
        <v>76794.172585130276</v>
      </c>
      <c r="AD184" s="1487">
        <f t="shared" si="152"/>
        <v>0</v>
      </c>
      <c r="AE184" s="649">
        <f t="shared" si="153"/>
        <v>0.61360206158334141</v>
      </c>
      <c r="AF184" s="417">
        <f t="shared" si="154"/>
        <v>0.12889254571459738</v>
      </c>
      <c r="AG184" s="417">
        <f t="shared" si="155"/>
        <v>3.9579533094405983E-2</v>
      </c>
      <c r="AH184" s="417">
        <f t="shared" si="167"/>
        <v>0</v>
      </c>
      <c r="AI184" s="417">
        <f t="shared" si="156"/>
        <v>0.21792585960765526</v>
      </c>
      <c r="AJ184" s="525">
        <f t="shared" si="157"/>
        <v>1</v>
      </c>
      <c r="AK184" s="1497">
        <f t="shared" si="158"/>
        <v>41455.414053832355</v>
      </c>
      <c r="AL184" s="1498">
        <f t="shared" si="159"/>
        <v>5358.1373568571498</v>
      </c>
      <c r="AM184" s="1498">
        <f t="shared" si="160"/>
        <v>307.51120513334683</v>
      </c>
      <c r="AN184" s="1498">
        <f t="shared" si="161"/>
        <v>47121.062615822855</v>
      </c>
      <c r="AO184" s="1184">
        <f t="shared" si="162"/>
        <v>0</v>
      </c>
    </row>
    <row r="185" spans="1:41">
      <c r="A185" s="127">
        <f>'Input data'!A125</f>
        <v>2025</v>
      </c>
      <c r="B185" s="1551">
        <f>'Input data'!B125</f>
        <v>64.142733908636146</v>
      </c>
      <c r="C185" s="1550">
        <f>'Input data'!C125</f>
        <v>4727.3100000000004</v>
      </c>
      <c r="D185" s="1509">
        <f>'Input data'!E125</f>
        <v>41859241.005426526</v>
      </c>
      <c r="E185" s="1508">
        <f>'Input data'!J125*C185</f>
        <v>56874.48230209043</v>
      </c>
      <c r="F185" s="1509">
        <f>'Input data'!L125</f>
        <v>98733.72330751695</v>
      </c>
      <c r="G185" s="1509">
        <f t="shared" si="163"/>
        <v>44674.419917829786</v>
      </c>
      <c r="H185" s="1509">
        <f t="shared" si="135"/>
        <v>27243.462340839062</v>
      </c>
      <c r="I185" s="1511">
        <f t="shared" si="138"/>
        <v>41859.241005426527</v>
      </c>
      <c r="J185" s="1504">
        <f t="shared" si="139"/>
        <v>0.12710919231119061</v>
      </c>
      <c r="K185" s="1512">
        <f t="shared" si="164"/>
        <v>2744.3526917651843</v>
      </c>
      <c r="L185" s="1512">
        <f t="shared" si="140"/>
        <v>0</v>
      </c>
      <c r="M185" s="1511">
        <f t="shared" si="165"/>
        <v>2744.3526917651843</v>
      </c>
      <c r="N185" s="1454">
        <f>($N$147-$N$142)/($A$107-$A$102)+N184</f>
        <v>0.39999999999999997</v>
      </c>
      <c r="O185" s="530">
        <f t="shared" si="141"/>
        <v>601.53360000000009</v>
      </c>
      <c r="P185" s="1481">
        <f t="shared" si="168"/>
        <v>3345.8862917651845</v>
      </c>
      <c r="Q185" s="1364">
        <f t="shared" si="142"/>
        <v>68571.995966903662</v>
      </c>
      <c r="R185" s="1364">
        <f t="shared" si="166"/>
        <v>23897.576049073876</v>
      </c>
      <c r="S185" s="576">
        <f t="shared" si="143"/>
        <v>0.7460194449510249</v>
      </c>
      <c r="T185" s="135" t="str">
        <f t="shared" si="144"/>
        <v>Yes</v>
      </c>
      <c r="U185" s="1091">
        <f t="shared" si="145"/>
        <v>0.7460194449510249</v>
      </c>
      <c r="V185" s="1494">
        <f t="shared" si="136"/>
        <v>74836.147258443089</v>
      </c>
      <c r="W185" s="1491">
        <f t="shared" si="137"/>
        <v>0.24204066501819499</v>
      </c>
      <c r="X185" s="527">
        <f t="shared" si="146"/>
        <v>44674.419917829786</v>
      </c>
      <c r="Y185" s="1509">
        <f t="shared" si="147"/>
        <v>9875.097139770467</v>
      </c>
      <c r="Z185" s="1531">
        <f t="shared" si="148"/>
        <v>3171.6628446854556</v>
      </c>
      <c r="AA185" s="1531">
        <f t="shared" si="149"/>
        <v>0</v>
      </c>
      <c r="AB185" s="1531">
        <f t="shared" si="150"/>
        <v>17114.967356157376</v>
      </c>
      <c r="AC185" s="1531">
        <f t="shared" si="151"/>
        <v>74836.147258443089</v>
      </c>
      <c r="AD185" s="1487">
        <f t="shared" si="152"/>
        <v>0</v>
      </c>
      <c r="AE185" s="649">
        <f t="shared" si="153"/>
        <v>0.59696311948754921</v>
      </c>
      <c r="AF185" s="417">
        <f t="shared" si="154"/>
        <v>0.13195624710164844</v>
      </c>
      <c r="AG185" s="417">
        <f t="shared" si="155"/>
        <v>4.2381428773080321E-2</v>
      </c>
      <c r="AH185" s="417">
        <f t="shared" si="167"/>
        <v>0</v>
      </c>
      <c r="AI185" s="417">
        <f t="shared" si="156"/>
        <v>0.22869920463772203</v>
      </c>
      <c r="AJ185" s="525">
        <f t="shared" si="157"/>
        <v>1</v>
      </c>
      <c r="AK185" s="1497">
        <f t="shared" si="158"/>
        <v>36538.546690467294</v>
      </c>
      <c r="AL185" s="1498">
        <f t="shared" si="159"/>
        <v>7709.4806320806711</v>
      </c>
      <c r="AM185" s="1498">
        <f t="shared" si="160"/>
        <v>426.39259528182691</v>
      </c>
      <c r="AN185" s="1498">
        <f t="shared" si="161"/>
        <v>44674.419917829786</v>
      </c>
      <c r="AO185" s="1184">
        <f t="shared" si="162"/>
        <v>0</v>
      </c>
    </row>
    <row r="186" spans="1:41">
      <c r="A186" s="127">
        <f>'Input data'!A126</f>
        <v>2026</v>
      </c>
      <c r="B186" s="1551">
        <f>'Input data'!B126</f>
        <v>65.115730264701668</v>
      </c>
      <c r="C186" s="1550">
        <f>'Input data'!C126</f>
        <v>4818.42</v>
      </c>
      <c r="D186" s="1509">
        <f>'Input data'!E126</f>
        <v>37757514.205797322</v>
      </c>
      <c r="E186" s="1508">
        <f>'Input data'!J126*C186</f>
        <v>57970.630869149376</v>
      </c>
      <c r="F186" s="1509">
        <f>'Input data'!L126</f>
        <v>95728.145074946689</v>
      </c>
      <c r="G186" s="1509">
        <f t="shared" si="163"/>
        <v>42354.812990240433</v>
      </c>
      <c r="H186" s="1509">
        <f t="shared" si="135"/>
        <v>26342.772329722226</v>
      </c>
      <c r="I186" s="1511">
        <f t="shared" si="138"/>
        <v>37757.514205797321</v>
      </c>
      <c r="J186" s="1504">
        <f t="shared" si="139"/>
        <v>0.13917062141024203</v>
      </c>
      <c r="K186" s="1512">
        <f t="shared" si="164"/>
        <v>2930.8471005851679</v>
      </c>
      <c r="L186" s="1512">
        <f t="shared" si="140"/>
        <v>0</v>
      </c>
      <c r="M186" s="1511">
        <f t="shared" si="165"/>
        <v>2930.8471005851679</v>
      </c>
      <c r="N186" s="1454">
        <f>($N$147-$N$142)/($A$107-$A$102)+N185</f>
        <v>0.44999999999999996</v>
      </c>
      <c r="O186" s="530">
        <f t="shared" si="141"/>
        <v>676.72530000000006</v>
      </c>
      <c r="P186" s="1481">
        <f t="shared" si="168"/>
        <v>3607.572400585168</v>
      </c>
      <c r="Q186" s="1364">
        <f t="shared" si="142"/>
        <v>65090.012919377492</v>
      </c>
      <c r="R186" s="1364">
        <f t="shared" si="166"/>
        <v>22735.199929137059</v>
      </c>
      <c r="S186" s="576">
        <f t="shared" si="143"/>
        <v>0.69767194517054698</v>
      </c>
      <c r="T186" s="135" t="str">
        <f t="shared" si="144"/>
        <v>Yes</v>
      </c>
      <c r="U186" s="1091">
        <f t="shared" si="145"/>
        <v>0.69767194517054698</v>
      </c>
      <c r="V186" s="1494">
        <f t="shared" si="136"/>
        <v>72992.945145809645</v>
      </c>
      <c r="W186" s="1491">
        <f t="shared" si="137"/>
        <v>0.23749755008140383</v>
      </c>
      <c r="X186" s="527">
        <f t="shared" si="146"/>
        <v>42354.812990240433</v>
      </c>
      <c r="Y186" s="1509">
        <f t="shared" si="147"/>
        <v>9896.9170794739075</v>
      </c>
      <c r="Z186" s="1531">
        <f t="shared" si="148"/>
        <v>3296.3889470164409</v>
      </c>
      <c r="AA186" s="1531">
        <f t="shared" si="149"/>
        <v>0</v>
      </c>
      <c r="AB186" s="1531">
        <f t="shared" si="150"/>
        <v>17444.826129078869</v>
      </c>
      <c r="AC186" s="1531">
        <f t="shared" si="151"/>
        <v>72992.945145809645</v>
      </c>
      <c r="AD186" s="1487">
        <f t="shared" si="152"/>
        <v>0</v>
      </c>
      <c r="AE186" s="1454">
        <f t="shared" si="153"/>
        <v>0.58025899497044642</v>
      </c>
      <c r="AF186" s="1504">
        <f t="shared" si="154"/>
        <v>0.13558730997501156</v>
      </c>
      <c r="AG186" s="1504">
        <f t="shared" si="155"/>
        <v>4.5160377354710408E-2</v>
      </c>
      <c r="AH186" s="1504">
        <f t="shared" si="167"/>
        <v>0</v>
      </c>
      <c r="AI186" s="1504">
        <f t="shared" si="156"/>
        <v>0.23899331769983165</v>
      </c>
      <c r="AJ186" s="1541">
        <f t="shared" si="157"/>
        <v>1</v>
      </c>
      <c r="AK186" s="1555">
        <f t="shared" si="158"/>
        <v>32502.777490870467</v>
      </c>
      <c r="AL186" s="1556">
        <f t="shared" si="159"/>
        <v>9353.9204833626391</v>
      </c>
      <c r="AM186" s="1556">
        <f t="shared" si="160"/>
        <v>498.11501600732464</v>
      </c>
      <c r="AN186" s="1498">
        <f t="shared" si="161"/>
        <v>42354.812990240425</v>
      </c>
      <c r="AO186" s="1184">
        <f t="shared" si="162"/>
        <v>0</v>
      </c>
    </row>
    <row r="187" spans="1:41">
      <c r="A187" s="127">
        <f>'Input data'!A127</f>
        <v>2027</v>
      </c>
      <c r="B187" s="1551">
        <f>'Input data'!B127</f>
        <v>66.042835586617315</v>
      </c>
      <c r="C187" s="1550">
        <f>'Input data'!C127</f>
        <v>4908.8799999999992</v>
      </c>
      <c r="D187" s="1509">
        <f>'Input data'!E127</f>
        <v>35019614.880897872</v>
      </c>
      <c r="E187" s="1508">
        <f>'Input data'!J127*C187</f>
        <v>59058.959256550894</v>
      </c>
      <c r="F187" s="1509">
        <f>'Input data'!L127</f>
        <v>94078.57413744877</v>
      </c>
      <c r="G187" s="1509">
        <f t="shared" si="163"/>
        <v>40155.6458200876</v>
      </c>
      <c r="H187" s="1509">
        <f t="shared" si="135"/>
        <v>26597.042264229975</v>
      </c>
      <c r="I187" s="1511">
        <f t="shared" si="138"/>
        <v>35019.614880897869</v>
      </c>
      <c r="J187" s="1504">
        <f t="shared" si="139"/>
        <v>0.15237656310721223</v>
      </c>
      <c r="K187" s="1512">
        <f t="shared" si="164"/>
        <v>3180.7904544965099</v>
      </c>
      <c r="L187" s="1512">
        <f t="shared" si="140"/>
        <v>0</v>
      </c>
      <c r="M187" s="1511">
        <f t="shared" si="165"/>
        <v>3180.7904544965099</v>
      </c>
      <c r="N187" s="1454">
        <f>$C$27</f>
        <v>0.5</v>
      </c>
      <c r="O187" s="530">
        <f t="shared" si="141"/>
        <v>751.91700000000026</v>
      </c>
      <c r="P187" s="1481">
        <f t="shared" si="168"/>
        <v>3932.7074544965103</v>
      </c>
      <c r="Q187" s="1364">
        <f t="shared" si="142"/>
        <v>62819.980629821068</v>
      </c>
      <c r="R187" s="1364">
        <f t="shared" si="166"/>
        <v>22664.334809733467</v>
      </c>
      <c r="S187" s="576">
        <f t="shared" si="143"/>
        <v>0.68396817242767094</v>
      </c>
      <c r="T187" s="135" t="str">
        <f t="shared" si="144"/>
        <v>Yes</v>
      </c>
      <c r="U187" s="1091">
        <f t="shared" si="145"/>
        <v>0.68396817242767094</v>
      </c>
      <c r="V187" s="1494">
        <f t="shared" si="136"/>
        <v>71414.239327715317</v>
      </c>
      <c r="W187" s="1491">
        <f t="shared" si="137"/>
        <v>0.24090857049577374</v>
      </c>
      <c r="X187" s="527">
        <f t="shared" si="146"/>
        <v>40155.6458200876</v>
      </c>
      <c r="Y187" s="1509">
        <f t="shared" si="147"/>
        <v>10065.500235721414</v>
      </c>
      <c r="Z187" s="1531">
        <f t="shared" si="148"/>
        <v>3420.7616593626267</v>
      </c>
      <c r="AA187" s="1531">
        <f t="shared" si="149"/>
        <v>0</v>
      </c>
      <c r="AB187" s="1531">
        <f>E187*$E$12</f>
        <v>17772.331612543669</v>
      </c>
      <c r="AC187" s="1531">
        <f t="shared" si="151"/>
        <v>71414.239327715317</v>
      </c>
      <c r="AD187" s="1487">
        <f t="shared" si="152"/>
        <v>0</v>
      </c>
      <c r="AE187" s="1454">
        <f t="shared" si="153"/>
        <v>0.56229186501330564</v>
      </c>
      <c r="AF187" s="1504">
        <f t="shared" si="154"/>
        <v>0.14094528388843416</v>
      </c>
      <c r="AG187" s="1504">
        <f t="shared" si="155"/>
        <v>4.7900274392967672E-2</v>
      </c>
      <c r="AH187" s="1504">
        <f t="shared" si="167"/>
        <v>0</v>
      </c>
      <c r="AI187" s="1504">
        <f t="shared" si="156"/>
        <v>0.24886257670529249</v>
      </c>
      <c r="AJ187" s="1541">
        <f t="shared" si="157"/>
        <v>1</v>
      </c>
      <c r="AK187" s="1555">
        <f t="shared" si="158"/>
        <v>29683.44632400847</v>
      </c>
      <c r="AL187" s="1556">
        <f t="shared" si="159"/>
        <v>9961.478670211196</v>
      </c>
      <c r="AM187" s="1556">
        <f t="shared" si="160"/>
        <v>510.72082586793505</v>
      </c>
      <c r="AN187" s="1498">
        <f t="shared" si="161"/>
        <v>40155.6458200876</v>
      </c>
      <c r="AO187" s="1184">
        <f t="shared" si="162"/>
        <v>0</v>
      </c>
    </row>
    <row r="188" spans="1:41">
      <c r="A188" s="127">
        <f>'Input data'!A128</f>
        <v>2028</v>
      </c>
      <c r="B188" s="1551">
        <f>'Input data'!B128</f>
        <v>66.921626677758155</v>
      </c>
      <c r="C188" s="1550">
        <f>'Input data'!C128</f>
        <v>5001.3400000000011</v>
      </c>
      <c r="D188" s="1509">
        <f>'Input data'!E128</f>
        <v>32897025.730580334</v>
      </c>
      <c r="E188" s="1508">
        <f>'Input data'!J128*C188</f>
        <v>60171.349735206066</v>
      </c>
      <c r="F188" s="1509">
        <f>'Input data'!L128</f>
        <v>93068.375465786405</v>
      </c>
      <c r="G188" s="1509">
        <f t="shared" si="163"/>
        <v>38070.664875792791</v>
      </c>
      <c r="H188" s="1509">
        <f t="shared" si="135"/>
        <v>27328.372196958662</v>
      </c>
      <c r="I188" s="1511">
        <f t="shared" si="138"/>
        <v>32897.025730580332</v>
      </c>
      <c r="J188" s="1504">
        <f t="shared" si="139"/>
        <v>0.16683562054324133</v>
      </c>
      <c r="K188" s="1512">
        <f t="shared" si="164"/>
        <v>3463.6581615641335</v>
      </c>
      <c r="L188" s="1512">
        <f t="shared" si="140"/>
        <v>0</v>
      </c>
      <c r="M188" s="1511">
        <f t="shared" si="165"/>
        <v>3463.6581615641335</v>
      </c>
      <c r="N188" s="1454">
        <f>N187</f>
        <v>0.5</v>
      </c>
      <c r="O188" s="530">
        <f t="shared" si="141"/>
        <v>751.91700000000026</v>
      </c>
      <c r="P188" s="1481">
        <f t="shared" si="168"/>
        <v>4215.5751615641339</v>
      </c>
      <c r="Q188" s="1364">
        <f t="shared" si="142"/>
        <v>61183.461911187318</v>
      </c>
      <c r="R188" s="1364">
        <f t="shared" si="166"/>
        <v>23112.797035394527</v>
      </c>
      <c r="S188" s="576">
        <f t="shared" si="143"/>
        <v>0.68432012084838112</v>
      </c>
      <c r="T188" s="135" t="str">
        <f t="shared" si="144"/>
        <v>Yes</v>
      </c>
      <c r="U188" s="1091">
        <f t="shared" si="145"/>
        <v>0.68432012084838112</v>
      </c>
      <c r="V188" s="1494">
        <f t="shared" si="136"/>
        <v>69955.578430391877</v>
      </c>
      <c r="W188" s="1491">
        <f t="shared" si="137"/>
        <v>0.24834211320139787</v>
      </c>
      <c r="X188" s="527">
        <f t="shared" si="146"/>
        <v>38070.664875792791</v>
      </c>
      <c r="Y188" s="1509">
        <f t="shared" si="147"/>
        <v>10306.80554244644</v>
      </c>
      <c r="Z188" s="1531">
        <f t="shared" si="148"/>
        <v>3471.0300255081979</v>
      </c>
      <c r="AA188" s="1531">
        <f t="shared" si="149"/>
        <v>0</v>
      </c>
      <c r="AB188" s="1531">
        <f t="shared" si="150"/>
        <v>18107.077986644446</v>
      </c>
      <c r="AC188" s="1531">
        <f t="shared" si="151"/>
        <v>69955.578430391877</v>
      </c>
      <c r="AD188" s="1487">
        <f t="shared" si="152"/>
        <v>0</v>
      </c>
      <c r="AE188" s="1454">
        <f t="shared" si="153"/>
        <v>0.54421199466850756</v>
      </c>
      <c r="AF188" s="1504">
        <f t="shared" si="154"/>
        <v>0.1473335761593631</v>
      </c>
      <c r="AG188" s="1504">
        <f t="shared" si="155"/>
        <v>4.9617630264639841E-2</v>
      </c>
      <c r="AH188" s="1504">
        <f t="shared" si="167"/>
        <v>0</v>
      </c>
      <c r="AI188" s="1504">
        <f t="shared" si="156"/>
        <v>0.2588367989074894</v>
      </c>
      <c r="AJ188" s="1541">
        <f t="shared" si="157"/>
        <v>0.99999999999999978</v>
      </c>
      <c r="AK188" s="1555">
        <f t="shared" si="158"/>
        <v>27408.630028791984</v>
      </c>
      <c r="AL188" s="1556">
        <f t="shared" si="159"/>
        <v>10137.803109934532</v>
      </c>
      <c r="AM188" s="1556">
        <f t="shared" si="160"/>
        <v>524.23173706627063</v>
      </c>
      <c r="AN188" s="1498">
        <f t="shared" si="161"/>
        <v>38070.664875792783</v>
      </c>
      <c r="AO188" s="1184">
        <f t="shared" si="162"/>
        <v>0</v>
      </c>
    </row>
    <row r="189" spans="1:41">
      <c r="A189" s="127">
        <f>'Input data'!A129</f>
        <v>2029</v>
      </c>
      <c r="B189" s="1551">
        <f>'Input data'!B129</f>
        <v>67.749778587208695</v>
      </c>
      <c r="C189" s="1550">
        <f>'Input data'!C129</f>
        <v>5124.16</v>
      </c>
      <c r="D189" s="1509">
        <f>'Input data'!E129</f>
        <v>31986451.408819646</v>
      </c>
      <c r="E189" s="1508">
        <f>'Input data'!J129*C189</f>
        <v>61649.00275909125</v>
      </c>
      <c r="F189" s="1509">
        <f>'Input data'!L129</f>
        <v>93635.454167910895</v>
      </c>
      <c r="G189" s="1509">
        <f t="shared" si="163"/>
        <v>36093.941324681233</v>
      </c>
      <c r="H189" s="1509">
        <f t="shared" si="135"/>
        <v>29298.45304224662</v>
      </c>
      <c r="I189" s="1511">
        <f t="shared" si="138"/>
        <v>31986.451408819645</v>
      </c>
      <c r="J189" s="1504">
        <f>$J$137*(1+((($J$150/$J$137)^(1/($A$150-$A$137)))-1))^(A189-$A$137)</f>
        <v>0.18266670224386344</v>
      </c>
      <c r="K189" s="1512">
        <f t="shared" si="164"/>
        <v>3874.1658454356484</v>
      </c>
      <c r="L189" s="1512">
        <f t="shared" si="140"/>
        <v>0</v>
      </c>
      <c r="M189" s="1511">
        <f t="shared" si="165"/>
        <v>3874.1658454356484</v>
      </c>
      <c r="N189" s="1454">
        <f t="shared" ref="N189:N210" si="169">N188</f>
        <v>0.5</v>
      </c>
      <c r="O189" s="530">
        <f t="shared" si="141"/>
        <v>751.91700000000026</v>
      </c>
      <c r="P189" s="1481">
        <f t="shared" si="168"/>
        <v>4626.0828454356488</v>
      </c>
      <c r="Q189" s="1364">
        <f t="shared" si="142"/>
        <v>60766.3115214922</v>
      </c>
      <c r="R189" s="1364">
        <f t="shared" si="166"/>
        <v>24672.370196810967</v>
      </c>
      <c r="S189" s="576">
        <f t="shared" si="143"/>
        <v>0.71260635804721018</v>
      </c>
      <c r="T189" s="135" t="str">
        <f t="shared" si="144"/>
        <v>Yes</v>
      </c>
      <c r="U189" s="1091">
        <f t="shared" si="145"/>
        <v>0.71260635804721018</v>
      </c>
      <c r="V189" s="1494">
        <f t="shared" si="136"/>
        <v>68963.083971099928</v>
      </c>
      <c r="W189" s="1491">
        <f t="shared" si="137"/>
        <v>0.26349389145448554</v>
      </c>
      <c r="X189" s="527">
        <f t="shared" si="146"/>
        <v>36093.941324681233</v>
      </c>
      <c r="Y189" s="1509">
        <f t="shared" si="147"/>
        <v>10779.597143491072</v>
      </c>
      <c r="Z189" s="1531">
        <f t="shared" si="148"/>
        <v>3537.8044223284328</v>
      </c>
      <c r="AA189" s="1531">
        <f t="shared" si="149"/>
        <v>0</v>
      </c>
      <c r="AB189" s="1531">
        <f t="shared" si="150"/>
        <v>18551.741080599193</v>
      </c>
      <c r="AC189" s="1531">
        <f t="shared" si="151"/>
        <v>68963.083971099928</v>
      </c>
      <c r="AD189" s="1487">
        <f t="shared" si="152"/>
        <v>0</v>
      </c>
      <c r="AE189" s="1454">
        <f t="shared" si="153"/>
        <v>0.52338061534207159</v>
      </c>
      <c r="AF189" s="1504">
        <f t="shared" si="154"/>
        <v>0.15630967356402495</v>
      </c>
      <c r="AG189" s="1504">
        <f t="shared" si="155"/>
        <v>5.1299974110946167E-2</v>
      </c>
      <c r="AH189" s="1504">
        <f t="shared" si="167"/>
        <v>0</v>
      </c>
      <c r="AI189" s="1504">
        <f t="shared" si="156"/>
        <v>0.26900973698295733</v>
      </c>
      <c r="AJ189" s="1541">
        <f t="shared" si="157"/>
        <v>1</v>
      </c>
      <c r="AK189" s="1555">
        <f t="shared" si="158"/>
        <v>26143.591813486983</v>
      </c>
      <c r="AL189" s="1556">
        <f t="shared" si="159"/>
        <v>9456.0641320205796</v>
      </c>
      <c r="AM189" s="1556">
        <f t="shared" si="160"/>
        <v>494.28537917367271</v>
      </c>
      <c r="AN189" s="1498">
        <f t="shared" si="161"/>
        <v>36093.941324681233</v>
      </c>
      <c r="AO189" s="1184">
        <f t="shared" si="162"/>
        <v>0</v>
      </c>
    </row>
    <row r="190" spans="1:41">
      <c r="A190" s="127">
        <f>'Input data'!A130</f>
        <v>2030</v>
      </c>
      <c r="B190" s="1551">
        <f>'Input data'!B130</f>
        <v>68.525074762177482</v>
      </c>
      <c r="C190" s="1550">
        <f>'Input data'!C130</f>
        <v>5234.6499999999996</v>
      </c>
      <c r="D190" s="1509">
        <f>'Input data'!E130</f>
        <v>29783743.542171866</v>
      </c>
      <c r="E190" s="1508">
        <f>'Input data'!J130*C190</f>
        <v>62978.312990397841</v>
      </c>
      <c r="F190" s="1509">
        <f>'Input data'!L130</f>
        <v>92762.05653256971</v>
      </c>
      <c r="G190" s="1509">
        <f>G177*(1-$C$4)</f>
        <v>34219.854173807704</v>
      </c>
      <c r="H190" s="1509">
        <f t="shared" si="135"/>
        <v>29868.171689516581</v>
      </c>
      <c r="I190" s="1511">
        <f t="shared" si="138"/>
        <v>29783.743542171866</v>
      </c>
      <c r="J190" s="1504">
        <v>0.2</v>
      </c>
      <c r="K190" s="1512">
        <f t="shared" si="164"/>
        <v>4123.6266465153121</v>
      </c>
      <c r="L190" s="1512">
        <f t="shared" si="140"/>
        <v>0</v>
      </c>
      <c r="M190" s="1511">
        <f t="shared" si="165"/>
        <v>4123.6266465153121</v>
      </c>
      <c r="N190" s="1454">
        <f t="shared" si="169"/>
        <v>0.5</v>
      </c>
      <c r="O190" s="530">
        <f t="shared" si="141"/>
        <v>751.91700000000026</v>
      </c>
      <c r="P190" s="1481">
        <f t="shared" si="168"/>
        <v>4875.5436465153125</v>
      </c>
      <c r="Q190" s="1364">
        <f t="shared" si="142"/>
        <v>59212.482216808974</v>
      </c>
      <c r="R190" s="1364">
        <f t="shared" si="166"/>
        <v>24992.62804300127</v>
      </c>
      <c r="S190" s="576">
        <f t="shared" si="143"/>
        <v>0.70629599565605583</v>
      </c>
      <c r="T190" s="135" t="str">
        <f t="shared" si="144"/>
        <v>Yes</v>
      </c>
      <c r="U190" s="1091">
        <f t="shared" si="145"/>
        <v>0.70629599565605583</v>
      </c>
      <c r="V190" s="1494">
        <f t="shared" si="136"/>
        <v>67769.42848956844</v>
      </c>
      <c r="W190" s="1491">
        <f t="shared" si="137"/>
        <v>0.26942727422419854</v>
      </c>
      <c r="X190" s="527">
        <f t="shared" si="146"/>
        <v>34219.854173807704</v>
      </c>
      <c r="Y190" s="1509">
        <f t="shared" si="147"/>
        <v>10999.934949002076</v>
      </c>
      <c r="Z190" s="1531">
        <f t="shared" si="148"/>
        <v>3597.8752829754594</v>
      </c>
      <c r="AA190" s="1531">
        <f t="shared" si="149"/>
        <v>0</v>
      </c>
      <c r="AB190" s="1531">
        <f t="shared" si="150"/>
        <v>18951.764083783208</v>
      </c>
      <c r="AC190" s="1531">
        <f t="shared" si="151"/>
        <v>67769.42848956844</v>
      </c>
      <c r="AD190" s="1487">
        <f t="shared" si="152"/>
        <v>0</v>
      </c>
      <c r="AE190" s="1454">
        <f t="shared" si="153"/>
        <v>0.50494529666979659</v>
      </c>
      <c r="AF190" s="1504">
        <f t="shared" si="154"/>
        <v>0.16231411706084056</v>
      </c>
      <c r="AG190" s="1504">
        <f t="shared" si="155"/>
        <v>5.3089945764103211E-2</v>
      </c>
      <c r="AH190" s="1504">
        <f t="shared" si="167"/>
        <v>0</v>
      </c>
      <c r="AI190" s="1504">
        <f t="shared" si="156"/>
        <v>0.27965064050525967</v>
      </c>
      <c r="AJ190" s="1541">
        <f t="shared" si="157"/>
        <v>1</v>
      </c>
      <c r="AK190" s="1555">
        <f t="shared" si="158"/>
        <v>23826.994833737492</v>
      </c>
      <c r="AL190" s="1556">
        <f t="shared" si="159"/>
        <v>9872.0668569499358</v>
      </c>
      <c r="AM190" s="1556">
        <f t="shared" si="160"/>
        <v>520.79248312026903</v>
      </c>
      <c r="AN190" s="1498">
        <f t="shared" si="161"/>
        <v>34219.854173807696</v>
      </c>
      <c r="AO190" s="1184">
        <f t="shared" si="162"/>
        <v>0</v>
      </c>
    </row>
    <row r="191" spans="1:41">
      <c r="A191" s="127">
        <f>'Input data'!A131</f>
        <v>2031</v>
      </c>
      <c r="B191" s="1551">
        <f>'Input data'!B131</f>
        <v>69.286388472916428</v>
      </c>
      <c r="C191" s="1550">
        <f>'Input data'!C131</f>
        <v>5365.4400000000005</v>
      </c>
      <c r="D191" s="1509">
        <f>'Input data'!E131</f>
        <v>28782558.928955987</v>
      </c>
      <c r="E191" s="1508">
        <f>'Input data'!J131*C191</f>
        <v>64551.853447928748</v>
      </c>
      <c r="F191" s="1509">
        <f>'Input data'!L131</f>
        <v>93334.412376884735</v>
      </c>
      <c r="G191" s="1509">
        <f>$G$150*(1+((($G$160/$G$150)^(1/($A$160-$A$150)))-1))^(A191-$A$150)</f>
        <v>33020.827958397946</v>
      </c>
      <c r="H191" s="1509">
        <f t="shared" si="135"/>
        <v>31030.542658299521</v>
      </c>
      <c r="I191" s="1511">
        <f t="shared" si="138"/>
        <v>28782.558928955987</v>
      </c>
      <c r="J191" s="1504">
        <f t="shared" ref="J191:J210" si="170">J190</f>
        <v>0.2</v>
      </c>
      <c r="K191" s="1512">
        <f t="shared" si="164"/>
        <v>3985.0103727318487</v>
      </c>
      <c r="L191" s="1512">
        <f t="shared" si="140"/>
        <v>0</v>
      </c>
      <c r="M191" s="1511">
        <f t="shared" si="165"/>
        <v>3985.0103727318487</v>
      </c>
      <c r="N191" s="1454">
        <f t="shared" si="169"/>
        <v>0.5</v>
      </c>
      <c r="O191" s="530">
        <f t="shared" si="141"/>
        <v>751.91700000000026</v>
      </c>
      <c r="P191" s="1481">
        <f t="shared" si="168"/>
        <v>4736.9273727318487</v>
      </c>
      <c r="Q191" s="1364">
        <f t="shared" si="142"/>
        <v>59314.443243965616</v>
      </c>
      <c r="R191" s="1364">
        <f t="shared" si="166"/>
        <v>26293.61528556767</v>
      </c>
      <c r="S191" s="576">
        <f t="shared" si="143"/>
        <v>0.72457364091072107</v>
      </c>
      <c r="T191" s="135" t="str">
        <f t="shared" si="144"/>
        <v>Yes</v>
      </c>
      <c r="U191" s="1091">
        <f t="shared" si="145"/>
        <v>0.72457364091072107</v>
      </c>
      <c r="V191" s="1494">
        <f t="shared" si="136"/>
        <v>67040.797091317072</v>
      </c>
      <c r="W191" s="1491">
        <f t="shared" si="137"/>
        <v>0.28171404968398939</v>
      </c>
      <c r="X191" s="527">
        <f t="shared" si="146"/>
        <v>33020.827958397946</v>
      </c>
      <c r="Y191" s="1509">
        <f t="shared" si="147"/>
        <v>10925.704221310589</v>
      </c>
      <c r="Z191" s="1531">
        <f t="shared" si="148"/>
        <v>3668.9827846862445</v>
      </c>
      <c r="AA191" s="1531">
        <f t="shared" si="149"/>
        <v>0</v>
      </c>
      <c r="AB191" s="1531">
        <f t="shared" si="150"/>
        <v>19425.282126922295</v>
      </c>
      <c r="AC191" s="1531">
        <f t="shared" si="151"/>
        <v>67040.797091317072</v>
      </c>
      <c r="AD191" s="1487">
        <f t="shared" si="152"/>
        <v>0</v>
      </c>
      <c r="AE191" s="1454">
        <f t="shared" si="153"/>
        <v>0.49254826003067775</v>
      </c>
      <c r="AF191" s="1504">
        <f t="shared" si="154"/>
        <v>0.16297097730548396</v>
      </c>
      <c r="AG191" s="1504">
        <f t="shared" si="155"/>
        <v>5.4727612795066848E-2</v>
      </c>
      <c r="AH191" s="1504">
        <f t="shared" si="167"/>
        <v>0</v>
      </c>
      <c r="AI191" s="1504">
        <f t="shared" si="156"/>
        <v>0.28975314986877149</v>
      </c>
      <c r="AJ191" s="1541">
        <f t="shared" si="157"/>
        <v>1</v>
      </c>
      <c r="AK191" s="1555">
        <f t="shared" si="158"/>
        <v>23026.047143164789</v>
      </c>
      <c r="AL191" s="1556">
        <f t="shared" si="159"/>
        <v>9489.0211546832707</v>
      </c>
      <c r="AM191" s="1556">
        <f t="shared" si="160"/>
        <v>505.75966054988464</v>
      </c>
      <c r="AN191" s="1498">
        <f t="shared" si="161"/>
        <v>33020.827958397946</v>
      </c>
      <c r="AO191" s="1184">
        <f t="shared" si="162"/>
        <v>0</v>
      </c>
    </row>
    <row r="192" spans="1:41">
      <c r="A192" s="127">
        <f>'Input data'!A132</f>
        <v>2032</v>
      </c>
      <c r="B192" s="1551">
        <f>'Input data'!B132</f>
        <v>70.033051881823098</v>
      </c>
      <c r="C192" s="1550">
        <f>'Input data'!C132</f>
        <v>5502.3</v>
      </c>
      <c r="D192" s="1509">
        <f>'Input data'!E132</f>
        <v>27987384.812012181</v>
      </c>
      <c r="E192" s="1508">
        <f>'Input data'!J132*C192</f>
        <v>66198.422352414404</v>
      </c>
      <c r="F192" s="1509">
        <f>'Input data'!L132</f>
        <v>94185.807164426587</v>
      </c>
      <c r="G192" s="1509">
        <f t="shared" ref="G192:G199" si="171">$G$150*(1+((($G$160/$G$150)^(1/($A$160-$A$150)))-1))^(A192-$A$150)</f>
        <v>31863.814308498775</v>
      </c>
      <c r="H192" s="1509">
        <f t="shared" si="135"/>
        <v>32386.136320477679</v>
      </c>
      <c r="I192" s="1511">
        <f t="shared" si="138"/>
        <v>27987.38481201218</v>
      </c>
      <c r="J192" s="1504">
        <f t="shared" si="170"/>
        <v>0.2</v>
      </c>
      <c r="K192" s="1512">
        <f t="shared" si="164"/>
        <v>3874.9167180303875</v>
      </c>
      <c r="L192" s="1512">
        <f t="shared" si="140"/>
        <v>0</v>
      </c>
      <c r="M192" s="1511">
        <f t="shared" si="165"/>
        <v>3874.9167180303875</v>
      </c>
      <c r="N192" s="1454">
        <f t="shared" si="169"/>
        <v>0.5</v>
      </c>
      <c r="O192" s="530">
        <f t="shared" si="141"/>
        <v>751.91700000000026</v>
      </c>
      <c r="P192" s="1481">
        <f t="shared" si="168"/>
        <v>4626.8337180303879</v>
      </c>
      <c r="Q192" s="1364">
        <f t="shared" si="142"/>
        <v>59623.116910946068</v>
      </c>
      <c r="R192" s="1364">
        <f t="shared" si="166"/>
        <v>27759.302602447293</v>
      </c>
      <c r="S192" s="576">
        <f t="shared" si="143"/>
        <v>0.74555224495202277</v>
      </c>
      <c r="T192" s="135" t="str">
        <f t="shared" si="144"/>
        <v>Yes</v>
      </c>
      <c r="U192" s="1091">
        <f t="shared" si="145"/>
        <v>0.74555224495202277</v>
      </c>
      <c r="V192" s="1494">
        <f t="shared" si="136"/>
        <v>66426.504561979295</v>
      </c>
      <c r="W192" s="1491">
        <f t="shared" si="137"/>
        <v>0.29472914697206964</v>
      </c>
      <c r="X192" s="527">
        <f t="shared" si="146"/>
        <v>31863.814308498779</v>
      </c>
      <c r="Y192" s="1509">
        <f t="shared" si="147"/>
        <v>10898.52357516082</v>
      </c>
      <c r="Z192" s="1531">
        <f t="shared" si="148"/>
        <v>3743.3904051781628</v>
      </c>
      <c r="AA192" s="1531">
        <f t="shared" si="149"/>
        <v>0</v>
      </c>
      <c r="AB192" s="1531">
        <f t="shared" si="150"/>
        <v>19920.776273141539</v>
      </c>
      <c r="AC192" s="1531">
        <f t="shared" si="151"/>
        <v>66426.504561979295</v>
      </c>
      <c r="AD192" s="1487">
        <f t="shared" si="152"/>
        <v>0</v>
      </c>
      <c r="AE192" s="1454">
        <f t="shared" si="153"/>
        <v>0.47968524790835904</v>
      </c>
      <c r="AF192" s="1504">
        <f t="shared" si="154"/>
        <v>0.16406890061469281</v>
      </c>
      <c r="AG192" s="1504">
        <f t="shared" si="155"/>
        <v>5.6353867027360893E-2</v>
      </c>
      <c r="AH192" s="1504">
        <f t="shared" si="167"/>
        <v>0</v>
      </c>
      <c r="AI192" s="1504">
        <f t="shared" si="156"/>
        <v>0.29989198444958737</v>
      </c>
      <c r="AJ192" s="1541">
        <f t="shared" si="157"/>
        <v>1</v>
      </c>
      <c r="AK192" s="1555">
        <f t="shared" si="158"/>
        <v>22389.907849609743</v>
      </c>
      <c r="AL192" s="1556">
        <f t="shared" si="159"/>
        <v>8989.8710058761953</v>
      </c>
      <c r="AM192" s="1556">
        <f t="shared" si="160"/>
        <v>484.03545301283322</v>
      </c>
      <c r="AN192" s="1498">
        <f t="shared" si="161"/>
        <v>31863.814308498768</v>
      </c>
      <c r="AO192" s="1184">
        <f t="shared" si="162"/>
        <v>0</v>
      </c>
    </row>
    <row r="193" spans="1:41">
      <c r="A193" s="127">
        <f>'Input data'!A133</f>
        <v>2033</v>
      </c>
      <c r="B193" s="1551">
        <f>'Input data'!B133</f>
        <v>70.764404167450692</v>
      </c>
      <c r="C193" s="1550">
        <f>'Input data'!C133</f>
        <v>5663.260000000002</v>
      </c>
      <c r="D193" s="1509">
        <f>'Input data'!E133</f>
        <v>28989172.151095852</v>
      </c>
      <c r="E193" s="1508">
        <f>'Input data'!J133*C193</f>
        <v>68134.939456506283</v>
      </c>
      <c r="F193" s="1509">
        <f>'Input data'!L133</f>
        <v>97124.111607602128</v>
      </c>
      <c r="G193" s="1509">
        <f t="shared" si="171"/>
        <v>30747.341149823493</v>
      </c>
      <c r="H193" s="1509">
        <f t="shared" si="135"/>
        <v>35553.92637478796</v>
      </c>
      <c r="I193" s="1511">
        <f t="shared" si="138"/>
        <v>28989.172151095852</v>
      </c>
      <c r="J193" s="1504">
        <f t="shared" si="170"/>
        <v>0.2</v>
      </c>
      <c r="K193" s="1512">
        <f t="shared" si="164"/>
        <v>4013.6164405732529</v>
      </c>
      <c r="L193" s="1512">
        <f t="shared" si="140"/>
        <v>0</v>
      </c>
      <c r="M193" s="1511">
        <f t="shared" si="165"/>
        <v>4013.6164405732529</v>
      </c>
      <c r="N193" s="1454">
        <f t="shared" si="169"/>
        <v>0.5</v>
      </c>
      <c r="O193" s="530">
        <f t="shared" si="141"/>
        <v>751.91700000000026</v>
      </c>
      <c r="P193" s="1481">
        <f t="shared" si="168"/>
        <v>4765.5334405732528</v>
      </c>
      <c r="Q193" s="1364">
        <f t="shared" si="142"/>
        <v>61535.734084038202</v>
      </c>
      <c r="R193" s="1364">
        <f t="shared" si="166"/>
        <v>30788.392934214709</v>
      </c>
      <c r="S193" s="576">
        <f t="shared" si="143"/>
        <v>0.80294373766159832</v>
      </c>
      <c r="T193" s="135" t="str">
        <f t="shared" si="144"/>
        <v>Yes</v>
      </c>
      <c r="U193" s="1091">
        <f t="shared" si="145"/>
        <v>0.80294373766159832</v>
      </c>
      <c r="V193" s="1494">
        <f t="shared" si="136"/>
        <v>66335.718673387426</v>
      </c>
      <c r="W193" s="1491">
        <f t="shared" si="137"/>
        <v>0.31700051021938846</v>
      </c>
      <c r="X193" s="527">
        <f t="shared" si="146"/>
        <v>30747.341149823493</v>
      </c>
      <c r="Y193" s="1509">
        <f t="shared" si="147"/>
        <v>11253.953733087073</v>
      </c>
      <c r="Z193" s="1531">
        <f t="shared" si="148"/>
        <v>3830.9006389526726</v>
      </c>
      <c r="AA193" s="1531">
        <f t="shared" si="149"/>
        <v>0</v>
      </c>
      <c r="AB193" s="1531">
        <f t="shared" si="150"/>
        <v>20503.523151524198</v>
      </c>
      <c r="AC193" s="1531">
        <f t="shared" si="151"/>
        <v>66335.718673387426</v>
      </c>
      <c r="AD193" s="1487">
        <f t="shared" si="152"/>
        <v>0</v>
      </c>
      <c r="AE193" s="1454">
        <f t="shared" si="153"/>
        <v>0.46351108821496367</v>
      </c>
      <c r="AF193" s="1504">
        <f t="shared" si="154"/>
        <v>0.16965149331534923</v>
      </c>
      <c r="AG193" s="1504">
        <f t="shared" si="155"/>
        <v>5.7750194247756813E-2</v>
      </c>
      <c r="AH193" s="1504">
        <f t="shared" si="167"/>
        <v>0</v>
      </c>
      <c r="AI193" s="1504">
        <f t="shared" si="156"/>
        <v>0.30908722422193047</v>
      </c>
      <c r="AJ193" s="1541">
        <f t="shared" si="157"/>
        <v>1.0000000000000002</v>
      </c>
      <c r="AK193" s="1555">
        <f t="shared" si="158"/>
        <v>23191.337720876683</v>
      </c>
      <c r="AL193" s="1556">
        <f t="shared" si="159"/>
        <v>7165.8433939890092</v>
      </c>
      <c r="AM193" s="1556">
        <f t="shared" si="160"/>
        <v>390.16003495780097</v>
      </c>
      <c r="AN193" s="1498">
        <f t="shared" si="161"/>
        <v>30747.341149823493</v>
      </c>
      <c r="AO193" s="1184">
        <f t="shared" si="162"/>
        <v>0</v>
      </c>
    </row>
    <row r="194" spans="1:41">
      <c r="A194" s="127">
        <f>'Input data'!A134</f>
        <v>2034</v>
      </c>
      <c r="B194" s="1551">
        <f>'Input data'!B134</f>
        <v>71.479792486390252</v>
      </c>
      <c r="C194" s="1550">
        <f>'Input data'!C134</f>
        <v>5838.79</v>
      </c>
      <c r="D194" s="1509">
        <f>'Input data'!E134</f>
        <v>30478258.098855209</v>
      </c>
      <c r="E194" s="1508">
        <f>'Input data'!J134*C194</f>
        <v>70246.748895380792</v>
      </c>
      <c r="F194" s="1509">
        <f>'Input data'!L134</f>
        <v>100725.006994236</v>
      </c>
      <c r="G194" s="1509">
        <f t="shared" si="171"/>
        <v>29669.987987956312</v>
      </c>
      <c r="H194" s="1509">
        <f t="shared" si="135"/>
        <v>39240.486903315308</v>
      </c>
      <c r="I194" s="1511">
        <f t="shared" si="138"/>
        <v>30478.258098855207</v>
      </c>
      <c r="J194" s="1504">
        <f t="shared" si="170"/>
        <v>0.2</v>
      </c>
      <c r="K194" s="1512">
        <f t="shared" si="164"/>
        <v>4219.7837574666955</v>
      </c>
      <c r="L194" s="1512">
        <f t="shared" si="140"/>
        <v>0</v>
      </c>
      <c r="M194" s="1511">
        <f t="shared" si="165"/>
        <v>4219.7837574666955</v>
      </c>
      <c r="N194" s="1454">
        <f t="shared" si="169"/>
        <v>0.5</v>
      </c>
      <c r="O194" s="530">
        <f t="shared" si="141"/>
        <v>751.91700000000026</v>
      </c>
      <c r="P194" s="1481">
        <f t="shared" si="168"/>
        <v>4971.7007574666959</v>
      </c>
      <c r="Q194" s="1364">
        <f t="shared" si="142"/>
        <v>63938.774133804924</v>
      </c>
      <c r="R194" s="1364">
        <f t="shared" si="166"/>
        <v>34268.786145848615</v>
      </c>
      <c r="S194" s="576">
        <f t="shared" si="143"/>
        <v>0.86633231118280152</v>
      </c>
      <c r="T194" s="135" t="str">
        <f t="shared" si="144"/>
        <v>Yes</v>
      </c>
      <c r="U194" s="1091">
        <f t="shared" si="145"/>
        <v>0.86633231118280152</v>
      </c>
      <c r="V194" s="1494">
        <f t="shared" si="136"/>
        <v>66456.220848387413</v>
      </c>
      <c r="W194" s="1491">
        <f t="shared" si="137"/>
        <v>0.34022123371815327</v>
      </c>
      <c r="X194" s="527">
        <f t="shared" si="146"/>
        <v>29669.987987956312</v>
      </c>
      <c r="Y194" s="1509">
        <f t="shared" si="147"/>
        <v>11720.880697085533</v>
      </c>
      <c r="Z194" s="1531">
        <f t="shared" si="148"/>
        <v>3926.3322451557001</v>
      </c>
      <c r="AA194" s="1531">
        <f t="shared" si="149"/>
        <v>0</v>
      </c>
      <c r="AB194" s="1531">
        <f t="shared" si="150"/>
        <v>21139.019918189864</v>
      </c>
      <c r="AC194" s="1531">
        <f t="shared" si="151"/>
        <v>66456.220848387413</v>
      </c>
      <c r="AD194" s="1487">
        <f t="shared" si="152"/>
        <v>0</v>
      </c>
      <c r="AE194" s="1454">
        <f t="shared" si="153"/>
        <v>0.44645915174209411</v>
      </c>
      <c r="AF194" s="1504">
        <f t="shared" si="154"/>
        <v>0.17636995524956856</v>
      </c>
      <c r="AG194" s="1504">
        <f t="shared" si="155"/>
        <v>5.9081485450597576E-2</v>
      </c>
      <c r="AH194" s="1504">
        <f t="shared" si="167"/>
        <v>0</v>
      </c>
      <c r="AI194" s="1504">
        <f t="shared" si="156"/>
        <v>0.31808940755773973</v>
      </c>
      <c r="AJ194" s="1541">
        <f t="shared" si="157"/>
        <v>1</v>
      </c>
      <c r="AK194" s="1555">
        <f t="shared" si="158"/>
        <v>24382.606479084166</v>
      </c>
      <c r="AL194" s="1556">
        <f t="shared" si="159"/>
        <v>5011.4091955062377</v>
      </c>
      <c r="AM194" s="1556">
        <f t="shared" si="160"/>
        <v>275.97231336590573</v>
      </c>
      <c r="AN194" s="1498">
        <f t="shared" si="161"/>
        <v>29669.987987956309</v>
      </c>
      <c r="AO194" s="1184">
        <f t="shared" si="162"/>
        <v>0</v>
      </c>
    </row>
    <row r="195" spans="1:41">
      <c r="A195" s="127">
        <f>'Input data'!A135</f>
        <v>2035</v>
      </c>
      <c r="B195" s="1551">
        <f>'Input data'!B135</f>
        <v>72.178572932855872</v>
      </c>
      <c r="C195" s="1550">
        <f>'Input data'!C135</f>
        <v>5978.8699999999981</v>
      </c>
      <c r="D195" s="1509">
        <f>'Input data'!E135</f>
        <v>23293526.984521989</v>
      </c>
      <c r="E195" s="1508">
        <f>'Input data'!J135*C195</f>
        <v>71932.057766784754</v>
      </c>
      <c r="F195" s="1509">
        <f>'Input data'!L135</f>
        <v>95225.584751306742</v>
      </c>
      <c r="G195" s="1509">
        <f t="shared" si="171"/>
        <v>28630.384101050156</v>
      </c>
      <c r="H195" s="1509">
        <f t="shared" si="135"/>
        <v>34504.60585776146</v>
      </c>
      <c r="I195" s="1511">
        <f t="shared" si="138"/>
        <v>23293.526984521988</v>
      </c>
      <c r="J195" s="1504">
        <f t="shared" si="170"/>
        <v>0.2</v>
      </c>
      <c r="K195" s="1512">
        <f t="shared" si="164"/>
        <v>3225.0414871015901</v>
      </c>
      <c r="L195" s="1512">
        <f t="shared" si="140"/>
        <v>0</v>
      </c>
      <c r="M195" s="1511">
        <f t="shared" si="165"/>
        <v>3225.0414871015901</v>
      </c>
      <c r="N195" s="1454">
        <f t="shared" si="169"/>
        <v>0.5</v>
      </c>
      <c r="O195" s="530">
        <f t="shared" si="141"/>
        <v>751.91700000000026</v>
      </c>
      <c r="P195" s="1481">
        <f t="shared" si="168"/>
        <v>3976.9584871015904</v>
      </c>
      <c r="Q195" s="1364">
        <f t="shared" si="142"/>
        <v>59158.031471710026</v>
      </c>
      <c r="R195" s="1364">
        <f t="shared" si="166"/>
        <v>30527.64737065987</v>
      </c>
      <c r="S195" s="576">
        <f t="shared" si="143"/>
        <v>0.75333734563420252</v>
      </c>
      <c r="T195" s="135" t="str">
        <f t="shared" si="144"/>
        <v>Yes</v>
      </c>
      <c r="U195" s="1091">
        <f t="shared" si="145"/>
        <v>0.75333734563420252</v>
      </c>
      <c r="V195" s="1494">
        <f t="shared" si="136"/>
        <v>64697.937380646879</v>
      </c>
      <c r="W195" s="1491">
        <f t="shared" si="137"/>
        <v>0.3205824091328664</v>
      </c>
      <c r="X195" s="527">
        <f t="shared" si="146"/>
        <v>28630.384101050156</v>
      </c>
      <c r="Y195" s="1509">
        <f t="shared" si="147"/>
        <v>10418.890875999088</v>
      </c>
      <c r="Z195" s="1531">
        <f t="shared" si="148"/>
        <v>4002.4905052646268</v>
      </c>
      <c r="AA195" s="1531">
        <f t="shared" si="149"/>
        <v>0</v>
      </c>
      <c r="AB195" s="1531">
        <f t="shared" si="150"/>
        <v>21646.171898333007</v>
      </c>
      <c r="AC195" s="1531">
        <f t="shared" si="151"/>
        <v>64697.937380646879</v>
      </c>
      <c r="AD195" s="1487">
        <f t="shared" si="152"/>
        <v>0</v>
      </c>
      <c r="AE195" s="1454">
        <f t="shared" si="153"/>
        <v>0.44252390818280363</v>
      </c>
      <c r="AF195" s="1504">
        <f t="shared" si="154"/>
        <v>0.16103899595283999</v>
      </c>
      <c r="AG195" s="1504">
        <f t="shared" si="155"/>
        <v>6.1864267506955999E-2</v>
      </c>
      <c r="AH195" s="1504">
        <f t="shared" si="167"/>
        <v>0</v>
      </c>
      <c r="AI195" s="1504">
        <f t="shared" si="156"/>
        <v>0.33457282835740038</v>
      </c>
      <c r="AJ195" s="1541">
        <f t="shared" si="157"/>
        <v>1</v>
      </c>
      <c r="AK195" s="1555">
        <f t="shared" si="158"/>
        <v>18634.821587617589</v>
      </c>
      <c r="AL195" s="1556">
        <f t="shared" si="159"/>
        <v>9469.6315663295645</v>
      </c>
      <c r="AM195" s="1556">
        <f t="shared" si="160"/>
        <v>525.93094710299533</v>
      </c>
      <c r="AN195" s="1498">
        <f t="shared" si="161"/>
        <v>28630.384101050149</v>
      </c>
      <c r="AO195" s="1184">
        <f t="shared" si="162"/>
        <v>0</v>
      </c>
    </row>
    <row r="196" spans="1:41">
      <c r="A196" s="127">
        <f>'Input data'!A136</f>
        <v>2036</v>
      </c>
      <c r="B196" s="1551">
        <f>'Input data'!B136</f>
        <v>72.865243718484663</v>
      </c>
      <c r="C196" s="1550">
        <f>'Input data'!C136</f>
        <v>6119.1299999999983</v>
      </c>
      <c r="D196" s="1509">
        <f>'Input data'!E136</f>
        <v>16814169.506355952</v>
      </c>
      <c r="E196" s="1508">
        <f>'Input data'!J136*C196</f>
        <v>73619.532226401585</v>
      </c>
      <c r="F196" s="1509">
        <f>'Input data'!L136</f>
        <v>90433.70173275753</v>
      </c>
      <c r="G196" s="1509">
        <f t="shared" si="171"/>
        <v>27627.206795850379</v>
      </c>
      <c r="H196" s="1509">
        <f t="shared" si="135"/>
        <v>30395.500344432668</v>
      </c>
      <c r="I196" s="1511">
        <f t="shared" si="138"/>
        <v>16814.169506355953</v>
      </c>
      <c r="J196" s="1504">
        <f t="shared" si="170"/>
        <v>0.2</v>
      </c>
      <c r="K196" s="1512">
        <f t="shared" si="164"/>
        <v>2327.9597917991805</v>
      </c>
      <c r="L196" s="1512">
        <f t="shared" si="140"/>
        <v>0</v>
      </c>
      <c r="M196" s="1511">
        <f t="shared" si="165"/>
        <v>2327.9597917991805</v>
      </c>
      <c r="N196" s="1454">
        <f t="shared" si="169"/>
        <v>0.5</v>
      </c>
      <c r="O196" s="530">
        <f t="shared" si="141"/>
        <v>751.91700000000026</v>
      </c>
      <c r="P196" s="1481">
        <f t="shared" si="168"/>
        <v>3079.8767917991809</v>
      </c>
      <c r="Q196" s="1364">
        <f t="shared" si="142"/>
        <v>54942.830348483869</v>
      </c>
      <c r="R196" s="1364">
        <f t="shared" si="166"/>
        <v>27315.623552633489</v>
      </c>
      <c r="S196" s="576">
        <f t="shared" si="143"/>
        <v>0.65834272111826342</v>
      </c>
      <c r="T196" s="135" t="str">
        <f t="shared" si="144"/>
        <v>Yes</v>
      </c>
      <c r="U196" s="1091">
        <f t="shared" si="145"/>
        <v>0.65834272111826342</v>
      </c>
      <c r="V196" s="1494">
        <f t="shared" si="136"/>
        <v>63118.078180124059</v>
      </c>
      <c r="W196" s="1491">
        <f t="shared" si="137"/>
        <v>0.3020513705538056</v>
      </c>
      <c r="X196" s="527">
        <f t="shared" si="146"/>
        <v>27627.206795850376</v>
      </c>
      <c r="Y196" s="1509">
        <f t="shared" si="147"/>
        <v>9258.1491984247805</v>
      </c>
      <c r="Z196" s="1531">
        <f t="shared" si="148"/>
        <v>4078.7466272155002</v>
      </c>
      <c r="AA196" s="1531">
        <f t="shared" si="149"/>
        <v>0</v>
      </c>
      <c r="AB196" s="1531">
        <f t="shared" si="150"/>
        <v>22153.975558633399</v>
      </c>
      <c r="AC196" s="1531">
        <f t="shared" si="151"/>
        <v>63118.078180124059</v>
      </c>
      <c r="AD196" s="1487">
        <f t="shared" si="152"/>
        <v>0</v>
      </c>
      <c r="AE196" s="1454">
        <f t="shared" si="153"/>
        <v>0.43770671719453919</v>
      </c>
      <c r="AF196" s="1504">
        <f t="shared" si="154"/>
        <v>0.14667983350196775</v>
      </c>
      <c r="AG196" s="1504">
        <f t="shared" si="155"/>
        <v>6.46208938043982E-2</v>
      </c>
      <c r="AH196" s="1504">
        <f t="shared" si="167"/>
        <v>0</v>
      </c>
      <c r="AI196" s="1504">
        <f t="shared" si="156"/>
        <v>0.3509925554990948</v>
      </c>
      <c r="AJ196" s="1541">
        <f t="shared" si="157"/>
        <v>0.99999999999999989</v>
      </c>
      <c r="AK196" s="1555">
        <f t="shared" si="158"/>
        <v>13451.335605084761</v>
      </c>
      <c r="AL196" s="1556">
        <f t="shared" si="159"/>
        <v>13424.277729268972</v>
      </c>
      <c r="AM196" s="1556">
        <f t="shared" si="160"/>
        <v>751.59346149663963</v>
      </c>
      <c r="AN196" s="1498">
        <f t="shared" si="161"/>
        <v>27627.206795850372</v>
      </c>
      <c r="AO196" s="1184">
        <f t="shared" si="162"/>
        <v>0</v>
      </c>
    </row>
    <row r="197" spans="1:41">
      <c r="A197" s="127">
        <f>'Input data'!A137</f>
        <v>2037</v>
      </c>
      <c r="B197" s="1551">
        <f>'Input data'!B137</f>
        <v>73.539326072165721</v>
      </c>
      <c r="C197" s="1550">
        <f>'Input data'!C137</f>
        <v>6283.2400000000007</v>
      </c>
      <c r="D197" s="1509">
        <f>'Input data'!E137</f>
        <v>17542322.49040458</v>
      </c>
      <c r="E197" s="1508">
        <f>'Input data'!J137*C197</f>
        <v>75593.947124217928</v>
      </c>
      <c r="F197" s="1509">
        <f>'Input data'!L137</f>
        <v>93136.269614622506</v>
      </c>
      <c r="G197" s="1509">
        <f t="shared" si="171"/>
        <v>26659.179724825448</v>
      </c>
      <c r="H197" s="1509">
        <f t="shared" si="135"/>
        <v>33179.797555673416</v>
      </c>
      <c r="I197" s="1511">
        <f t="shared" si="138"/>
        <v>17542.322490404578</v>
      </c>
      <c r="J197" s="1504">
        <f t="shared" si="170"/>
        <v>0.2</v>
      </c>
      <c r="K197" s="1512">
        <f t="shared" si="164"/>
        <v>2428.7742190893905</v>
      </c>
      <c r="L197" s="1512">
        <f t="shared" si="140"/>
        <v>0</v>
      </c>
      <c r="M197" s="1511">
        <f t="shared" si="165"/>
        <v>2428.7742190893905</v>
      </c>
      <c r="N197" s="1454">
        <f t="shared" si="169"/>
        <v>0.5</v>
      </c>
      <c r="O197" s="530">
        <f t="shared" si="141"/>
        <v>751.91700000000026</v>
      </c>
      <c r="P197" s="1481">
        <f t="shared" si="168"/>
        <v>3180.6912190893909</v>
      </c>
      <c r="Q197" s="1364">
        <f t="shared" si="142"/>
        <v>56658.286061409475</v>
      </c>
      <c r="R197" s="1364">
        <f t="shared" si="166"/>
        <v>29999.106336584027</v>
      </c>
      <c r="S197" s="576">
        <f t="shared" si="143"/>
        <v>0.70380079441679255</v>
      </c>
      <c r="T197" s="135" t="str">
        <f t="shared" si="144"/>
        <v>Yes</v>
      </c>
      <c r="U197" s="1091">
        <f t="shared" si="145"/>
        <v>0.70380079441679255</v>
      </c>
      <c r="V197" s="1494">
        <f t="shared" si="136"/>
        <v>63137.16327803849</v>
      </c>
      <c r="W197" s="1491">
        <f t="shared" si="137"/>
        <v>0.32209907548062378</v>
      </c>
      <c r="X197" s="527">
        <f t="shared" si="146"/>
        <v>26659.179724825452</v>
      </c>
      <c r="Y197" s="1509">
        <f t="shared" si="147"/>
        <v>9561.8872702212921</v>
      </c>
      <c r="Z197" s="1531">
        <f t="shared" si="148"/>
        <v>4167.9694432240412</v>
      </c>
      <c r="AA197" s="1531">
        <f t="shared" si="149"/>
        <v>0</v>
      </c>
      <c r="AB197" s="1531">
        <f t="shared" si="150"/>
        <v>22748.126839767705</v>
      </c>
      <c r="AC197" s="1531">
        <f t="shared" si="151"/>
        <v>63137.16327803849</v>
      </c>
      <c r="AD197" s="1487">
        <f t="shared" si="152"/>
        <v>0</v>
      </c>
      <c r="AE197" s="1454">
        <f t="shared" si="153"/>
        <v>0.42224227920132945</v>
      </c>
      <c r="AF197" s="1504">
        <f t="shared" si="154"/>
        <v>0.15144626039205156</v>
      </c>
      <c r="AG197" s="1504">
        <f t="shared" si="155"/>
        <v>6.6014518657885601E-2</v>
      </c>
      <c r="AH197" s="1504">
        <f t="shared" si="167"/>
        <v>0</v>
      </c>
      <c r="AI197" s="1504">
        <f t="shared" si="156"/>
        <v>0.36029694174873345</v>
      </c>
      <c r="AJ197" s="1541">
        <f t="shared" si="157"/>
        <v>1</v>
      </c>
      <c r="AK197" s="1555">
        <f t="shared" si="158"/>
        <v>14033.857992323661</v>
      </c>
      <c r="AL197" s="1556">
        <f t="shared" si="159"/>
        <v>11950.280772249424</v>
      </c>
      <c r="AM197" s="1556">
        <f t="shared" si="160"/>
        <v>675.04096025236208</v>
      </c>
      <c r="AN197" s="1498">
        <f t="shared" si="161"/>
        <v>26659.179724825448</v>
      </c>
      <c r="AO197" s="1184">
        <f t="shared" si="162"/>
        <v>0</v>
      </c>
    </row>
    <row r="198" spans="1:41">
      <c r="A198" s="127">
        <f>'Input data'!A138</f>
        <v>2038</v>
      </c>
      <c r="B198" s="1551">
        <f>'Input data'!B138</f>
        <v>74.200346452615136</v>
      </c>
      <c r="C198" s="1550">
        <f>'Input data'!C138</f>
        <v>6443.4999999999982</v>
      </c>
      <c r="D198" s="1509">
        <f>'Input data'!E138</f>
        <v>14615640.739395874</v>
      </c>
      <c r="E198" s="1508">
        <f>'Input data'!J138*C198</f>
        <v>77522.042496370981</v>
      </c>
      <c r="F198" s="1509">
        <f>'Input data'!L138</f>
        <v>92137.683235766861</v>
      </c>
      <c r="G198" s="1509">
        <f t="shared" si="171"/>
        <v>25725.071262263602</v>
      </c>
      <c r="H198" s="1509">
        <f t="shared" si="135"/>
        <v>32473.709762667047</v>
      </c>
      <c r="I198" s="1511">
        <f t="shared" si="138"/>
        <v>14615.640739395874</v>
      </c>
      <c r="J198" s="1504">
        <f t="shared" si="170"/>
        <v>0.2</v>
      </c>
      <c r="K198" s="1512">
        <f t="shared" si="164"/>
        <v>2023.5685122499772</v>
      </c>
      <c r="L198" s="1512">
        <f t="shared" si="140"/>
        <v>0</v>
      </c>
      <c r="M198" s="1511">
        <f t="shared" si="165"/>
        <v>2023.5685122499772</v>
      </c>
      <c r="N198" s="1454">
        <f t="shared" si="169"/>
        <v>0.5</v>
      </c>
      <c r="O198" s="530">
        <f t="shared" si="141"/>
        <v>751.91700000000026</v>
      </c>
      <c r="P198" s="1481">
        <f t="shared" si="168"/>
        <v>2775.4855122499775</v>
      </c>
      <c r="Q198" s="1364">
        <f t="shared" si="142"/>
        <v>55423.29551268067</v>
      </c>
      <c r="R198" s="1364">
        <f t="shared" si="166"/>
        <v>29698.224250417068</v>
      </c>
      <c r="S198" s="576">
        <f t="shared" si="143"/>
        <v>0.67911485380803238</v>
      </c>
      <c r="T198" s="135" t="str">
        <f t="shared" si="144"/>
        <v>Yes</v>
      </c>
      <c r="U198" s="1091">
        <f t="shared" si="145"/>
        <v>0.67911485380803238</v>
      </c>
      <c r="V198" s="1494">
        <f t="shared" si="136"/>
        <v>62439.458985349796</v>
      </c>
      <c r="W198" s="1491">
        <f t="shared" si="137"/>
        <v>0.32232440850963928</v>
      </c>
      <c r="X198" s="527">
        <f t="shared" si="146"/>
        <v>25725.071262263602</v>
      </c>
      <c r="Y198" s="1509">
        <f t="shared" si="147"/>
        <v>9130.9492134896718</v>
      </c>
      <c r="Z198" s="1531">
        <f t="shared" si="148"/>
        <v>4255.0991031687627</v>
      </c>
      <c r="AA198" s="1531">
        <f t="shared" si="149"/>
        <v>0</v>
      </c>
      <c r="AB198" s="1531">
        <f t="shared" si="150"/>
        <v>23328.33940642776</v>
      </c>
      <c r="AC198" s="1531">
        <f t="shared" si="151"/>
        <v>62439.458985349796</v>
      </c>
      <c r="AD198" s="1487">
        <f t="shared" si="152"/>
        <v>0</v>
      </c>
      <c r="AE198" s="1454">
        <f t="shared" si="153"/>
        <v>0.41200022678446796</v>
      </c>
      <c r="AF198" s="1504">
        <f t="shared" si="154"/>
        <v>0.14623684064322323</v>
      </c>
      <c r="AG198" s="1504">
        <f t="shared" si="155"/>
        <v>6.8147597245631783E-2</v>
      </c>
      <c r="AH198" s="1504">
        <f t="shared" si="167"/>
        <v>0</v>
      </c>
      <c r="AI198" s="1504">
        <f t="shared" si="156"/>
        <v>0.37361533532667701</v>
      </c>
      <c r="AJ198" s="1541">
        <f t="shared" si="157"/>
        <v>1</v>
      </c>
      <c r="AK198" s="1555">
        <f t="shared" si="158"/>
        <v>11692.512591516697</v>
      </c>
      <c r="AL198" s="1556">
        <f t="shared" si="159"/>
        <v>13276.451641923461</v>
      </c>
      <c r="AM198" s="1556">
        <f t="shared" si="160"/>
        <v>756.10702882344106</v>
      </c>
      <c r="AN198" s="1498">
        <f t="shared" si="161"/>
        <v>25725.071262263598</v>
      </c>
      <c r="AO198" s="1184">
        <f t="shared" si="162"/>
        <v>0</v>
      </c>
    </row>
    <row r="199" spans="1:41">
      <c r="A199" s="127">
        <f>'Input data'!A139</f>
        <v>2039</v>
      </c>
      <c r="B199" s="1551">
        <f>'Input data'!B139</f>
        <v>74.847837096563296</v>
      </c>
      <c r="C199" s="1550">
        <f>'Input data'!C139</f>
        <v>6615.260000000002</v>
      </c>
      <c r="D199" s="1509">
        <f>'Input data'!E139</f>
        <v>11688958.988387169</v>
      </c>
      <c r="E199" s="1508">
        <f>'Input data'!J139*C199</f>
        <v>79588.494893232477</v>
      </c>
      <c r="F199" s="1509">
        <f>'Input data'!L139</f>
        <v>91277.453881619644</v>
      </c>
      <c r="G199" s="1509">
        <f t="shared" si="171"/>
        <v>24823.692937269236</v>
      </c>
      <c r="H199" s="1509">
        <f t="shared" si="135"/>
        <v>31814.282077936867</v>
      </c>
      <c r="I199" s="1511">
        <f t="shared" si="138"/>
        <v>11688.958988387169</v>
      </c>
      <c r="J199" s="1504">
        <f t="shared" si="170"/>
        <v>0.2</v>
      </c>
      <c r="K199" s="1512">
        <f t="shared" si="164"/>
        <v>1618.3628054105625</v>
      </c>
      <c r="L199" s="1512">
        <f t="shared" si="140"/>
        <v>0</v>
      </c>
      <c r="M199" s="1511">
        <f t="shared" si="165"/>
        <v>1618.3628054105625</v>
      </c>
      <c r="N199" s="1454">
        <f t="shared" si="169"/>
        <v>0.5</v>
      </c>
      <c r="O199" s="530">
        <f t="shared" si="141"/>
        <v>751.91700000000026</v>
      </c>
      <c r="P199" s="1481">
        <f t="shared" si="168"/>
        <v>2370.2798054105629</v>
      </c>
      <c r="Q199" s="1364">
        <f t="shared" si="142"/>
        <v>54267.695209795536</v>
      </c>
      <c r="R199" s="1364">
        <f t="shared" si="166"/>
        <v>29444.002272526301</v>
      </c>
      <c r="S199" s="576">
        <f t="shared" si="143"/>
        <v>0.65552712044027617</v>
      </c>
      <c r="T199" s="135" t="str">
        <f t="shared" si="144"/>
        <v>Yes</v>
      </c>
      <c r="U199" s="1091">
        <f t="shared" si="145"/>
        <v>0.65552712044027617</v>
      </c>
      <c r="V199" s="1494">
        <f t="shared" si="136"/>
        <v>61833.451609093347</v>
      </c>
      <c r="W199" s="1491">
        <f t="shared" si="137"/>
        <v>0.32257694556985639</v>
      </c>
      <c r="X199" s="527">
        <f t="shared" si="146"/>
        <v>24823.692937269239</v>
      </c>
      <c r="Y199" s="1509">
        <f t="shared" si="147"/>
        <v>8711.0905301195107</v>
      </c>
      <c r="Z199" s="1531">
        <f t="shared" si="148"/>
        <v>4348.4810474599535</v>
      </c>
      <c r="AA199" s="1531">
        <f t="shared" si="149"/>
        <v>0</v>
      </c>
      <c r="AB199" s="1531">
        <f t="shared" si="150"/>
        <v>23950.187094244651</v>
      </c>
      <c r="AC199" s="1531">
        <f t="shared" si="151"/>
        <v>61833.451609093347</v>
      </c>
      <c r="AD199" s="1487">
        <f t="shared" si="152"/>
        <v>0</v>
      </c>
      <c r="AE199" s="1454">
        <f t="shared" si="153"/>
        <v>0.40146057338352786</v>
      </c>
      <c r="AF199" s="1504">
        <f t="shared" si="154"/>
        <v>0.14087990082116716</v>
      </c>
      <c r="AG199" s="1504">
        <f t="shared" si="155"/>
        <v>7.0325704522379559E-2</v>
      </c>
      <c r="AH199" s="1504">
        <f t="shared" si="167"/>
        <v>0</v>
      </c>
      <c r="AI199" s="1504">
        <f t="shared" si="156"/>
        <v>0.38733382127292554</v>
      </c>
      <c r="AJ199" s="1541">
        <f t="shared" si="157"/>
        <v>1</v>
      </c>
      <c r="AK199" s="1555">
        <f t="shared" si="158"/>
        <v>9351.1671907097352</v>
      </c>
      <c r="AL199" s="1556">
        <f t="shared" si="159"/>
        <v>14632.297566519759</v>
      </c>
      <c r="AM199" s="1556">
        <f t="shared" si="160"/>
        <v>840.2281800397443</v>
      </c>
      <c r="AN199" s="1498">
        <f t="shared" si="161"/>
        <v>24823.692937269236</v>
      </c>
      <c r="AO199" s="1184">
        <f t="shared" si="162"/>
        <v>0</v>
      </c>
    </row>
    <row r="200" spans="1:41">
      <c r="A200" s="127">
        <f>'Input data'!A140</f>
        <v>2040</v>
      </c>
      <c r="B200" s="1551">
        <f>'Input data'!B140</f>
        <v>75.481336564720067</v>
      </c>
      <c r="C200" s="1550">
        <f>'Input data'!C140</f>
        <v>6787.6000000000013</v>
      </c>
      <c r="D200" s="1509">
        <f>'Input data'!E140</f>
        <v>8762277.2373784631</v>
      </c>
      <c r="E200" s="1508">
        <f>'Input data'!J140*C200</f>
        <v>81661.925296557456</v>
      </c>
      <c r="F200" s="1509">
        <f>'Input data'!L140</f>
        <v>90424.202533935924</v>
      </c>
      <c r="G200" s="1509">
        <f>G177*(1-$C$5)</f>
        <v>23953.89792166539</v>
      </c>
      <c r="H200" s="1509">
        <f t="shared" si="135"/>
        <v>31127.275113606505</v>
      </c>
      <c r="I200" s="1511">
        <f t="shared" si="138"/>
        <v>8762.2772373784628</v>
      </c>
      <c r="J200" s="1504">
        <f t="shared" si="170"/>
        <v>0.2</v>
      </c>
      <c r="K200" s="1512">
        <f t="shared" si="164"/>
        <v>1213.1570985711483</v>
      </c>
      <c r="L200" s="1512">
        <f t="shared" si="140"/>
        <v>0</v>
      </c>
      <c r="M200" s="1511">
        <f t="shared" si="165"/>
        <v>1213.1570985711483</v>
      </c>
      <c r="N200" s="1454">
        <f t="shared" si="169"/>
        <v>0.5</v>
      </c>
      <c r="O200" s="530">
        <f t="shared" si="141"/>
        <v>751.91700000000026</v>
      </c>
      <c r="P200" s="1481">
        <f t="shared" si="168"/>
        <v>1965.0740985711486</v>
      </c>
      <c r="Q200" s="1364">
        <f t="shared" si="142"/>
        <v>53116.09893670075</v>
      </c>
      <c r="R200" s="1364">
        <f t="shared" si="166"/>
        <v>29162.20101503536</v>
      </c>
      <c r="S200" s="576">
        <f t="shared" si="143"/>
        <v>0.63249958182886246</v>
      </c>
      <c r="T200" s="135" t="str">
        <f t="shared" si="144"/>
        <v>Yes</v>
      </c>
      <c r="U200" s="1091">
        <f t="shared" si="145"/>
        <v>0.63249958182886246</v>
      </c>
      <c r="V200" s="1494">
        <f t="shared" si="136"/>
        <v>61262.001518900579</v>
      </c>
      <c r="W200" s="1491">
        <f t="shared" si="137"/>
        <v>0.32250437601692827</v>
      </c>
      <c r="X200" s="527">
        <f t="shared" si="146"/>
        <v>23953.89792166539</v>
      </c>
      <c r="Y200" s="1509">
        <f t="shared" si="147"/>
        <v>8291.7906325362692</v>
      </c>
      <c r="Z200" s="1531">
        <f t="shared" si="148"/>
        <v>4442.1783243529617</v>
      </c>
      <c r="AA200" s="1531">
        <f t="shared" si="149"/>
        <v>0</v>
      </c>
      <c r="AB200" s="1531">
        <f t="shared" si="150"/>
        <v>24574.134640345954</v>
      </c>
      <c r="AC200" s="1531">
        <f t="shared" si="151"/>
        <v>61262.001518900579</v>
      </c>
      <c r="AD200" s="1487">
        <f t="shared" si="152"/>
        <v>0</v>
      </c>
      <c r="AE200" s="1454">
        <f t="shared" si="153"/>
        <v>0.39100743246652042</v>
      </c>
      <c r="AF200" s="1504">
        <f t="shared" si="154"/>
        <v>0.13534965275298885</v>
      </c>
      <c r="AG200" s="1504">
        <f t="shared" si="155"/>
        <v>7.2511152332860998E-2</v>
      </c>
      <c r="AH200" s="1504">
        <f t="shared" si="167"/>
        <v>0</v>
      </c>
      <c r="AI200" s="1504">
        <f t="shared" si="156"/>
        <v>0.40113176244762966</v>
      </c>
      <c r="AJ200" s="1541">
        <f t="shared" si="157"/>
        <v>1</v>
      </c>
      <c r="AK200" s="1555">
        <f t="shared" si="158"/>
        <v>7009.8217899027713</v>
      </c>
      <c r="AL200" s="1556">
        <f t="shared" si="159"/>
        <v>16017.128126014048</v>
      </c>
      <c r="AM200" s="1556">
        <f t="shared" si="160"/>
        <v>926.94800574856799</v>
      </c>
      <c r="AN200" s="1498">
        <f t="shared" si="161"/>
        <v>23953.897921665386</v>
      </c>
      <c r="AO200" s="1184">
        <f t="shared" si="162"/>
        <v>0</v>
      </c>
    </row>
    <row r="201" spans="1:41">
      <c r="A201" s="127">
        <f>'Input data'!A141</f>
        <v>2041</v>
      </c>
      <c r="B201" s="1551">
        <f>'Input data'!B141</f>
        <v>76.101885632753024</v>
      </c>
      <c r="C201" s="1550">
        <f>'Input data'!C141</f>
        <v>6981.3799999999992</v>
      </c>
      <c r="D201" s="1509">
        <f>'Input data'!E141</f>
        <v>7249397.5356904445</v>
      </c>
      <c r="E201" s="1508">
        <f>'Input data'!J141*C201</f>
        <v>83993.301318121303</v>
      </c>
      <c r="F201" s="1509">
        <f>'Input data'!L141</f>
        <v>91242.698853811744</v>
      </c>
      <c r="G201" s="1509">
        <f>$G$160*(1+((($G$170/$G$160)^(1/($A$170-$A$160)))-1))^(A201-$A$160)</f>
        <v>22650.218174049241</v>
      </c>
      <c r="H201" s="1509">
        <f t="shared" si="135"/>
        <v>32348.949643903299</v>
      </c>
      <c r="I201" s="1511">
        <f t="shared" si="138"/>
        <v>7249.3975356904448</v>
      </c>
      <c r="J201" s="1504">
        <f t="shared" si="170"/>
        <v>0.2</v>
      </c>
      <c r="K201" s="1512">
        <f t="shared" si="164"/>
        <v>1003.695482638972</v>
      </c>
      <c r="L201" s="1512">
        <f t="shared" si="140"/>
        <v>0</v>
      </c>
      <c r="M201" s="1511">
        <f t="shared" si="165"/>
        <v>1003.695482638972</v>
      </c>
      <c r="N201" s="1454">
        <f t="shared" si="169"/>
        <v>0.5</v>
      </c>
      <c r="O201" s="530">
        <f t="shared" si="141"/>
        <v>751.91700000000026</v>
      </c>
      <c r="P201" s="1481">
        <f t="shared" si="168"/>
        <v>1755.6124826389723</v>
      </c>
      <c r="Q201" s="1364">
        <f t="shared" si="142"/>
        <v>53243.555335313569</v>
      </c>
      <c r="R201" s="1364">
        <f t="shared" si="166"/>
        <v>30593.337161264328</v>
      </c>
      <c r="S201" s="576">
        <f t="shared" si="143"/>
        <v>0.64482997017002386</v>
      </c>
      <c r="T201" s="135" t="str">
        <f t="shared" si="144"/>
        <v>Yes</v>
      </c>
      <c r="U201" s="1091">
        <f t="shared" si="145"/>
        <v>0.64482997017002386</v>
      </c>
      <c r="V201" s="1494">
        <f t="shared" si="136"/>
        <v>60649.361692547434</v>
      </c>
      <c r="W201" s="1491">
        <f t="shared" si="137"/>
        <v>0.3352962762563686</v>
      </c>
      <c r="X201" s="527">
        <f t="shared" si="146"/>
        <v>22650.218174049238</v>
      </c>
      <c r="Y201" s="1509">
        <f t="shared" si="147"/>
        <v>8175.9069504579966</v>
      </c>
      <c r="Z201" s="1531">
        <f t="shared" si="148"/>
        <v>4547.532033975378</v>
      </c>
      <c r="AA201" s="1531">
        <f t="shared" si="149"/>
        <v>0</v>
      </c>
      <c r="AB201" s="1531">
        <f t="shared" si="150"/>
        <v>25275.704534064822</v>
      </c>
      <c r="AC201" s="1531">
        <f t="shared" si="151"/>
        <v>60649.361692547434</v>
      </c>
      <c r="AD201" s="1487">
        <f t="shared" si="152"/>
        <v>0</v>
      </c>
      <c r="AE201" s="1454">
        <f t="shared" si="153"/>
        <v>0.37346177341273629</v>
      </c>
      <c r="AF201" s="1504">
        <f t="shared" si="154"/>
        <v>0.1348061500120066</v>
      </c>
      <c r="AG201" s="1504">
        <f t="shared" si="155"/>
        <v>7.4980707250117296E-2</v>
      </c>
      <c r="AH201" s="1504">
        <f t="shared" si="167"/>
        <v>0</v>
      </c>
      <c r="AI201" s="1504">
        <f t="shared" si="156"/>
        <v>0.41675136932513979</v>
      </c>
      <c r="AJ201" s="1541">
        <f t="shared" si="157"/>
        <v>1</v>
      </c>
      <c r="AK201" s="1555">
        <f t="shared" si="158"/>
        <v>5799.5180285523556</v>
      </c>
      <c r="AL201" s="1556">
        <f t="shared" si="159"/>
        <v>15921.653210890099</v>
      </c>
      <c r="AM201" s="1556">
        <f t="shared" si="160"/>
        <v>929.0469346067764</v>
      </c>
      <c r="AN201" s="1498">
        <f t="shared" si="161"/>
        <v>22650.218174049231</v>
      </c>
      <c r="AO201" s="1184">
        <f t="shared" si="162"/>
        <v>0</v>
      </c>
    </row>
    <row r="202" spans="1:41">
      <c r="A202" s="127">
        <f>'Input data'!A142</f>
        <v>2042</v>
      </c>
      <c r="B202" s="1551">
        <f>'Input data'!B142</f>
        <v>76.709073592680113</v>
      </c>
      <c r="C202" s="1550">
        <f>'Input data'!C142</f>
        <v>7178.2100000000019</v>
      </c>
      <c r="D202" s="1509">
        <f>'Input data'!E142</f>
        <v>5736517.8340024278</v>
      </c>
      <c r="E202" s="1508">
        <f>'Input data'!J142*C202</f>
        <v>86361.372028846978</v>
      </c>
      <c r="F202" s="1509">
        <f>'Input data'!L142</f>
        <v>92097.889862849406</v>
      </c>
      <c r="G202" s="1509">
        <f t="shared" ref="G202:G209" si="172">$G$160*(1+((($G$170/$G$160)^(1/($A$170-$A$160)))-1))^(A202-$A$160)</f>
        <v>21417.490590039302</v>
      </c>
      <c r="H202" s="1509">
        <f t="shared" si="135"/>
        <v>33520.727684491561</v>
      </c>
      <c r="I202" s="1511">
        <f t="shared" si="138"/>
        <v>5736.5178340024277</v>
      </c>
      <c r="J202" s="1504">
        <f t="shared" si="170"/>
        <v>0.2</v>
      </c>
      <c r="K202" s="1512">
        <f t="shared" si="164"/>
        <v>794.23386670679554</v>
      </c>
      <c r="L202" s="1512">
        <f t="shared" si="140"/>
        <v>0</v>
      </c>
      <c r="M202" s="530">
        <f t="shared" si="165"/>
        <v>794.23386670679554</v>
      </c>
      <c r="N202" s="649">
        <f t="shared" si="169"/>
        <v>0.5</v>
      </c>
      <c r="O202" s="530">
        <f t="shared" si="141"/>
        <v>751.91700000000026</v>
      </c>
      <c r="P202" s="1481">
        <f t="shared" si="168"/>
        <v>1546.1508667067958</v>
      </c>
      <c r="Q202" s="1364">
        <f t="shared" si="142"/>
        <v>53392.067407824063</v>
      </c>
      <c r="R202" s="1364">
        <f t="shared" si="166"/>
        <v>31974.57681778476</v>
      </c>
      <c r="S202" s="576">
        <f t="shared" si="143"/>
        <v>0.65517843240951879</v>
      </c>
      <c r="T202" s="135" t="str">
        <f t="shared" si="144"/>
        <v>Yes</v>
      </c>
      <c r="U202" s="1091">
        <f t="shared" si="145"/>
        <v>0.65517843240951879</v>
      </c>
      <c r="V202" s="1494">
        <f t="shared" si="136"/>
        <v>60123.313045064649</v>
      </c>
      <c r="W202" s="1491">
        <f t="shared" si="137"/>
        <v>0.34718034110662843</v>
      </c>
      <c r="X202" s="527">
        <f t="shared" si="146"/>
        <v>21417.490590039302</v>
      </c>
      <c r="Y202" s="1509">
        <f t="shared" si="147"/>
        <v>8062.9617108799384</v>
      </c>
      <c r="Z202" s="1531">
        <f t="shared" si="148"/>
        <v>4654.5439581418577</v>
      </c>
      <c r="AA202" s="1531">
        <f t="shared" si="149"/>
        <v>0</v>
      </c>
      <c r="AB202" s="1531">
        <f t="shared" si="150"/>
        <v>25988.316786003554</v>
      </c>
      <c r="AC202" s="1531">
        <f t="shared" si="151"/>
        <v>60123.313045064649</v>
      </c>
      <c r="AD202" s="1487">
        <f t="shared" si="152"/>
        <v>0</v>
      </c>
      <c r="AE202" s="1454">
        <f t="shared" si="153"/>
        <v>0.35622605450877431</v>
      </c>
      <c r="AF202" s="1504">
        <f t="shared" si="154"/>
        <v>0.13410707598292945</v>
      </c>
      <c r="AG202" s="1504">
        <f t="shared" si="155"/>
        <v>7.7416624640313889E-2</v>
      </c>
      <c r="AH202" s="1504">
        <f t="shared" si="167"/>
        <v>0</v>
      </c>
      <c r="AI202" s="1504">
        <f t="shared" si="156"/>
        <v>0.43225024486798236</v>
      </c>
      <c r="AJ202" s="1541">
        <f t="shared" si="157"/>
        <v>1</v>
      </c>
      <c r="AK202" s="1555">
        <f t="shared" si="158"/>
        <v>4589.2142672019427</v>
      </c>
      <c r="AL202" s="1556">
        <f t="shared" si="159"/>
        <v>15893.558781861308</v>
      </c>
      <c r="AM202" s="1556">
        <f t="shared" si="160"/>
        <v>934.71754097604901</v>
      </c>
      <c r="AN202" s="1498">
        <f t="shared" si="161"/>
        <v>21417.490590039299</v>
      </c>
      <c r="AO202" s="1184">
        <f t="shared" si="162"/>
        <v>0</v>
      </c>
    </row>
    <row r="203" spans="1:41">
      <c r="A203" s="127">
        <f>'Input data'!A143</f>
        <v>2043</v>
      </c>
      <c r="B203" s="1551">
        <f>'Input data'!B143</f>
        <v>77.302495984815266</v>
      </c>
      <c r="C203" s="1550">
        <f>'Input data'!C143</f>
        <v>7380.12</v>
      </c>
      <c r="D203" s="1509">
        <f>'Input data'!E143</f>
        <v>4223638.132314411</v>
      </c>
      <c r="E203" s="1508">
        <f>'Input data'!J143*C203</f>
        <v>88790.560451356811</v>
      </c>
      <c r="F203" s="1509">
        <f>'Input data'!L143</f>
        <v>93014.198583671227</v>
      </c>
      <c r="G203" s="1509">
        <f t="shared" si="172"/>
        <v>20251.853631148377</v>
      </c>
      <c r="H203" s="1509">
        <f t="shared" si="135"/>
        <v>34660.484878124749</v>
      </c>
      <c r="I203" s="1511">
        <f t="shared" si="138"/>
        <v>4223.6381323144105</v>
      </c>
      <c r="J203" s="1504">
        <f t="shared" si="170"/>
        <v>0.2</v>
      </c>
      <c r="K203" s="1512">
        <f t="shared" si="164"/>
        <v>584.77225077461912</v>
      </c>
      <c r="L203" s="1512">
        <f t="shared" si="140"/>
        <v>0</v>
      </c>
      <c r="M203" s="530">
        <f t="shared" si="165"/>
        <v>584.77225077461912</v>
      </c>
      <c r="N203" s="649">
        <f t="shared" si="169"/>
        <v>0.5</v>
      </c>
      <c r="O203" s="530">
        <f t="shared" si="141"/>
        <v>751.91700000000026</v>
      </c>
      <c r="P203" s="1481">
        <f t="shared" si="168"/>
        <v>1336.6892507746193</v>
      </c>
      <c r="Q203" s="1364">
        <f t="shared" si="142"/>
        <v>53575.64925849851</v>
      </c>
      <c r="R203" s="1364">
        <f t="shared" si="166"/>
        <v>33323.795627350133</v>
      </c>
      <c r="S203" s="576">
        <f t="shared" si="143"/>
        <v>0.66386375799349906</v>
      </c>
      <c r="T203" s="135" t="str">
        <f t="shared" si="144"/>
        <v>Yes</v>
      </c>
      <c r="U203" s="1091">
        <f t="shared" si="145"/>
        <v>0.66386375799349906</v>
      </c>
      <c r="V203" s="1494">
        <f t="shared" si="136"/>
        <v>59690.402956321108</v>
      </c>
      <c r="W203" s="1491">
        <f t="shared" si="137"/>
        <v>0.35826568561329475</v>
      </c>
      <c r="X203" s="527">
        <f t="shared" si="146"/>
        <v>20251.853631148377</v>
      </c>
      <c r="Y203" s="1509">
        <f t="shared" si="147"/>
        <v>7954.9106640563259</v>
      </c>
      <c r="Z203" s="1531">
        <f t="shared" si="148"/>
        <v>4764.3177609587738</v>
      </c>
      <c r="AA203" s="1531">
        <f t="shared" si="149"/>
        <v>0</v>
      </c>
      <c r="AB203" s="1531">
        <f t="shared" si="150"/>
        <v>26719.320900157629</v>
      </c>
      <c r="AC203" s="1531">
        <f t="shared" si="151"/>
        <v>59690.402956321108</v>
      </c>
      <c r="AD203" s="1487">
        <f t="shared" si="152"/>
        <v>0</v>
      </c>
      <c r="AE203" s="1454">
        <f t="shared" si="153"/>
        <v>0.33928157003677489</v>
      </c>
      <c r="AF203" s="1504">
        <f t="shared" si="154"/>
        <v>0.13326950849833247</v>
      </c>
      <c r="AG203" s="1504">
        <f t="shared" si="155"/>
        <v>7.9817148569847965E-2</v>
      </c>
      <c r="AH203" s="1504">
        <f t="shared" si="167"/>
        <v>0</v>
      </c>
      <c r="AI203" s="1504">
        <f t="shared" si="156"/>
        <v>0.44763177289504458</v>
      </c>
      <c r="AJ203" s="1541">
        <f t="shared" si="157"/>
        <v>1</v>
      </c>
      <c r="AK203" s="1555">
        <f t="shared" si="158"/>
        <v>3378.9105058515279</v>
      </c>
      <c r="AL203" s="1556">
        <f t="shared" si="159"/>
        <v>15929.030171964629</v>
      </c>
      <c r="AM203" s="1556">
        <f t="shared" si="160"/>
        <v>943.91295333221683</v>
      </c>
      <c r="AN203" s="1498">
        <f t="shared" si="161"/>
        <v>20251.853631148373</v>
      </c>
      <c r="AO203" s="1184">
        <f t="shared" si="162"/>
        <v>0</v>
      </c>
    </row>
    <row r="204" spans="1:41">
      <c r="A204" s="127">
        <f>'Input data'!A144</f>
        <v>2044</v>
      </c>
      <c r="B204" s="1551">
        <f>'Input data'!B144</f>
        <v>77.881755043150378</v>
      </c>
      <c r="C204" s="1550">
        <f>'Input data'!C144</f>
        <v>7589.87</v>
      </c>
      <c r="D204" s="1509">
        <f>'Input data'!E144</f>
        <v>2710758.4306263938</v>
      </c>
      <c r="E204" s="1508">
        <f>'Input data'!J144*C204</f>
        <v>91314.072271580881</v>
      </c>
      <c r="F204" s="1509">
        <f>'Input data'!L144</f>
        <v>94024.830702207269</v>
      </c>
      <c r="G204" s="1509">
        <f t="shared" si="172"/>
        <v>19149.655921324487</v>
      </c>
      <c r="H204" s="1509">
        <f t="shared" si="135"/>
        <v>35790.92625985734</v>
      </c>
      <c r="I204" s="1511">
        <f t="shared" si="138"/>
        <v>2710.7584306263939</v>
      </c>
      <c r="J204" s="1504">
        <f t="shared" si="170"/>
        <v>0.2</v>
      </c>
      <c r="K204" s="1512">
        <f t="shared" si="164"/>
        <v>375.31063484244271</v>
      </c>
      <c r="L204" s="1512">
        <f t="shared" si="140"/>
        <v>0</v>
      </c>
      <c r="M204" s="530">
        <f t="shared" si="165"/>
        <v>375.31063484244271</v>
      </c>
      <c r="N204" s="649">
        <f t="shared" si="169"/>
        <v>0.5</v>
      </c>
      <c r="O204" s="530">
        <f t="shared" si="141"/>
        <v>751.91700000000026</v>
      </c>
      <c r="P204" s="1481">
        <f t="shared" si="168"/>
        <v>1127.227634842443</v>
      </c>
      <c r="Q204" s="1364">
        <f t="shared" si="142"/>
        <v>53813.354546339389</v>
      </c>
      <c r="R204" s="1364">
        <f t="shared" si="166"/>
        <v>34663.698625014906</v>
      </c>
      <c r="S204" s="576">
        <f t="shared" si="143"/>
        <v>0.67119504113022432</v>
      </c>
      <c r="T204" s="135" t="str">
        <f t="shared" si="144"/>
        <v>Yes</v>
      </c>
      <c r="U204" s="1091">
        <f t="shared" si="145"/>
        <v>0.67119504113022432</v>
      </c>
      <c r="V204" s="1494">
        <f t="shared" si="136"/>
        <v>59361.132077192393</v>
      </c>
      <c r="W204" s="1491">
        <f t="shared" si="137"/>
        <v>0.36866536601167343</v>
      </c>
      <c r="X204" s="527">
        <f t="shared" si="146"/>
        <v>19149.655921324487</v>
      </c>
      <c r="Y204" s="1509">
        <f t="shared" si="147"/>
        <v>7854.4128595939146</v>
      </c>
      <c r="Z204" s="1531">
        <f t="shared" si="148"/>
        <v>4878.3539906692804</v>
      </c>
      <c r="AA204" s="1531">
        <f t="shared" si="149"/>
        <v>0</v>
      </c>
      <c r="AB204" s="1531">
        <f t="shared" si="150"/>
        <v>27478.709305604705</v>
      </c>
      <c r="AC204" s="1531">
        <f t="shared" si="151"/>
        <v>59361.132077192393</v>
      </c>
      <c r="AD204" s="1487">
        <f t="shared" si="152"/>
        <v>0</v>
      </c>
      <c r="AE204" s="1454">
        <f t="shared" si="153"/>
        <v>0.32259586788915245</v>
      </c>
      <c r="AF204" s="1504">
        <f t="shared" si="154"/>
        <v>0.13231575249239089</v>
      </c>
      <c r="AG204" s="1504">
        <f t="shared" si="155"/>
        <v>8.2180946015745396E-2</v>
      </c>
      <c r="AH204" s="1504">
        <f t="shared" si="167"/>
        <v>0</v>
      </c>
      <c r="AI204" s="1504">
        <f t="shared" si="156"/>
        <v>0.46290743360271114</v>
      </c>
      <c r="AJ204" s="1541">
        <f t="shared" si="157"/>
        <v>0.99999999999999989</v>
      </c>
      <c r="AK204" s="1555">
        <f t="shared" si="158"/>
        <v>2168.6067445011149</v>
      </c>
      <c r="AL204" s="1556">
        <f t="shared" si="159"/>
        <v>16024.454972171889</v>
      </c>
      <c r="AM204" s="1556">
        <f t="shared" si="160"/>
        <v>956.59420465147934</v>
      </c>
      <c r="AN204" s="1498">
        <f t="shared" si="161"/>
        <v>19149.655921324484</v>
      </c>
      <c r="AO204" s="1184">
        <f t="shared" si="162"/>
        <v>0</v>
      </c>
    </row>
    <row r="205" spans="1:41">
      <c r="A205" s="127">
        <f>'Input data'!A145</f>
        <v>2045</v>
      </c>
      <c r="B205" s="1551">
        <f>'Input data'!B145</f>
        <v>78.446460136387472</v>
      </c>
      <c r="C205" s="1550">
        <f>'Input data'!C145</f>
        <v>7808.4800000000005</v>
      </c>
      <c r="D205" s="1509">
        <f>'Input data'!E145</f>
        <v>1197878.7289383768</v>
      </c>
      <c r="E205" s="1508">
        <f>'Input data'!J145*C205</f>
        <v>93944.179156058526</v>
      </c>
      <c r="F205" s="1509">
        <f>'Input data'!L145</f>
        <v>95142.057884996902</v>
      </c>
      <c r="G205" s="1509">
        <f t="shared" si="172"/>
        <v>18107.444808958157</v>
      </c>
      <c r="H205" s="1509">
        <f t="shared" si="135"/>
        <v>36922.54605093017</v>
      </c>
      <c r="I205" s="1511">
        <f t="shared" si="138"/>
        <v>1197.8787289383768</v>
      </c>
      <c r="J205" s="1504">
        <f t="shared" si="170"/>
        <v>0.2</v>
      </c>
      <c r="K205" s="1512">
        <f t="shared" si="164"/>
        <v>165.84901891026627</v>
      </c>
      <c r="L205" s="1512">
        <f t="shared" si="140"/>
        <v>0</v>
      </c>
      <c r="M205" s="530">
        <f t="shared" si="165"/>
        <v>165.84901891026627</v>
      </c>
      <c r="N205" s="649">
        <f t="shared" si="169"/>
        <v>0.5</v>
      </c>
      <c r="O205" s="530">
        <f t="shared" si="141"/>
        <v>751.91700000000026</v>
      </c>
      <c r="P205" s="1481">
        <f t="shared" si="168"/>
        <v>917.76601891026655</v>
      </c>
      <c r="Q205" s="1364">
        <f t="shared" si="142"/>
        <v>54112.224840978059</v>
      </c>
      <c r="R205" s="1364">
        <f t="shared" si="166"/>
        <v>36004.780032019902</v>
      </c>
      <c r="S205" s="576">
        <f t="shared" si="143"/>
        <v>0.67736826886119783</v>
      </c>
      <c r="T205" s="135" t="str">
        <f t="shared" si="144"/>
        <v>Yes</v>
      </c>
      <c r="U205" s="1091">
        <f t="shared" si="145"/>
        <v>0.67736826886119783</v>
      </c>
      <c r="V205" s="1494">
        <f t="shared" si="136"/>
        <v>59137.277852977008</v>
      </c>
      <c r="W205" s="1491">
        <f t="shared" si="137"/>
        <v>0.37843179801240712</v>
      </c>
      <c r="X205" s="527">
        <f t="shared" si="146"/>
        <v>18107.444808958157</v>
      </c>
      <c r="Y205" s="1509">
        <f t="shared" si="147"/>
        <v>7762.4509897386752</v>
      </c>
      <c r="Z205" s="1531">
        <f t="shared" si="148"/>
        <v>4997.2071977110627</v>
      </c>
      <c r="AA205" s="1531">
        <f t="shared" si="149"/>
        <v>0</v>
      </c>
      <c r="AB205" s="1531">
        <f t="shared" si="150"/>
        <v>28270.174856569116</v>
      </c>
      <c r="AC205" s="1531">
        <f t="shared" si="151"/>
        <v>59137.277852977008</v>
      </c>
      <c r="AD205" s="1487">
        <f t="shared" si="152"/>
        <v>0</v>
      </c>
      <c r="AE205" s="1454">
        <f t="shared" si="153"/>
        <v>0.30619341076157797</v>
      </c>
      <c r="AF205" s="1504">
        <f t="shared" si="154"/>
        <v>0.13126155399031286</v>
      </c>
      <c r="AG205" s="1504">
        <f t="shared" si="155"/>
        <v>8.4501813054952787E-2</v>
      </c>
      <c r="AH205" s="1504">
        <f t="shared" si="167"/>
        <v>0</v>
      </c>
      <c r="AI205" s="1504">
        <f t="shared" si="156"/>
        <v>0.47804322219315643</v>
      </c>
      <c r="AJ205" s="1541">
        <f t="shared" si="157"/>
        <v>1</v>
      </c>
      <c r="AK205" s="1555">
        <f t="shared" si="158"/>
        <v>958.30298315070127</v>
      </c>
      <c r="AL205" s="1556">
        <f t="shared" si="159"/>
        <v>16176.484716523126</v>
      </c>
      <c r="AM205" s="1556">
        <f t="shared" si="160"/>
        <v>972.65710928432759</v>
      </c>
      <c r="AN205" s="1498">
        <f t="shared" si="161"/>
        <v>18107.444808958153</v>
      </c>
      <c r="AO205" s="1184">
        <f t="shared" si="162"/>
        <v>0</v>
      </c>
    </row>
    <row r="206" spans="1:41">
      <c r="A206" s="127">
        <f>'Input data'!A146</f>
        <v>2046</v>
      </c>
      <c r="B206" s="1551">
        <f>'Input data'!B146</f>
        <v>78.997842335977523</v>
      </c>
      <c r="C206" s="1550">
        <f>'Input data'!C146</f>
        <v>8042.25</v>
      </c>
      <c r="D206" s="1509">
        <f>'Input data'!E146</f>
        <v>1000767.4916723419</v>
      </c>
      <c r="E206" s="1508">
        <f>'Input data'!J146*C206</f>
        <v>96756.67669223866</v>
      </c>
      <c r="F206" s="1509">
        <f>'Input data'!L146</f>
        <v>97757.444183911008</v>
      </c>
      <c r="G206" s="1509">
        <f t="shared" si="172"/>
        <v>17121.955551397077</v>
      </c>
      <c r="H206" s="1509">
        <f t="shared" si="135"/>
        <v>39336.886932640533</v>
      </c>
      <c r="I206" s="1511">
        <f t="shared" si="138"/>
        <v>1000.767491672342</v>
      </c>
      <c r="J206" s="1504">
        <f t="shared" si="170"/>
        <v>0.2</v>
      </c>
      <c r="K206" s="1512">
        <f t="shared" si="164"/>
        <v>138.55852236247898</v>
      </c>
      <c r="L206" s="1512">
        <f t="shared" si="140"/>
        <v>0</v>
      </c>
      <c r="M206" s="530">
        <f t="shared" si="165"/>
        <v>138.55852236247898</v>
      </c>
      <c r="N206" s="649">
        <f t="shared" si="169"/>
        <v>0.5</v>
      </c>
      <c r="O206" s="530">
        <f t="shared" si="141"/>
        <v>751.91700000000026</v>
      </c>
      <c r="P206" s="1481">
        <f t="shared" si="168"/>
        <v>890.4755223624793</v>
      </c>
      <c r="Q206" s="1364">
        <f t="shared" si="142"/>
        <v>55568.366961675129</v>
      </c>
      <c r="R206" s="1364">
        <f t="shared" si="166"/>
        <v>38446.411410278051</v>
      </c>
      <c r="S206" s="576">
        <f t="shared" si="143"/>
        <v>0.70198993616745564</v>
      </c>
      <c r="T206" s="135" t="str">
        <f t="shared" si="144"/>
        <v>Yes</v>
      </c>
      <c r="U206" s="1091">
        <f t="shared" si="145"/>
        <v>0.70198993616745564</v>
      </c>
      <c r="V206" s="1494">
        <f t="shared" si="136"/>
        <v>59311.032773632964</v>
      </c>
      <c r="W206" s="1491">
        <f t="shared" si="137"/>
        <v>0.39328372106321474</v>
      </c>
      <c r="X206" s="527">
        <f t="shared" si="146"/>
        <v>17121.955551397081</v>
      </c>
      <c r="Y206" s="1509">
        <f t="shared" si="147"/>
        <v>7948.2483171295389</v>
      </c>
      <c r="Z206" s="1531">
        <f t="shared" si="148"/>
        <v>5124.3025465521841</v>
      </c>
      <c r="AA206" s="1531">
        <f t="shared" si="149"/>
        <v>0</v>
      </c>
      <c r="AB206" s="1531">
        <f t="shared" si="150"/>
        <v>29116.526358554158</v>
      </c>
      <c r="AC206" s="1531">
        <f t="shared" si="151"/>
        <v>59311.032773632964</v>
      </c>
      <c r="AD206" s="1487">
        <f t="shared" si="152"/>
        <v>0</v>
      </c>
      <c r="AE206" s="649">
        <f t="shared" si="153"/>
        <v>0.28868078586230145</v>
      </c>
      <c r="AF206" s="417">
        <f t="shared" si="154"/>
        <v>0.13400960909692633</v>
      </c>
      <c r="AG206" s="417">
        <f t="shared" si="155"/>
        <v>8.6397122203379001E-2</v>
      </c>
      <c r="AH206" s="417">
        <f t="shared" si="167"/>
        <v>0</v>
      </c>
      <c r="AI206" s="417">
        <f t="shared" si="156"/>
        <v>0.49091248283739319</v>
      </c>
      <c r="AJ206" s="525">
        <f t="shared" si="157"/>
        <v>1</v>
      </c>
      <c r="AK206" s="1497">
        <f t="shared" si="158"/>
        <v>800.61399333787358</v>
      </c>
      <c r="AL206" s="1498">
        <f t="shared" si="159"/>
        <v>15389.307265552496</v>
      </c>
      <c r="AM206" s="1498">
        <f t="shared" si="160"/>
        <v>932.03429250670683</v>
      </c>
      <c r="AN206" s="1498">
        <f t="shared" si="161"/>
        <v>17121.955551397074</v>
      </c>
      <c r="AO206" s="1184">
        <f t="shared" si="162"/>
        <v>0</v>
      </c>
    </row>
    <row r="207" spans="1:41">
      <c r="A207" s="127">
        <f>'Input data'!A147</f>
        <v>2047</v>
      </c>
      <c r="B207" s="1551">
        <f>'Input data'!B147</f>
        <v>79.535560193629763</v>
      </c>
      <c r="C207" s="1550">
        <f>'Input data'!C147</f>
        <v>8187.4100000000008</v>
      </c>
      <c r="D207" s="1509">
        <f>'Input data'!E147</f>
        <v>803656.25440630724</v>
      </c>
      <c r="E207" s="1508">
        <f>'Input data'!J147*C207</f>
        <v>98503.103275426867</v>
      </c>
      <c r="F207" s="1509">
        <f>'Input data'!L147</f>
        <v>99306.759529833173</v>
      </c>
      <c r="G207" s="1509">
        <f t="shared" si="172"/>
        <v>16190.101088088571</v>
      </c>
      <c r="H207" s="1509">
        <f t="shared" si="135"/>
        <v>41085.873917124103</v>
      </c>
      <c r="I207" s="1511">
        <f t="shared" si="138"/>
        <v>803.6562544063072</v>
      </c>
      <c r="J207" s="1504">
        <f t="shared" si="170"/>
        <v>0.2</v>
      </c>
      <c r="K207" s="1512">
        <f t="shared" si="164"/>
        <v>111.2680258146917</v>
      </c>
      <c r="L207" s="1512">
        <f t="shared" si="140"/>
        <v>0</v>
      </c>
      <c r="M207" s="530">
        <f t="shared" si="165"/>
        <v>111.2680258146917</v>
      </c>
      <c r="N207" s="649">
        <f t="shared" si="169"/>
        <v>0.5</v>
      </c>
      <c r="O207" s="530">
        <f t="shared" si="141"/>
        <v>751.91700000000026</v>
      </c>
      <c r="P207" s="1481">
        <f t="shared" si="168"/>
        <v>863.18502581469193</v>
      </c>
      <c r="Q207" s="1364">
        <f t="shared" si="142"/>
        <v>56412.789979397981</v>
      </c>
      <c r="R207" s="1364">
        <f t="shared" si="166"/>
        <v>40222.688891309408</v>
      </c>
      <c r="S207" s="576">
        <f t="shared" si="143"/>
        <v>0.7212262197283511</v>
      </c>
      <c r="T207" s="135" t="str">
        <f t="shared" si="144"/>
        <v>Yes</v>
      </c>
      <c r="U207" s="1091">
        <f t="shared" si="145"/>
        <v>0.7212262197283511</v>
      </c>
      <c r="V207" s="1494">
        <f t="shared" si="136"/>
        <v>59084.070638523772</v>
      </c>
      <c r="W207" s="1491">
        <f t="shared" si="137"/>
        <v>0.40503475374428999</v>
      </c>
      <c r="X207" s="527">
        <f t="shared" si="146"/>
        <v>16190.101088088575</v>
      </c>
      <c r="Y207" s="1509">
        <f t="shared" si="147"/>
        <v>8048.6766642109824</v>
      </c>
      <c r="Z207" s="1531">
        <f t="shared" si="148"/>
        <v>5203.2226853115508</v>
      </c>
      <c r="AA207" s="1531">
        <f t="shared" si="149"/>
        <v>0</v>
      </c>
      <c r="AB207" s="1531">
        <f t="shared" si="150"/>
        <v>29642.070200912669</v>
      </c>
      <c r="AC207" s="1531">
        <f t="shared" si="151"/>
        <v>59084.070638523772</v>
      </c>
      <c r="AD207" s="1487">
        <f t="shared" si="152"/>
        <v>0</v>
      </c>
      <c r="AE207" s="649">
        <f t="shared" si="153"/>
        <v>0.27401803757123611</v>
      </c>
      <c r="AF207" s="417">
        <f t="shared" si="154"/>
        <v>0.13622413921770507</v>
      </c>
      <c r="AG207" s="417">
        <f t="shared" si="155"/>
        <v>8.8064729276099762E-2</v>
      </c>
      <c r="AH207" s="417">
        <f t="shared" si="167"/>
        <v>0</v>
      </c>
      <c r="AI207" s="417">
        <f t="shared" si="156"/>
        <v>0.5016930939349592</v>
      </c>
      <c r="AJ207" s="525">
        <f t="shared" si="157"/>
        <v>1</v>
      </c>
      <c r="AK207" s="1497">
        <f t="shared" si="158"/>
        <v>642.92500352504578</v>
      </c>
      <c r="AL207" s="1498">
        <f t="shared" si="159"/>
        <v>14655.783283494688</v>
      </c>
      <c r="AM207" s="1498">
        <f t="shared" si="160"/>
        <v>891.39280106884041</v>
      </c>
      <c r="AN207" s="1498">
        <f t="shared" si="161"/>
        <v>16190.101088088573</v>
      </c>
      <c r="AO207" s="1184">
        <f t="shared" si="162"/>
        <v>0</v>
      </c>
    </row>
    <row r="208" spans="1:41">
      <c r="A208" s="127">
        <f>'Input data'!A148</f>
        <v>2048</v>
      </c>
      <c r="B208" s="1551">
        <f>'Input data'!B148</f>
        <v>80.059278886956378</v>
      </c>
      <c r="C208" s="1550">
        <f>'Input data'!C148</f>
        <v>8322.6399999999976</v>
      </c>
      <c r="D208" s="1509">
        <f>'Input data'!E148</f>
        <v>606545.01714027242</v>
      </c>
      <c r="E208" s="1508">
        <f>'Input data'!J148*C208</f>
        <v>100130.06157554078</v>
      </c>
      <c r="F208" s="1509">
        <f>'Input data'!L148</f>
        <v>100736.60659268106</v>
      </c>
      <c r="G208" s="1509">
        <f t="shared" si="172"/>
        <v>15308.962370313993</v>
      </c>
      <c r="H208" s="1509">
        <f t="shared" si="135"/>
        <v>42715.593404662664</v>
      </c>
      <c r="I208" s="1511">
        <f t="shared" si="138"/>
        <v>606.54501714027242</v>
      </c>
      <c r="J208" s="1504">
        <f t="shared" si="170"/>
        <v>0.2</v>
      </c>
      <c r="K208" s="1512">
        <f t="shared" si="164"/>
        <v>83.97752926690444</v>
      </c>
      <c r="L208" s="1512">
        <f t="shared" si="140"/>
        <v>0</v>
      </c>
      <c r="M208" s="530">
        <f t="shared" si="165"/>
        <v>83.97752926690444</v>
      </c>
      <c r="N208" s="649">
        <f t="shared" si="169"/>
        <v>0.5</v>
      </c>
      <c r="O208" s="530">
        <f t="shared" si="141"/>
        <v>751.91700000000026</v>
      </c>
      <c r="P208" s="1481">
        <f t="shared" si="168"/>
        <v>835.89452926690467</v>
      </c>
      <c r="Q208" s="1364">
        <f t="shared" si="142"/>
        <v>57188.661245709758</v>
      </c>
      <c r="R208" s="1364">
        <f t="shared" si="166"/>
        <v>41879.698875395763</v>
      </c>
      <c r="S208" s="576">
        <f t="shared" si="143"/>
        <v>0.73857441070002938</v>
      </c>
      <c r="T208" s="135" t="str">
        <f t="shared" si="144"/>
        <v>Yes</v>
      </c>
      <c r="U208" s="1091">
        <f t="shared" si="145"/>
        <v>0.73857441070002938</v>
      </c>
      <c r="V208" s="1494">
        <f t="shared" si="136"/>
        <v>58856.907717285299</v>
      </c>
      <c r="W208" s="1491">
        <f t="shared" si="137"/>
        <v>0.41573465984150493</v>
      </c>
      <c r="X208" s="527">
        <f t="shared" si="146"/>
        <v>15308.962370313997</v>
      </c>
      <c r="Y208" s="1509">
        <f t="shared" si="147"/>
        <v>8139.5382132507511</v>
      </c>
      <c r="Z208" s="1531">
        <f t="shared" si="148"/>
        <v>5276.7441124569687</v>
      </c>
      <c r="AA208" s="1531">
        <f t="shared" si="149"/>
        <v>0</v>
      </c>
      <c r="AB208" s="1531">
        <f t="shared" si="150"/>
        <v>30131.663021263586</v>
      </c>
      <c r="AC208" s="1531">
        <f t="shared" si="151"/>
        <v>58856.907717285299</v>
      </c>
      <c r="AD208" s="1487">
        <f t="shared" si="152"/>
        <v>0</v>
      </c>
      <c r="AE208" s="649">
        <f t="shared" si="153"/>
        <v>0.26010476873588806</v>
      </c>
      <c r="AF208" s="417">
        <f t="shared" si="154"/>
        <v>0.13829367747874907</v>
      </c>
      <c r="AG208" s="417">
        <f t="shared" si="155"/>
        <v>8.9653777561733441E-2</v>
      </c>
      <c r="AH208" s="417">
        <f t="shared" si="167"/>
        <v>0</v>
      </c>
      <c r="AI208" s="417">
        <f t="shared" si="156"/>
        <v>0.51194777622362952</v>
      </c>
      <c r="AJ208" s="525">
        <f t="shared" si="157"/>
        <v>1</v>
      </c>
      <c r="AK208" s="1497">
        <f t="shared" si="158"/>
        <v>485.23601371221798</v>
      </c>
      <c r="AL208" s="1498">
        <f t="shared" si="159"/>
        <v>13970.751766493209</v>
      </c>
      <c r="AM208" s="1498">
        <f t="shared" si="160"/>
        <v>852.9745901085679</v>
      </c>
      <c r="AN208" s="1498">
        <f t="shared" si="161"/>
        <v>15308.962370313995</v>
      </c>
      <c r="AO208" s="1184">
        <f t="shared" si="162"/>
        <v>0</v>
      </c>
    </row>
    <row r="209" spans="1:41">
      <c r="A209" s="127">
        <f>'Input data'!A149</f>
        <v>2049</v>
      </c>
      <c r="B209" s="1551">
        <f>'Input data'!B149</f>
        <v>80.568670564877792</v>
      </c>
      <c r="C209" s="1550">
        <f>'Input data'!C149</f>
        <v>8457.3799999999992</v>
      </c>
      <c r="D209" s="1509">
        <f>'Input data'!E149</f>
        <v>409433.77987423755</v>
      </c>
      <c r="E209" s="1508">
        <f>'Input data'!J149*C209</f>
        <v>101751.12466329761</v>
      </c>
      <c r="F209" s="1509">
        <f>'Input data'!L149</f>
        <v>102160.55844317185</v>
      </c>
      <c r="G209" s="1509">
        <f t="shared" si="172"/>
        <v>14475.779217222871</v>
      </c>
      <c r="H209" s="1509">
        <f t="shared" si="135"/>
        <v>44293.974612694903</v>
      </c>
      <c r="I209" s="1511">
        <f t="shared" si="138"/>
        <v>409.43377987423753</v>
      </c>
      <c r="J209" s="1504">
        <f t="shared" si="170"/>
        <v>0.2</v>
      </c>
      <c r="K209" s="1512">
        <f t="shared" si="164"/>
        <v>56.687032719117141</v>
      </c>
      <c r="L209" s="1512">
        <f t="shared" si="140"/>
        <v>0</v>
      </c>
      <c r="M209" s="530">
        <f t="shared" si="165"/>
        <v>56.687032719117141</v>
      </c>
      <c r="N209" s="649">
        <f t="shared" si="169"/>
        <v>0.5</v>
      </c>
      <c r="O209" s="530">
        <f t="shared" si="141"/>
        <v>751.91700000000026</v>
      </c>
      <c r="P209" s="1481">
        <f t="shared" si="168"/>
        <v>808.60403271911741</v>
      </c>
      <c r="Q209" s="1364">
        <f t="shared" si="142"/>
        <v>57961.149797198661</v>
      </c>
      <c r="R209" s="1364">
        <f t="shared" si="166"/>
        <v>43485.370579975788</v>
      </c>
      <c r="S209" s="576">
        <f t="shared" si="143"/>
        <v>0.75451418074668519</v>
      </c>
      <c r="T209" s="135" t="str">
        <f t="shared" si="144"/>
        <v>Yes</v>
      </c>
      <c r="U209" s="1091">
        <f t="shared" si="145"/>
        <v>0.75451418074668519</v>
      </c>
      <c r="V209" s="1494">
        <f t="shared" si="136"/>
        <v>58675.187863196079</v>
      </c>
      <c r="W209" s="1491">
        <f t="shared" si="137"/>
        <v>0.42565713463836508</v>
      </c>
      <c r="X209" s="527">
        <f t="shared" si="146"/>
        <v>14475.779217222876</v>
      </c>
      <c r="Y209" s="1509">
        <f t="shared" si="147"/>
        <v>8229.9276846429493</v>
      </c>
      <c r="Z209" s="1531">
        <f t="shared" si="148"/>
        <v>5349.9991379215398</v>
      </c>
      <c r="AA209" s="1531">
        <f t="shared" si="149"/>
        <v>0</v>
      </c>
      <c r="AB209" s="1531">
        <f t="shared" si="150"/>
        <v>30619.481823408714</v>
      </c>
      <c r="AC209" s="1531">
        <f t="shared" si="151"/>
        <v>58675.187863196079</v>
      </c>
      <c r="AD209" s="1487">
        <f t="shared" si="152"/>
        <v>0</v>
      </c>
      <c r="AE209" s="649">
        <f t="shared" si="153"/>
        <v>0.24671040254653853</v>
      </c>
      <c r="AF209" s="417">
        <f t="shared" si="154"/>
        <v>0.140262485462022</v>
      </c>
      <c r="AG209" s="417">
        <f t="shared" si="155"/>
        <v>9.1179923452402251E-2</v>
      </c>
      <c r="AH209" s="417">
        <f t="shared" si="167"/>
        <v>0</v>
      </c>
      <c r="AI209" s="417">
        <f t="shared" si="156"/>
        <v>0.52184718853903722</v>
      </c>
      <c r="AJ209" s="525">
        <f t="shared" si="157"/>
        <v>1</v>
      </c>
      <c r="AK209" s="1497">
        <f t="shared" si="158"/>
        <v>327.54702389939001</v>
      </c>
      <c r="AL209" s="1498">
        <f t="shared" si="159"/>
        <v>13331.309930454972</v>
      </c>
      <c r="AM209" s="1498">
        <f t="shared" si="160"/>
        <v>816.92226286851167</v>
      </c>
      <c r="AN209" s="1498">
        <f t="shared" si="161"/>
        <v>14475.779217222873</v>
      </c>
      <c r="AO209" s="1184">
        <f t="shared" si="162"/>
        <v>0</v>
      </c>
    </row>
    <row r="210" spans="1:41" ht="15.75" thickBot="1">
      <c r="A210" s="172">
        <f>'Input data'!A150</f>
        <v>2050</v>
      </c>
      <c r="B210" s="664">
        <f>'Input data'!B150</f>
        <v>81.063414687793369</v>
      </c>
      <c r="C210" s="239">
        <f>'Input data'!C150</f>
        <v>8589.119999999999</v>
      </c>
      <c r="D210" s="667">
        <f>'Input data'!E150</f>
        <v>212322.54260820278</v>
      </c>
      <c r="E210" s="670">
        <f>'Input data'!J150*C210</f>
        <v>103336.09461417398</v>
      </c>
      <c r="F210" s="667">
        <f>'Input data'!L150</f>
        <v>103548.41715678219</v>
      </c>
      <c r="G210" s="667">
        <f>G177*(1-$C$6)</f>
        <v>13687.941669523079</v>
      </c>
      <c r="H210" s="667">
        <f t="shared" si="135"/>
        <v>45806.299716420079</v>
      </c>
      <c r="I210" s="659">
        <f t="shared" si="138"/>
        <v>212.32254260820278</v>
      </c>
      <c r="J210" s="651">
        <f t="shared" si="170"/>
        <v>0.2</v>
      </c>
      <c r="K210" s="667">
        <f t="shared" si="164"/>
        <v>29.396536171329871</v>
      </c>
      <c r="L210" s="667">
        <f t="shared" si="140"/>
        <v>0</v>
      </c>
      <c r="M210" s="659">
        <f t="shared" si="165"/>
        <v>29.396536171329871</v>
      </c>
      <c r="N210" s="650">
        <f t="shared" si="169"/>
        <v>0.5</v>
      </c>
      <c r="O210" s="659">
        <f t="shared" si="141"/>
        <v>751.91700000000026</v>
      </c>
      <c r="P210" s="1482">
        <f t="shared" si="168"/>
        <v>781.31353617133016</v>
      </c>
      <c r="Q210" s="1485">
        <f t="shared" si="142"/>
        <v>58712.927849771826</v>
      </c>
      <c r="R210" s="1485">
        <f t="shared" si="166"/>
        <v>45024.986180248743</v>
      </c>
      <c r="S210" s="578">
        <f t="shared" si="143"/>
        <v>0.76909165033544813</v>
      </c>
      <c r="T210" s="1105" t="str">
        <f t="shared" si="144"/>
        <v>Yes</v>
      </c>
      <c r="U210" s="1094">
        <f t="shared" si="145"/>
        <v>0.76909165033544813</v>
      </c>
      <c r="V210" s="1495">
        <f t="shared" si="136"/>
        <v>58523.430976533462</v>
      </c>
      <c r="W210" s="1492">
        <f t="shared" si="137"/>
        <v>0.43482061258431981</v>
      </c>
      <c r="X210" s="670">
        <f t="shared" si="146"/>
        <v>13687.941669523087</v>
      </c>
      <c r="Y210" s="1518">
        <f t="shared" si="147"/>
        <v>8317.4268847234616</v>
      </c>
      <c r="Z210" s="1532">
        <f t="shared" si="148"/>
        <v>5421.623132687032</v>
      </c>
      <c r="AA210" s="1532">
        <f t="shared" si="149"/>
        <v>0</v>
      </c>
      <c r="AB210" s="1532">
        <f t="shared" si="150"/>
        <v>31096.439289599883</v>
      </c>
      <c r="AC210" s="1532">
        <f t="shared" si="151"/>
        <v>58523.430976533462</v>
      </c>
      <c r="AD210" s="1488">
        <f t="shared" si="152"/>
        <v>0</v>
      </c>
      <c r="AE210" s="650">
        <f t="shared" si="153"/>
        <v>0.23388822974188977</v>
      </c>
      <c r="AF210" s="651">
        <f t="shared" si="154"/>
        <v>0.14212131356513524</v>
      </c>
      <c r="AG210" s="651">
        <f t="shared" si="155"/>
        <v>9.2640213367889815E-2</v>
      </c>
      <c r="AH210" s="651">
        <f t="shared" si="167"/>
        <v>0</v>
      </c>
      <c r="AI210" s="651">
        <f>AB210/AC210</f>
        <v>0.53135024332508518</v>
      </c>
      <c r="AJ210" s="652">
        <f t="shared" si="157"/>
        <v>1</v>
      </c>
      <c r="AK210" s="1499">
        <f t="shared" si="158"/>
        <v>169.85803408656221</v>
      </c>
      <c r="AL210" s="1500">
        <f t="shared" si="159"/>
        <v>12734.997931708527</v>
      </c>
      <c r="AM210" s="1500">
        <f t="shared" si="160"/>
        <v>783.08570372799659</v>
      </c>
      <c r="AN210" s="1500">
        <f t="shared" si="161"/>
        <v>13687.941669523087</v>
      </c>
      <c r="AO210" s="1185">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901" t="s">
        <v>556</v>
      </c>
      <c r="B4" s="1897" t="s">
        <v>557</v>
      </c>
      <c r="C4" s="579">
        <v>0.5</v>
      </c>
      <c r="D4" s="116">
        <f>2017+10</f>
        <v>2027</v>
      </c>
      <c r="E4" s="579">
        <v>0.5</v>
      </c>
      <c r="F4" s="116">
        <f>2017+5</f>
        <v>2022</v>
      </c>
      <c r="G4" s="579">
        <f>E4</f>
        <v>0.5</v>
      </c>
      <c r="H4" s="116">
        <f>F4</f>
        <v>2022</v>
      </c>
      <c r="J4" s="99"/>
      <c r="K4" s="99"/>
    </row>
    <row r="5" spans="1:11">
      <c r="A5" s="1851"/>
      <c r="B5" s="1877"/>
      <c r="C5" s="575">
        <v>0.65</v>
      </c>
      <c r="D5" s="130">
        <f>2017+20</f>
        <v>2037</v>
      </c>
      <c r="E5" s="575">
        <f t="shared" ref="E5:E6" si="0">C5</f>
        <v>0.65</v>
      </c>
      <c r="F5" s="130">
        <f>2017+10</f>
        <v>2027</v>
      </c>
      <c r="G5" s="575">
        <f t="shared" ref="G5:H6" si="1">E5</f>
        <v>0.65</v>
      </c>
      <c r="H5" s="130">
        <f t="shared" si="1"/>
        <v>2027</v>
      </c>
      <c r="J5" s="99"/>
      <c r="K5" s="99"/>
    </row>
    <row r="6" spans="1:11" ht="15.75" thickBot="1">
      <c r="A6" s="1852"/>
      <c r="B6" s="1878"/>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681"/>
      <c r="B28" s="681"/>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7"/>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48"/>
      <c r="E57" s="1348"/>
      <c r="F57" s="1348"/>
      <c r="G57" s="1348"/>
      <c r="H57" s="1348"/>
      <c r="I57" s="1348"/>
      <c r="J57" s="334"/>
      <c r="K57" s="334"/>
      <c r="L57" s="334"/>
      <c r="M57" s="334"/>
      <c r="N57" s="334"/>
      <c r="O57" s="334"/>
      <c r="P57" s="334"/>
      <c r="Q57" s="10"/>
      <c r="R57" s="10"/>
      <c r="S57" s="10"/>
      <c r="W57" s="313"/>
      <c r="Y57" s="314"/>
      <c r="Z57" s="314"/>
      <c r="AA57" s="314"/>
    </row>
    <row r="58" spans="1:28" ht="16.5" thickBot="1">
      <c r="A58" s="1305" t="s">
        <v>742</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c r="O58" s="613"/>
      <c r="P58" s="613"/>
      <c r="Q58" s="10"/>
      <c r="R58" s="10"/>
      <c r="S58" s="10"/>
      <c r="W58" s="313"/>
      <c r="X58" s="315"/>
      <c r="Y58" s="313"/>
      <c r="Z58" s="313"/>
      <c r="AA58" s="313"/>
    </row>
    <row r="59" spans="1:28">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O59" s="614"/>
      <c r="P59" s="614"/>
      <c r="Q59" s="342"/>
      <c r="R59" s="10"/>
      <c r="S59" s="10"/>
      <c r="W59" s="314"/>
      <c r="Y59" s="314"/>
      <c r="Z59" s="314"/>
      <c r="AA59" s="314"/>
    </row>
    <row r="60" spans="1:28" ht="15.75">
      <c r="A60" s="1311" t="s">
        <v>334</v>
      </c>
      <c r="B60" s="1308" t="s">
        <v>335</v>
      </c>
      <c r="C60" s="1312">
        <f>'Input data'!C14</f>
        <v>964286</v>
      </c>
      <c r="D60" s="1349">
        <f>'Input data'!D14</f>
        <v>964286</v>
      </c>
      <c r="E60" s="1349">
        <f>'Input data'!E14</f>
        <v>0</v>
      </c>
      <c r="F60" s="1349">
        <f>'Input data'!F14</f>
        <v>0</v>
      </c>
      <c r="G60" s="1349">
        <f>'Input data'!G14</f>
        <v>0</v>
      </c>
      <c r="H60" s="1349">
        <f>'Input data'!H14</f>
        <v>0</v>
      </c>
      <c r="I60" s="1349">
        <f>'Input data'!I14</f>
        <v>2892858</v>
      </c>
      <c r="J60" s="1349">
        <f>'Input data'!J14</f>
        <v>0</v>
      </c>
      <c r="K60" s="1349">
        <f>'Input data'!K14</f>
        <v>0</v>
      </c>
      <c r="L60" s="1349">
        <f>'Input data'!L14</f>
        <v>0</v>
      </c>
      <c r="M60" s="1349">
        <f>'Input data'!M14</f>
        <v>0</v>
      </c>
      <c r="N60" s="1324">
        <f>'Input data'!N14</f>
        <v>4821430</v>
      </c>
      <c r="O60" s="614"/>
      <c r="P60" s="614"/>
      <c r="Q60" s="10"/>
      <c r="R60" s="10"/>
      <c r="S60" s="10"/>
      <c r="W60" s="313"/>
      <c r="Y60" s="314"/>
      <c r="Z60" s="314"/>
      <c r="AA60" s="314"/>
    </row>
    <row r="61" spans="1:28" ht="15.75">
      <c r="A61" s="1311" t="s">
        <v>336</v>
      </c>
      <c r="B61" s="1308" t="s">
        <v>337</v>
      </c>
      <c r="C61" s="1312">
        <f>'Input data'!C15</f>
        <v>72176.800000000003</v>
      </c>
      <c r="D61" s="1349">
        <f>'Input data'!D15</f>
        <v>72176.800000000003</v>
      </c>
      <c r="E61" s="1349">
        <f>'Input data'!E15</f>
        <v>0</v>
      </c>
      <c r="F61" s="1349">
        <f>'Input data'!F15</f>
        <v>0</v>
      </c>
      <c r="G61" s="1349">
        <f>'Input data'!G15</f>
        <v>0</v>
      </c>
      <c r="H61" s="1349">
        <f>'Input data'!H15</f>
        <v>0</v>
      </c>
      <c r="I61" s="1349">
        <f>'Input data'!I15</f>
        <v>216530.4</v>
      </c>
      <c r="J61" s="1349">
        <f>'Input data'!J15</f>
        <v>0</v>
      </c>
      <c r="K61" s="1349">
        <f>'Input data'!K15</f>
        <v>0</v>
      </c>
      <c r="L61" s="1349">
        <f>'Input data'!L15</f>
        <v>0</v>
      </c>
      <c r="M61" s="1349">
        <f>'Input data'!M15</f>
        <v>0</v>
      </c>
      <c r="N61" s="1324">
        <f>'Input data'!N15</f>
        <v>360884</v>
      </c>
      <c r="O61" s="614"/>
      <c r="P61" s="614"/>
      <c r="Q61" s="10"/>
      <c r="R61" s="10"/>
      <c r="S61" s="10"/>
      <c r="W61" s="313"/>
      <c r="Y61" s="314"/>
      <c r="Z61" s="314"/>
      <c r="AA61" s="313"/>
    </row>
    <row r="62" spans="1:28" ht="15.75">
      <c r="A62" s="1311" t="s">
        <v>338</v>
      </c>
      <c r="B62" s="1308" t="s">
        <v>339</v>
      </c>
      <c r="C62" s="1312">
        <f>'Input data'!C16</f>
        <v>0</v>
      </c>
      <c r="D62" s="1349">
        <f>'Input data'!D16</f>
        <v>0</v>
      </c>
      <c r="E62" s="1349">
        <f>'Input data'!E16</f>
        <v>520349.97572976683</v>
      </c>
      <c r="F62" s="1349">
        <f>'Input data'!F16</f>
        <v>0</v>
      </c>
      <c r="G62" s="1349">
        <f>'Input data'!G16</f>
        <v>0</v>
      </c>
      <c r="H62" s="1349">
        <f>'Input data'!H16</f>
        <v>0</v>
      </c>
      <c r="I62" s="1349">
        <f>'Input data'!I16</f>
        <v>0</v>
      </c>
      <c r="J62" s="1349">
        <f>'Input data'!J16</f>
        <v>237880.00199999998</v>
      </c>
      <c r="K62" s="1349">
        <f>'Input data'!K16</f>
        <v>465419.88531509798</v>
      </c>
      <c r="L62" s="1349">
        <f>'Input data'!L16</f>
        <v>409141.02549420868</v>
      </c>
      <c r="M62" s="1349">
        <f>'Input data'!M16</f>
        <v>123895.58799999999</v>
      </c>
      <c r="N62" s="1324">
        <f>'Input data'!N16</f>
        <v>1756686.4765390735</v>
      </c>
      <c r="O62" s="614"/>
      <c r="P62" s="614"/>
      <c r="Q62" s="10"/>
      <c r="R62" s="10"/>
      <c r="S62" s="10"/>
      <c r="W62" s="312"/>
      <c r="Y62" s="312"/>
      <c r="Z62" s="312"/>
      <c r="AA62" s="312"/>
      <c r="AB62" s="312"/>
    </row>
    <row r="63" spans="1:28" ht="15.75">
      <c r="A63" s="1311" t="s">
        <v>338</v>
      </c>
      <c r="B63" s="1308" t="s">
        <v>340</v>
      </c>
      <c r="C63" s="1312">
        <f>'Input data'!C17</f>
        <v>0</v>
      </c>
      <c r="D63" s="1349">
        <f>'Input data'!D17</f>
        <v>0</v>
      </c>
      <c r="E63" s="1349">
        <f>'Input data'!E17</f>
        <v>1241029.48</v>
      </c>
      <c r="F63" s="1349">
        <f>'Input data'!F17</f>
        <v>0</v>
      </c>
      <c r="G63" s="1349">
        <f>'Input data'!G17</f>
        <v>0</v>
      </c>
      <c r="H63" s="1349">
        <f>'Input data'!H17</f>
        <v>0</v>
      </c>
      <c r="I63" s="1349">
        <f>'Input data'!I17</f>
        <v>0</v>
      </c>
      <c r="J63" s="1349">
        <f>'Input data'!J17</f>
        <v>480373.99800000002</v>
      </c>
      <c r="K63" s="1349">
        <f>'Input data'!K17</f>
        <v>1987194.1360000002</v>
      </c>
      <c r="L63" s="1349">
        <f>'Input data'!L17</f>
        <v>2826447.2</v>
      </c>
      <c r="M63" s="1349">
        <f>'Input data'!M17</f>
        <v>38271.412000000004</v>
      </c>
      <c r="N63" s="1324">
        <f>'Input data'!N17</f>
        <v>6573316.2259999998</v>
      </c>
      <c r="O63" s="614"/>
      <c r="P63" s="614"/>
      <c r="Q63" s="10"/>
      <c r="R63" s="10"/>
      <c r="S63" s="10"/>
      <c r="W63" s="312"/>
      <c r="Y63" s="312"/>
      <c r="Z63" s="312"/>
      <c r="AA63" s="312"/>
      <c r="AB63" s="312"/>
    </row>
    <row r="64" spans="1:28" ht="15.75">
      <c r="A64" s="1311" t="s">
        <v>341</v>
      </c>
      <c r="B64" s="1308" t="s">
        <v>342</v>
      </c>
      <c r="C64" s="1312">
        <f>'Input data'!C18</f>
        <v>2500000</v>
      </c>
      <c r="D64" s="1349">
        <f>'Input data'!D18</f>
        <v>4200000</v>
      </c>
      <c r="E64" s="1349">
        <f>'Input data'!E18</f>
        <v>0</v>
      </c>
      <c r="F64" s="1349">
        <f>'Input data'!F18</f>
        <v>0</v>
      </c>
      <c r="G64" s="1349">
        <f>'Input data'!G18</f>
        <v>0</v>
      </c>
      <c r="H64" s="1349">
        <f>'Input data'!H18</f>
        <v>0</v>
      </c>
      <c r="I64" s="1349">
        <f>'Input data'!I18</f>
        <v>0</v>
      </c>
      <c r="J64" s="1349">
        <f>'Input data'!J18</f>
        <v>0</v>
      </c>
      <c r="K64" s="1349">
        <f>'Input data'!K18</f>
        <v>0</v>
      </c>
      <c r="L64" s="1349">
        <f>'Input data'!L18</f>
        <v>0</v>
      </c>
      <c r="M64" s="1349">
        <f>'Input data'!M18</f>
        <v>0</v>
      </c>
      <c r="N64" s="1324">
        <f>'Input data'!N18</f>
        <v>6700000</v>
      </c>
      <c r="O64" s="614"/>
      <c r="P64" s="614"/>
      <c r="Q64" s="10"/>
      <c r="R64" s="10"/>
      <c r="S64" s="10"/>
      <c r="W64" s="312"/>
      <c r="Y64" s="312"/>
      <c r="Z64" s="312"/>
      <c r="AA64" s="312"/>
      <c r="AB64" s="312"/>
    </row>
    <row r="65" spans="1:28" ht="15.75">
      <c r="A65" s="1313"/>
      <c r="B65" s="1314" t="s">
        <v>343</v>
      </c>
      <c r="C65" s="1312">
        <f>'Input data'!C19</f>
        <v>4770254.2119790548</v>
      </c>
      <c r="D65" s="1349">
        <f>'Input data'!D19</f>
        <v>6375347.1802883577</v>
      </c>
      <c r="E65" s="1349">
        <f>'Input data'!E19</f>
        <v>2139706</v>
      </c>
      <c r="F65" s="1349">
        <f>'Input data'!F19</f>
        <v>0</v>
      </c>
      <c r="G65" s="1349">
        <f>'Input data'!G19</f>
        <v>0</v>
      </c>
      <c r="H65" s="1349">
        <f>'Input data'!H19</f>
        <v>0</v>
      </c>
      <c r="I65" s="1349">
        <f>'Input data'!I19</f>
        <v>3109388.4</v>
      </c>
      <c r="J65" s="1349">
        <f>'Input data'!J19</f>
        <v>1099254</v>
      </c>
      <c r="K65" s="1349">
        <f>'Input data'!K19</f>
        <v>2791003</v>
      </c>
      <c r="L65" s="1349">
        <f>'Input data'!L19</f>
        <v>3533059</v>
      </c>
      <c r="M65" s="1349">
        <f>'Input data'!M19</f>
        <v>162167</v>
      </c>
      <c r="N65" s="1324">
        <f>'Input data'!N19</f>
        <v>23980178.792267412</v>
      </c>
      <c r="O65" s="615"/>
      <c r="P65" s="615"/>
      <c r="Q65" s="10"/>
      <c r="R65" s="10"/>
      <c r="S65" s="10"/>
      <c r="W65" s="312"/>
      <c r="Y65" s="312"/>
      <c r="Z65" s="312"/>
      <c r="AA65" s="312"/>
      <c r="AB65" s="312"/>
    </row>
    <row r="66" spans="1:28" ht="15.75">
      <c r="A66" s="1313"/>
      <c r="B66" s="1315" t="s">
        <v>496</v>
      </c>
      <c r="C66" s="1312">
        <f>'Input data'!C20</f>
        <v>2674712.2259895275</v>
      </c>
      <c r="D66" s="1349">
        <f>'Input data'!D20</f>
        <v>3392258.7101441789</v>
      </c>
      <c r="E66" s="1349">
        <f>'Input data'!E20</f>
        <v>657478.25029190676</v>
      </c>
      <c r="F66" s="1349">
        <f>'Input data'!F20</f>
        <v>0</v>
      </c>
      <c r="G66" s="1349">
        <f>'Input data'!G20</f>
        <v>0</v>
      </c>
      <c r="H66" s="1349">
        <f>'Input data'!H20</f>
        <v>0</v>
      </c>
      <c r="I66" s="1349">
        <f>'Input data'!I20</f>
        <v>2798449.56</v>
      </c>
      <c r="J66" s="1349">
        <f>'Input data'!J20</f>
        <v>404592.00179999997</v>
      </c>
      <c r="K66" s="1349">
        <f>'Input data'!K20</f>
        <v>588072.38612603908</v>
      </c>
      <c r="L66" s="1349">
        <f>'Input data'!L20</f>
        <v>516962.3101976834</v>
      </c>
      <c r="M66" s="1349">
        <f>'Input data'!M20</f>
        <v>111506.02919999999</v>
      </c>
      <c r="N66" s="1324">
        <f>'Input data'!N20</f>
        <v>11144031.473749338</v>
      </c>
      <c r="O66" s="615"/>
      <c r="P66" s="615"/>
      <c r="Q66" s="10"/>
      <c r="R66" s="10"/>
      <c r="S66" s="10"/>
      <c r="W66" s="312"/>
      <c r="Y66" s="312"/>
      <c r="Z66" s="312"/>
      <c r="AA66" s="312"/>
      <c r="AB66" s="312"/>
    </row>
    <row r="67" spans="1:28" ht="16.5" thickBot="1">
      <c r="A67" s="1313"/>
      <c r="B67" s="1315" t="s">
        <v>737</v>
      </c>
      <c r="C67" s="1312">
        <f>'Input data'!C21</f>
        <v>845541.98598952731</v>
      </c>
      <c r="D67" s="1349">
        <f>'Input data'!D21</f>
        <v>883088.47014417872</v>
      </c>
      <c r="E67" s="1349">
        <f>'Input data'!E21</f>
        <v>241198.26970809326</v>
      </c>
      <c r="F67" s="1349">
        <f>'Input data'!F21</f>
        <v>0</v>
      </c>
      <c r="G67" s="1349">
        <f>'Input data'!G21</f>
        <v>0</v>
      </c>
      <c r="H67" s="1349">
        <f>'Input data'!H21</f>
        <v>0</v>
      </c>
      <c r="I67" s="1349">
        <f>'Input data'!I21</f>
        <v>310938.83999999985</v>
      </c>
      <c r="J67" s="1349">
        <f>'Input data'!J21</f>
        <v>214288.00020000001</v>
      </c>
      <c r="K67" s="1349">
        <f>'Input data'!K21</f>
        <v>215736.47787396074</v>
      </c>
      <c r="L67" s="1349">
        <f>'Input data'!L21</f>
        <v>189649.4898023163</v>
      </c>
      <c r="M67" s="1349">
        <f>'Input data'!M21</f>
        <v>12389.558800000006</v>
      </c>
      <c r="N67" s="1324">
        <f>'Input data'!N21</f>
        <v>2912831.0925180763</v>
      </c>
      <c r="O67" s="615"/>
      <c r="P67" s="615"/>
      <c r="Q67" s="10"/>
      <c r="R67" s="10"/>
      <c r="S67" s="10"/>
      <c r="W67" s="312"/>
      <c r="Y67" s="312"/>
      <c r="Z67" s="312"/>
      <c r="AA67" s="312"/>
      <c r="AB67" s="312"/>
    </row>
    <row r="68" spans="1:28"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O68" s="616"/>
      <c r="P68" s="616"/>
      <c r="Q68" s="10"/>
      <c r="R68" s="10"/>
      <c r="S68" s="10"/>
      <c r="W68" s="312"/>
      <c r="Y68" s="312"/>
      <c r="Z68" s="312"/>
      <c r="AA68" s="312"/>
      <c r="AB68" s="312"/>
    </row>
    <row r="69" spans="1:28" ht="15.75">
      <c r="A69" s="1313"/>
      <c r="B69" s="1317"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1" t="s">
        <v>334</v>
      </c>
      <c r="B70" s="1317"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1" t="s">
        <v>336</v>
      </c>
      <c r="B71" s="1317"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1" t="s">
        <v>338</v>
      </c>
      <c r="B72" s="1317"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1" t="s">
        <v>338</v>
      </c>
      <c r="B73" s="1317"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1" t="s">
        <v>341</v>
      </c>
      <c r="B74" s="1317"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3"/>
      <c r="B75" s="1315"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3"/>
      <c r="B76" s="1315"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18"/>
      <c r="B77" s="1319" t="s">
        <v>738</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O78" s="339"/>
      <c r="P78" s="339"/>
      <c r="Q78" s="7"/>
      <c r="R78" s="338"/>
      <c r="S78" s="338"/>
      <c r="T78" s="4"/>
      <c r="U78" s="4"/>
      <c r="Y78" s="745"/>
    </row>
    <row r="79" spans="1:28"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O79" s="339"/>
      <c r="P79" s="339"/>
      <c r="Q79" s="7"/>
      <c r="R79" s="338"/>
      <c r="S79" s="338"/>
      <c r="T79" s="4"/>
      <c r="U79" s="4"/>
      <c r="Y79" s="745"/>
    </row>
    <row r="80" spans="1:28" ht="16.5" thickBot="1">
      <c r="A80" s="1318"/>
      <c r="B80" s="1318" t="s">
        <v>374</v>
      </c>
      <c r="C80" s="1325">
        <f t="shared" ref="C80:H80" si="8">C79/$C$79</f>
        <v>1</v>
      </c>
      <c r="D80" s="1326">
        <f t="shared" si="8"/>
        <v>0</v>
      </c>
      <c r="E80" s="1326">
        <f t="shared" si="8"/>
        <v>0.93845226140483384</v>
      </c>
      <c r="F80" s="1326">
        <f t="shared" si="8"/>
        <v>0</v>
      </c>
      <c r="G80" s="1326">
        <f t="shared" si="8"/>
        <v>0</v>
      </c>
      <c r="H80" s="1327">
        <f t="shared" si="8"/>
        <v>6.154773859516615E-2</v>
      </c>
      <c r="L80" s="1322"/>
      <c r="M80" s="1322"/>
      <c r="N80" s="1322"/>
      <c r="O80" s="339"/>
      <c r="P80" s="339"/>
      <c r="Q80" s="7"/>
      <c r="R80" s="338"/>
      <c r="S80" s="338"/>
      <c r="T80" s="4"/>
      <c r="U80" s="4"/>
      <c r="Y80" s="745"/>
    </row>
    <row r="81" spans="1:91" s="4" customFormat="1" ht="15.75">
      <c r="A81" s="99"/>
      <c r="B81" s="99"/>
      <c r="C81" s="1332"/>
      <c r="D81" s="1332"/>
      <c r="E81" s="1332"/>
      <c r="F81" s="1332"/>
      <c r="G81" s="1332"/>
      <c r="H81" s="1332"/>
      <c r="L81" s="1394"/>
      <c r="M81" s="1394"/>
      <c r="N81" s="1394"/>
      <c r="O81" s="1332"/>
      <c r="P81" s="1332"/>
      <c r="Q81" s="7"/>
      <c r="R81" s="1395"/>
      <c r="S81" s="1395"/>
      <c r="Y81" s="1396"/>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726</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24" t="s">
        <v>602</v>
      </c>
      <c r="B94" s="1825"/>
      <c r="C94" s="1825"/>
      <c r="D94" s="1826"/>
      <c r="E94" s="1858" t="s">
        <v>600</v>
      </c>
      <c r="F94" s="1859"/>
      <c r="G94" s="1860"/>
      <c r="H94" s="1932" t="s">
        <v>601</v>
      </c>
      <c r="I94" s="1933"/>
      <c r="J94" s="1933"/>
      <c r="K94" s="1934"/>
      <c r="L94" s="1832" t="s">
        <v>598</v>
      </c>
      <c r="M94" s="1924"/>
      <c r="N94" s="1924"/>
      <c r="O94" s="1924"/>
      <c r="P94" s="1925"/>
      <c r="Q94" s="1923" t="s">
        <v>775</v>
      </c>
      <c r="R94" s="1924"/>
      <c r="S94" s="1924"/>
      <c r="T94" s="1924"/>
      <c r="U94" s="1925"/>
      <c r="V94" s="1916" t="s">
        <v>599</v>
      </c>
      <c r="W94" s="1781" t="s">
        <v>608</v>
      </c>
      <c r="X94" s="1783"/>
      <c r="Y94" s="1866" t="s">
        <v>594</v>
      </c>
      <c r="Z94" s="1846" t="s">
        <v>763</v>
      </c>
      <c r="AA94" s="1918" t="s">
        <v>771</v>
      </c>
      <c r="AB94" s="1839" t="s">
        <v>773</v>
      </c>
      <c r="AC94" s="1848" t="s">
        <v>781</v>
      </c>
      <c r="AD94" s="1839" t="s">
        <v>773</v>
      </c>
      <c r="AE94" s="1839" t="s">
        <v>772</v>
      </c>
      <c r="AF94" s="1895" t="s">
        <v>774</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734</v>
      </c>
      <c r="BN94" s="1715"/>
      <c r="BO94" s="1715"/>
      <c r="BP94" s="1715"/>
      <c r="BQ94" s="1715"/>
      <c r="BR94" s="1715"/>
      <c r="BS94" s="1715"/>
      <c r="BT94" s="1716"/>
      <c r="BV94" s="1912" t="s">
        <v>646</v>
      </c>
      <c r="BW94" s="1913"/>
      <c r="BX94" s="1914"/>
      <c r="BY94" s="1912" t="s">
        <v>650</v>
      </c>
      <c r="BZ94" s="1913"/>
      <c r="CA94" s="1914"/>
      <c r="CB94" s="1910" t="s">
        <v>647</v>
      </c>
      <c r="CC94" s="1911"/>
      <c r="CD94" s="1812" t="s">
        <v>651</v>
      </c>
      <c r="CE94" s="1811"/>
      <c r="CG94" s="1802" t="s">
        <v>735</v>
      </c>
      <c r="CH94" s="1803"/>
      <c r="CI94" s="1803"/>
      <c r="CJ94" s="1803"/>
      <c r="CK94" s="1803"/>
      <c r="CL94" s="1803"/>
      <c r="CM94" s="1804"/>
    </row>
    <row r="95" spans="1:91" s="10" customFormat="1" ht="42.6" customHeight="1" thickBot="1">
      <c r="A95" s="1822" t="s">
        <v>217</v>
      </c>
      <c r="B95" s="703" t="s">
        <v>218</v>
      </c>
      <c r="C95" s="703" t="s">
        <v>390</v>
      </c>
      <c r="D95" s="513" t="s">
        <v>500</v>
      </c>
      <c r="E95" s="701" t="s">
        <v>501</v>
      </c>
      <c r="F95" s="699" t="s">
        <v>504</v>
      </c>
      <c r="G95" s="700" t="s">
        <v>528</v>
      </c>
      <c r="H95" s="746" t="s">
        <v>478</v>
      </c>
      <c r="I95" s="694" t="s">
        <v>288</v>
      </c>
      <c r="J95" s="693" t="s">
        <v>766</v>
      </c>
      <c r="K95" s="695" t="s">
        <v>596</v>
      </c>
      <c r="L95" s="678" t="s">
        <v>87</v>
      </c>
      <c r="M95" s="661" t="s">
        <v>323</v>
      </c>
      <c r="N95" s="661" t="s">
        <v>324</v>
      </c>
      <c r="O95" s="661" t="s">
        <v>325</v>
      </c>
      <c r="P95" s="660" t="s">
        <v>582</v>
      </c>
      <c r="Q95" s="503" t="s">
        <v>87</v>
      </c>
      <c r="R95" s="661" t="s">
        <v>323</v>
      </c>
      <c r="S95" s="661" t="s">
        <v>324</v>
      </c>
      <c r="T95" s="661" t="s">
        <v>325</v>
      </c>
      <c r="U95" s="1166" t="s">
        <v>582</v>
      </c>
      <c r="V95" s="1917"/>
      <c r="W95" s="1595" t="s">
        <v>605</v>
      </c>
      <c r="X95" s="1596" t="s">
        <v>576</v>
      </c>
      <c r="Y95" s="1867"/>
      <c r="Z95" s="1847"/>
      <c r="AA95" s="1919"/>
      <c r="AB95" s="1840"/>
      <c r="AC95" s="1849"/>
      <c r="AD95" s="1840"/>
      <c r="AE95" s="1840"/>
      <c r="AF95" s="1896"/>
      <c r="AG95" s="1579" t="s">
        <v>473</v>
      </c>
      <c r="AH95" s="1580" t="s">
        <v>489</v>
      </c>
      <c r="AI95" s="1636" t="s">
        <v>807</v>
      </c>
      <c r="AJ95" s="1580" t="s">
        <v>377</v>
      </c>
      <c r="AK95" s="1580" t="s">
        <v>225</v>
      </c>
      <c r="AL95" s="713" t="s">
        <v>591</v>
      </c>
      <c r="AM95" s="1579" t="s">
        <v>473</v>
      </c>
      <c r="AN95" s="1580" t="s">
        <v>489</v>
      </c>
      <c r="AO95" s="1636" t="s">
        <v>807</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68" t="s">
        <v>267</v>
      </c>
      <c r="CC95" s="1269" t="s">
        <v>633</v>
      </c>
      <c r="CD95" s="1270" t="s">
        <v>267</v>
      </c>
      <c r="CE95" s="1271" t="s">
        <v>633</v>
      </c>
      <c r="CF95"/>
      <c r="CG95" s="1258" t="s">
        <v>87</v>
      </c>
      <c r="CH95" s="1259" t="s">
        <v>323</v>
      </c>
      <c r="CI95" s="1259" t="s">
        <v>324</v>
      </c>
      <c r="CJ95" s="1259" t="s">
        <v>325</v>
      </c>
      <c r="CK95" s="1260" t="s">
        <v>582</v>
      </c>
      <c r="CL95" s="1259" t="s">
        <v>303</v>
      </c>
      <c r="CM95" s="1805" t="s">
        <v>736</v>
      </c>
    </row>
    <row r="96" spans="1:91" ht="30.75" thickBot="1">
      <c r="A96" s="1857"/>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688" t="s">
        <v>229</v>
      </c>
      <c r="X96" s="554" t="s">
        <v>228</v>
      </c>
      <c r="Y96" s="1115" t="s">
        <v>228</v>
      </c>
      <c r="Z96" s="1116" t="s">
        <v>228</v>
      </c>
      <c r="AA96" s="1471" t="s">
        <v>228</v>
      </c>
      <c r="AB96" s="1841"/>
      <c r="AC96" s="1849"/>
      <c r="AD96" s="1841"/>
      <c r="AE96" s="1644" t="s">
        <v>28</v>
      </c>
      <c r="AF96" s="1645" t="s">
        <v>3</v>
      </c>
      <c r="AG96" s="191"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1098" t="s">
        <v>625</v>
      </c>
      <c r="BW96" s="40" t="s">
        <v>229</v>
      </c>
      <c r="BX96" s="1099" t="s">
        <v>625</v>
      </c>
      <c r="BY96" s="1098" t="s">
        <v>625</v>
      </c>
      <c r="BZ96" s="40" t="s">
        <v>229</v>
      </c>
      <c r="CA96" s="1099" t="s">
        <v>625</v>
      </c>
      <c r="CB96" s="1573" t="s">
        <v>229</v>
      </c>
      <c r="CC96" s="1574" t="s">
        <v>229</v>
      </c>
      <c r="CD96" s="1476" t="s">
        <v>229</v>
      </c>
      <c r="CE96" s="1477" t="s">
        <v>229</v>
      </c>
      <c r="CG96" s="1272" t="s">
        <v>227</v>
      </c>
      <c r="CH96" s="1259" t="s">
        <v>227</v>
      </c>
      <c r="CI96" s="1259" t="s">
        <v>227</v>
      </c>
      <c r="CJ96" s="1259" t="s">
        <v>227</v>
      </c>
      <c r="CK96" s="1259" t="s">
        <v>227</v>
      </c>
      <c r="CL96" s="1259" t="s">
        <v>227</v>
      </c>
      <c r="CM96" s="1805"/>
    </row>
    <row r="97" spans="1:91">
      <c r="A97" s="127">
        <f>'Input data'!A117</f>
        <v>2017</v>
      </c>
      <c r="B97" s="662">
        <f>'Input data'!B117</f>
        <v>56.521948041648095</v>
      </c>
      <c r="C97" s="236">
        <f>'Input data'!C117</f>
        <v>3117.5115237718705</v>
      </c>
      <c r="D97" s="236">
        <f>'Input data'!D117</f>
        <v>49995051</v>
      </c>
      <c r="E97" s="708">
        <f>'Input data'!F117</f>
        <v>0.71479999999999999</v>
      </c>
      <c r="F97" s="647">
        <f>'Input data'!G117</f>
        <v>0.28959999999999997</v>
      </c>
      <c r="G97" s="1693">
        <f>'Input data'!H117</f>
        <v>501</v>
      </c>
      <c r="H97" s="529">
        <f>'Input data'!I117</f>
        <v>424.26313389388866</v>
      </c>
      <c r="I97" s="528">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7">
        <f>H97*$M$75*P97*B97-H97*$M$75*$P$97*B97</f>
        <v>0</v>
      </c>
      <c r="V97" s="528">
        <f t="shared" ref="V97:V130" si="9">SUM(Q97:U97)</f>
        <v>0</v>
      </c>
      <c r="W97" s="708">
        <v>0</v>
      </c>
      <c r="X97" s="1467">
        <f>W97*($C$76+$D$76)*$B$10*$I$97</f>
        <v>0</v>
      </c>
      <c r="Y97" s="957">
        <f>X97+V97</f>
        <v>0</v>
      </c>
      <c r="Z97" s="957">
        <f>$J$97-Y97</f>
        <v>11144.031481960794</v>
      </c>
      <c r="AA97" s="1467">
        <f>Z97-J97</f>
        <v>0</v>
      </c>
      <c r="AB97" s="1091">
        <f>AA97/Z97</f>
        <v>0</v>
      </c>
      <c r="AC97" s="1489"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3">
        <f t="shared" ref="AR97:AR130" si="14">(I97*$C$76*$B$10-$C$66/($D$66+$C$66)*X97)*(1-AD97)</f>
        <v>2674.7122279603836</v>
      </c>
      <c r="AS97" s="1373">
        <f t="shared" ref="AS97:AS130" si="15">(I97*$D$76*$B$10-$D$66/($D$66+$C$66)*X97)*(1-AD97)</f>
        <v>3392.2587126437579</v>
      </c>
      <c r="AT97" s="1373">
        <f t="shared" ref="AT97:AT130" si="16">(I97*$B$10*$E$76-(Q97))*(1-AD97)</f>
        <v>657.47825077636821</v>
      </c>
      <c r="AU97" s="1373">
        <f t="shared" ref="AU97:AU130" si="17">I97*$F$76*(1-AD97)*$B$10</f>
        <v>0</v>
      </c>
      <c r="AV97" s="1373">
        <f t="shared" ref="AV97:AV130" si="18">I97*$G$76*(1-AD97)*$B$10</f>
        <v>0</v>
      </c>
      <c r="AW97" s="1373">
        <f t="shared" ref="AW97:AW130" si="19">I97*$G$76*(1-AD97)*$B$10</f>
        <v>0</v>
      </c>
      <c r="AX97" s="1373">
        <f t="shared" ref="AX97:AX130" si="20">I97*$I$76*(1-AD97)*$AM$97</f>
        <v>2798.4495620620314</v>
      </c>
      <c r="AY97" s="1373">
        <f t="shared" ref="AY97:AY130" si="21">(I97*$J$76*$B$10-R97)*(1-AD97)</f>
        <v>404.59200209812275</v>
      </c>
      <c r="AZ97" s="1373">
        <f t="shared" ref="AZ97:AZ130" si="22">(I97*$K$76*$B$10-S97)*(1-AD97)</f>
        <v>588.07238655935896</v>
      </c>
      <c r="BA97" s="1373">
        <f t="shared" ref="BA97:BA130" si="23">(I97*$L$76*$B$10-T97)*(1-AD97)</f>
        <v>516.96231057860598</v>
      </c>
      <c r="BB97" s="1373">
        <f t="shared" ref="BB97:BB130" si="24">(I97*$M$76*$B$10-U97)*(1-AD97)</f>
        <v>111.50602928216298</v>
      </c>
      <c r="BC97" s="1467">
        <f>SUM(AR97:BB97)</f>
        <v>11144.031481960794</v>
      </c>
      <c r="BD97" s="1156">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5">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236">
        <f>'Input data'!D118</f>
        <v>50359792.847133137</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108.79675618524169</v>
      </c>
      <c r="BW98" s="114">
        <f t="shared" ref="BW98:BW130" si="59">((AK98-AM98*AK98)+(AC138-AC138*AE138))/(AK98+AC138)</f>
        <v>0.31239939440446801</v>
      </c>
      <c r="BX98" s="1686">
        <f t="shared" si="25"/>
        <v>50.359792847133136</v>
      </c>
      <c r="BY98" s="527">
        <f t="shared" ref="BY98:BY130" si="60">(AK98+AC178)*1000/10^6</f>
        <v>108.79675618524169</v>
      </c>
      <c r="BZ98" s="417">
        <f t="shared" ref="BZ98:BZ130" si="61">((AK98-AM98*AK98)+(AC178-AC178*AE178))/(AK98+AC178)</f>
        <v>0.31239939440446801</v>
      </c>
      <c r="CA98" s="544">
        <f t="shared" si="26"/>
        <v>50.359792847133136</v>
      </c>
      <c r="CB98" s="649">
        <f t="shared" si="27"/>
        <v>2.3097802675159818E-2</v>
      </c>
      <c r="CC98" s="525">
        <f t="shared" ref="CC98:CC130" si="62">W178</f>
        <v>3.7534536819961217E-2</v>
      </c>
      <c r="CD98" s="417">
        <f t="shared" si="28"/>
        <v>2.3097802675159818E-2</v>
      </c>
      <c r="CE98" s="525">
        <f t="shared" ref="CE98:CE130" si="63">W178</f>
        <v>3.7534536819961217E-2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4436.7699999999986</v>
      </c>
      <c r="D99" s="236">
        <f>'Input data'!D119</f>
        <v>53464172.913892828</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113.60149224673694</v>
      </c>
      <c r="BW99" s="114">
        <f t="shared" si="59"/>
        <v>0.37650882002073971</v>
      </c>
      <c r="BX99" s="1686">
        <f t="shared" si="25"/>
        <v>53.464172913892831</v>
      </c>
      <c r="BY99" s="527">
        <f t="shared" si="60"/>
        <v>113.60149224673694</v>
      </c>
      <c r="BZ99" s="417">
        <f t="shared" si="61"/>
        <v>0.37650882002073971</v>
      </c>
      <c r="CA99" s="544">
        <f t="shared" si="26"/>
        <v>53.464172913892831</v>
      </c>
      <c r="CB99" s="649">
        <f t="shared" si="27"/>
        <v>4.2261345922522509E-2</v>
      </c>
      <c r="CC99" s="525">
        <f t="shared" si="62"/>
        <v>0.15871146115466328</v>
      </c>
      <c r="CD99" s="417">
        <f t="shared" si="28"/>
        <v>4.2261345922522509E-2</v>
      </c>
      <c r="CE99" s="525">
        <f t="shared" si="63"/>
        <v>0.15871146115466328</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59.233695328537607</v>
      </c>
      <c r="C100" s="236">
        <f>'Input data'!C120</f>
        <v>4157.24</v>
      </c>
      <c r="D100" s="236">
        <f>'Input data'!D120</f>
        <v>51247282.188414559</v>
      </c>
      <c r="E100" s="649">
        <f t="shared" si="71"/>
        <v>0.78061538461538471</v>
      </c>
      <c r="F100" s="417">
        <f t="shared" si="72"/>
        <v>0.30751923076923071</v>
      </c>
      <c r="G100" s="530">
        <f>B100*F100*'Input data'!$C$9</f>
        <v>557.52346890165177</v>
      </c>
      <c r="H100" s="529">
        <f>'Input data'!I120</f>
        <v>424.26313389388866</v>
      </c>
      <c r="I100" s="528">
        <f>'Input data'!K120</f>
        <v>25130.67321220116</v>
      </c>
      <c r="J100" s="528">
        <f>J97*0.81</f>
        <v>9026.6655003882443</v>
      </c>
      <c r="K100" s="530">
        <f t="shared" si="73"/>
        <v>2652.0219547522283</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62.096190678397306</v>
      </c>
      <c r="R100" s="528">
        <f t="shared" si="32"/>
        <v>43.332651838003642</v>
      </c>
      <c r="S100" s="528">
        <f t="shared" si="33"/>
        <v>126.89594988256886</v>
      </c>
      <c r="T100" s="528">
        <f t="shared" si="34"/>
        <v>85.443788906055943</v>
      </c>
      <c r="U100" s="530">
        <f t="shared" si="35"/>
        <v>0</v>
      </c>
      <c r="V100" s="528">
        <f t="shared" si="9"/>
        <v>317.76858130502575</v>
      </c>
      <c r="W100" s="649">
        <f>($N$142-$N$137)/($A$102-$A$97)+W99</f>
        <v>0.2</v>
      </c>
      <c r="X100" s="530">
        <f t="shared" si="36"/>
        <v>1213.3941881208284</v>
      </c>
      <c r="Y100" s="528">
        <f t="shared" si="77"/>
        <v>1531.1627694258541</v>
      </c>
      <c r="Z100" s="528">
        <f t="shared" si="78"/>
        <v>10147.524685714619</v>
      </c>
      <c r="AA100" s="530">
        <f t="shared" si="79"/>
        <v>1120.8591853263752</v>
      </c>
      <c r="AB100" s="1091">
        <f t="shared" si="37"/>
        <v>0.11045641376012488</v>
      </c>
      <c r="AC100" s="135" t="str">
        <f t="shared" si="38"/>
        <v>Yes</v>
      </c>
      <c r="AD100" s="1091">
        <f t="shared" si="39"/>
        <v>0.11045641376012488</v>
      </c>
      <c r="AE100" s="649">
        <f t="shared" si="10"/>
        <v>6.225793333678542E-2</v>
      </c>
      <c r="AF100" s="530">
        <f t="shared" si="11"/>
        <v>397.8493879866673</v>
      </c>
      <c r="AG100" s="527">
        <f t="shared" si="40"/>
        <v>9026.6655003882443</v>
      </c>
      <c r="AH100" s="528">
        <f t="shared" si="80"/>
        <v>7206.4520822525992</v>
      </c>
      <c r="AI100" s="528">
        <f t="shared" si="81"/>
        <v>4617.5691834333375</v>
      </c>
      <c r="AJ100" s="528">
        <f t="shared" si="12"/>
        <v>2715.4026685732197</v>
      </c>
      <c r="AK100" s="528">
        <f t="shared" si="41"/>
        <v>23566.089434647402</v>
      </c>
      <c r="AL100" s="716">
        <f t="shared" si="13"/>
        <v>0</v>
      </c>
      <c r="AM100" s="417">
        <f t="shared" si="42"/>
        <v>0.38303620655521381</v>
      </c>
      <c r="AN100" s="417">
        <f t="shared" si="43"/>
        <v>0.30579753599922732</v>
      </c>
      <c r="AO100" s="417">
        <f t="shared" si="44"/>
        <v>0.19594125687414571</v>
      </c>
      <c r="AP100" s="417">
        <f t="shared" si="45"/>
        <v>0.11522500057141312</v>
      </c>
      <c r="AQ100" s="417">
        <f t="shared" si="46"/>
        <v>0.99999999999999989</v>
      </c>
      <c r="AR100" s="1086">
        <f t="shared" si="14"/>
        <v>2017.5686102211453</v>
      </c>
      <c r="AS100" s="938">
        <f t="shared" si="15"/>
        <v>2558.8228239410469</v>
      </c>
      <c r="AT100" s="938">
        <f t="shared" si="16"/>
        <v>557.67784387397023</v>
      </c>
      <c r="AU100" s="938">
        <f t="shared" si="17"/>
        <v>0</v>
      </c>
      <c r="AV100" s="938">
        <f t="shared" si="18"/>
        <v>0</v>
      </c>
      <c r="AW100" s="938">
        <f t="shared" si="19"/>
        <v>0</v>
      </c>
      <c r="AX100" s="938">
        <f t="shared" si="20"/>
        <v>2608.7737880202508</v>
      </c>
      <c r="AY100" s="938">
        <f t="shared" si="21"/>
        <v>338.6229272570543</v>
      </c>
      <c r="AZ100" s="938">
        <f t="shared" si="22"/>
        <v>435.33402113437865</v>
      </c>
      <c r="BA100" s="938">
        <f t="shared" si="23"/>
        <v>405.91721031623791</v>
      </c>
      <c r="BB100" s="938">
        <f t="shared" si="24"/>
        <v>103.94827562415692</v>
      </c>
      <c r="BC100" s="530">
        <f t="shared" si="47"/>
        <v>9026.6655003882424</v>
      </c>
      <c r="BD100" s="724">
        <f t="shared" si="48"/>
        <v>0</v>
      </c>
      <c r="BE100" s="436">
        <f t="shared" si="49"/>
        <v>0.22351206103010779</v>
      </c>
      <c r="BF100" s="624">
        <f t="shared" si="50"/>
        <v>0.28347376158239057</v>
      </c>
      <c r="BG100" s="624">
        <f t="shared" si="51"/>
        <v>6.1781157599113887E-2</v>
      </c>
      <c r="BH100" s="624">
        <f t="shared" si="52"/>
        <v>0</v>
      </c>
      <c r="BI100" s="624">
        <f t="shared" si="53"/>
        <v>0</v>
      </c>
      <c r="BJ100" s="624">
        <f t="shared" si="54"/>
        <v>0</v>
      </c>
      <c r="BK100" s="624">
        <f t="shared" si="55"/>
        <v>0.43123301978838763</v>
      </c>
      <c r="BL100" s="624">
        <f t="shared" si="56"/>
        <v>0.99999999999999978</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107.77625019609012</v>
      </c>
      <c r="BW100" s="114">
        <f t="shared" si="59"/>
        <v>0.40188279751177231</v>
      </c>
      <c r="BX100" s="1686">
        <f t="shared" si="25"/>
        <v>51.247282188414559</v>
      </c>
      <c r="BY100" s="527">
        <f t="shared" si="60"/>
        <v>107.77625019609012</v>
      </c>
      <c r="BZ100" s="417">
        <f t="shared" si="61"/>
        <v>0.40188279751177231</v>
      </c>
      <c r="CA100" s="544">
        <f t="shared" si="26"/>
        <v>51.247282188414559</v>
      </c>
      <c r="CB100" s="649">
        <f t="shared" si="27"/>
        <v>6.225793333678542E-2</v>
      </c>
      <c r="CC100" s="525">
        <f t="shared" si="62"/>
        <v>0.16840334018565795</v>
      </c>
      <c r="CD100" s="417">
        <f t="shared" si="28"/>
        <v>6.225793333678542E-2</v>
      </c>
      <c r="CE100" s="525">
        <f t="shared" si="63"/>
        <v>0.16840334018565795</v>
      </c>
      <c r="CG100" s="527">
        <f t="shared" si="64"/>
        <v>1362.6664065537148</v>
      </c>
      <c r="CH100" s="528">
        <f t="shared" si="65"/>
        <v>546.75350069628325</v>
      </c>
      <c r="CI100" s="528">
        <f t="shared" si="66"/>
        <v>2209.4294819979264</v>
      </c>
      <c r="CJ100" s="528">
        <f t="shared" si="67"/>
        <v>3047.4951376493482</v>
      </c>
      <c r="CK100" s="528">
        <f t="shared" si="68"/>
        <v>40.107555355327428</v>
      </c>
      <c r="CL100" s="528">
        <f t="shared" si="69"/>
        <v>7206.4520822526001</v>
      </c>
      <c r="CM100" s="646">
        <f t="shared" si="70"/>
        <v>0</v>
      </c>
    </row>
    <row r="101" spans="1:91">
      <c r="A101" s="873">
        <f>'Input data'!A121</f>
        <v>2021</v>
      </c>
      <c r="B101" s="1551">
        <f>'Input data'!B121</f>
        <v>60.170135702880636</v>
      </c>
      <c r="C101" s="1550">
        <f>'Input data'!C121</f>
        <v>4296.6100000000006</v>
      </c>
      <c r="D101" s="1550">
        <f>'Input data'!D121</f>
        <v>50719928.257477686</v>
      </c>
      <c r="E101" s="1454">
        <f t="shared" si="71"/>
        <v>0.80255384615384628</v>
      </c>
      <c r="F101" s="1504">
        <f t="shared" si="72"/>
        <v>0.31349230769230763</v>
      </c>
      <c r="G101" s="1511">
        <f>B101*F101*'Input data'!$C$9</f>
        <v>577.33771181333202</v>
      </c>
      <c r="H101" s="1542">
        <f>'Input data'!I121</f>
        <v>424.26313389388866</v>
      </c>
      <c r="I101" s="1509">
        <f>'Input data'!K121</f>
        <v>25527.970340124699</v>
      </c>
      <c r="J101" s="1509">
        <f>J97*0.65</f>
        <v>7243.6204632745166</v>
      </c>
      <c r="K101" s="1511">
        <f t="shared" si="73"/>
        <v>4619.6982965932502</v>
      </c>
      <c r="L101" s="1504">
        <f t="shared" si="74"/>
        <v>0.61692307692307702</v>
      </c>
      <c r="M101" s="1504">
        <f t="shared" si="29"/>
        <v>0.48715384615384622</v>
      </c>
      <c r="N101" s="1504">
        <f t="shared" si="75"/>
        <v>0.76984615384615374</v>
      </c>
      <c r="O101" s="1504">
        <f t="shared" si="76"/>
        <v>0.8307692307692307</v>
      </c>
      <c r="P101" s="1504">
        <f t="shared" si="30"/>
        <v>0.23600000000000002</v>
      </c>
      <c r="Q101" s="1508">
        <f t="shared" si="31"/>
        <v>84.103846614727445</v>
      </c>
      <c r="R101" s="1509">
        <f t="shared" si="32"/>
        <v>58.690278160021194</v>
      </c>
      <c r="S101" s="1509">
        <f t="shared" si="33"/>
        <v>171.86943978942918</v>
      </c>
      <c r="T101" s="1509">
        <f t="shared" si="34"/>
        <v>115.72612164816883</v>
      </c>
      <c r="U101" s="1511">
        <f t="shared" si="35"/>
        <v>0</v>
      </c>
      <c r="V101" s="1509">
        <f t="shared" si="9"/>
        <v>430.38968621234665</v>
      </c>
      <c r="W101" s="1454">
        <v>0.4</v>
      </c>
      <c r="X101" s="530">
        <f t="shared" si="36"/>
        <v>2426.7883762416568</v>
      </c>
      <c r="Y101" s="528">
        <f t="shared" si="77"/>
        <v>2857.1780624540033</v>
      </c>
      <c r="Z101" s="528">
        <f t="shared" si="78"/>
        <v>9006.1406974137644</v>
      </c>
      <c r="AA101" s="530">
        <f t="shared" si="79"/>
        <v>1762.5202341392478</v>
      </c>
      <c r="AB101" s="1091">
        <f t="shared" si="37"/>
        <v>0.19570205411574121</v>
      </c>
      <c r="AC101" s="135" t="str">
        <f t="shared" si="38"/>
        <v>Yes</v>
      </c>
      <c r="AD101" s="1091">
        <f t="shared" si="39"/>
        <v>0.19570205411574121</v>
      </c>
      <c r="AE101" s="649">
        <f t="shared" si="10"/>
        <v>9.9162220196375661E-2</v>
      </c>
      <c r="AF101" s="530">
        <f t="shared" si="11"/>
        <v>382.19225958949846</v>
      </c>
      <c r="AG101" s="527">
        <f t="shared" si="40"/>
        <v>7243.6204632745166</v>
      </c>
      <c r="AH101" s="528">
        <f t="shared" si="80"/>
        <v>7427.9781156905256</v>
      </c>
      <c r="AI101" s="528">
        <f t="shared" si="81"/>
        <v>5830.9633715541659</v>
      </c>
      <c r="AJ101" s="528">
        <f t="shared" si="12"/>
        <v>2493.9981735714969</v>
      </c>
      <c r="AK101" s="528">
        <f t="shared" si="41"/>
        <v>22996.560124090705</v>
      </c>
      <c r="AL101" s="716">
        <f t="shared" si="13"/>
        <v>0</v>
      </c>
      <c r="AM101" s="417">
        <f t="shared" si="42"/>
        <v>0.31498712956144492</v>
      </c>
      <c r="AN101" s="417">
        <f t="shared" si="43"/>
        <v>0.32300387865005664</v>
      </c>
      <c r="AO101" s="417">
        <f t="shared" si="44"/>
        <v>0.25355806868896769</v>
      </c>
      <c r="AP101" s="417">
        <f t="shared" si="45"/>
        <v>0.10845092309953076</v>
      </c>
      <c r="AQ101" s="417">
        <f t="shared" si="46"/>
        <v>1</v>
      </c>
      <c r="AR101" s="1086">
        <f t="shared" si="14"/>
        <v>1429.6119480849479</v>
      </c>
      <c r="AS101" s="938">
        <f t="shared" si="15"/>
        <v>1813.1347125477046</v>
      </c>
      <c r="AT101" s="938">
        <f t="shared" si="16"/>
        <v>495.29559317440237</v>
      </c>
      <c r="AU101" s="938">
        <f t="shared" si="17"/>
        <v>0</v>
      </c>
      <c r="AV101" s="938">
        <f t="shared" si="18"/>
        <v>0</v>
      </c>
      <c r="AW101" s="938">
        <f t="shared" si="19"/>
        <v>0</v>
      </c>
      <c r="AX101" s="938">
        <f t="shared" si="20"/>
        <v>2396.0634413025591</v>
      </c>
      <c r="AY101" s="938">
        <f t="shared" si="21"/>
        <v>299.2116732617398</v>
      </c>
      <c r="AZ101" s="938">
        <f t="shared" si="22"/>
        <v>365.27983890301294</v>
      </c>
      <c r="BA101" s="938">
        <f t="shared" si="23"/>
        <v>349.55056145176536</v>
      </c>
      <c r="BB101" s="938">
        <f t="shared" si="24"/>
        <v>95.472694548382577</v>
      </c>
      <c r="BC101" s="530">
        <f t="shared" si="47"/>
        <v>7243.6204632745148</v>
      </c>
      <c r="BD101" s="724">
        <f t="shared" si="48"/>
        <v>0</v>
      </c>
      <c r="BE101" s="436">
        <f t="shared" si="49"/>
        <v>0.19736152043486341</v>
      </c>
      <c r="BF101" s="624">
        <f t="shared" si="50"/>
        <v>0.25030780142890974</v>
      </c>
      <c r="BG101" s="624">
        <f t="shared" si="51"/>
        <v>6.8376800756689768E-2</v>
      </c>
      <c r="BH101" s="624">
        <f t="shared" si="52"/>
        <v>0</v>
      </c>
      <c r="BI101" s="624">
        <f t="shared" si="53"/>
        <v>0</v>
      </c>
      <c r="BJ101" s="624">
        <f t="shared" si="54"/>
        <v>0</v>
      </c>
      <c r="BK101" s="624">
        <f t="shared" si="55"/>
        <v>0.48395387737953699</v>
      </c>
      <c r="BL101" s="624">
        <f t="shared" si="56"/>
        <v>0.99999999999999989</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98.518596994374505</v>
      </c>
      <c r="BW101" s="114">
        <f t="shared" si="59"/>
        <v>0.47492724757155907</v>
      </c>
      <c r="BX101" s="1686">
        <f t="shared" si="25"/>
        <v>50.719928257477683</v>
      </c>
      <c r="BY101" s="527">
        <f t="shared" si="60"/>
        <v>98.518596994374505</v>
      </c>
      <c r="BZ101" s="417">
        <f t="shared" si="61"/>
        <v>0.47492724757155907</v>
      </c>
      <c r="CA101" s="544">
        <f t="shared" si="26"/>
        <v>50.719928257477683</v>
      </c>
      <c r="CB101" s="649">
        <f t="shared" si="27"/>
        <v>9.9162220196375661E-2</v>
      </c>
      <c r="CC101" s="525">
        <f t="shared" si="62"/>
        <v>0.26257112936202054</v>
      </c>
      <c r="CD101" s="417">
        <f t="shared" si="28"/>
        <v>9.9162220196375661E-2</v>
      </c>
      <c r="CE101" s="525">
        <f t="shared" si="63"/>
        <v>0.26257112936202054</v>
      </c>
      <c r="CG101" s="527">
        <f t="shared" si="64"/>
        <v>1405.2351038544</v>
      </c>
      <c r="CH101" s="528">
        <f t="shared" si="65"/>
        <v>570.0698337230267</v>
      </c>
      <c r="CI101" s="528">
        <f t="shared" si="66"/>
        <v>2287.3262678359192</v>
      </c>
      <c r="CJ101" s="528">
        <f t="shared" si="67"/>
        <v>3124.6052845005711</v>
      </c>
      <c r="CK101" s="528">
        <f t="shared" si="68"/>
        <v>40.74162577660725</v>
      </c>
      <c r="CL101" s="528">
        <f t="shared" si="69"/>
        <v>7427.9781156905246</v>
      </c>
      <c r="CM101" s="646">
        <f t="shared" si="70"/>
        <v>0</v>
      </c>
    </row>
    <row r="102" spans="1:91" s="464" customFormat="1">
      <c r="A102" s="150">
        <f>'Input data'!A122</f>
        <v>2022</v>
      </c>
      <c r="B102" s="1506">
        <f>'Input data'!B122</f>
        <v>61.14166465104848</v>
      </c>
      <c r="C102" s="1507">
        <f>'Input data'!C122</f>
        <v>4408.5100000000011</v>
      </c>
      <c r="D102" s="1507">
        <f>'Input data'!D122</f>
        <v>50359792.847133137</v>
      </c>
      <c r="E102" s="1455">
        <f t="shared" si="71"/>
        <v>0.82449230769230786</v>
      </c>
      <c r="F102" s="1449">
        <f t="shared" si="72"/>
        <v>0.31946538461538454</v>
      </c>
      <c r="G102" s="1554">
        <f>B102*F102*'Input data'!$C$9</f>
        <v>597.83744475839228</v>
      </c>
      <c r="H102" s="1549">
        <f>'Input data'!I122</f>
        <v>424.26313389388866</v>
      </c>
      <c r="I102" s="1557">
        <f>'Input data'!K122</f>
        <v>25940.154256343019</v>
      </c>
      <c r="J102" s="1557">
        <f>J97*(1-$G$4)</f>
        <v>5572.0157409803969</v>
      </c>
      <c r="K102" s="1511">
        <f t="shared" si="73"/>
        <v>6482.8524887683625</v>
      </c>
      <c r="L102" s="1504">
        <f t="shared" si="74"/>
        <v>0.62615384615384628</v>
      </c>
      <c r="M102" s="1504">
        <f t="shared" si="29"/>
        <v>0.49969230769230777</v>
      </c>
      <c r="N102" s="1504">
        <f t="shared" si="75"/>
        <v>0.78430769230769215</v>
      </c>
      <c r="O102" s="1504">
        <f t="shared" si="76"/>
        <v>0.83846153846153837</v>
      </c>
      <c r="P102" s="1449">
        <f t="shared" si="30"/>
        <v>0.23600000000000002</v>
      </c>
      <c r="Q102" s="1508">
        <f t="shared" si="31"/>
        <v>106.8272724814276</v>
      </c>
      <c r="R102" s="1509">
        <f t="shared" si="32"/>
        <v>74.547390985960647</v>
      </c>
      <c r="S102" s="1509">
        <f t="shared" si="33"/>
        <v>218.30563303154076</v>
      </c>
      <c r="T102" s="1509">
        <f t="shared" si="34"/>
        <v>146.99334725033759</v>
      </c>
      <c r="U102" s="1511">
        <f t="shared" si="35"/>
        <v>0</v>
      </c>
      <c r="V102" s="1509">
        <f t="shared" si="9"/>
        <v>546.6736437492666</v>
      </c>
      <c r="W102" s="1454">
        <f>$E$26</f>
        <v>0.5</v>
      </c>
      <c r="X102" s="530">
        <f t="shared" si="36"/>
        <v>3033.4854703020706</v>
      </c>
      <c r="Y102" s="528">
        <f t="shared" si="77"/>
        <v>3580.1591140513374</v>
      </c>
      <c r="Z102" s="528">
        <f t="shared" si="78"/>
        <v>8474.709115697422</v>
      </c>
      <c r="AA102" s="530">
        <f t="shared" si="79"/>
        <v>2902.6933747170251</v>
      </c>
      <c r="AB102" s="1091">
        <f t="shared" si="37"/>
        <v>0.34251244911054973</v>
      </c>
      <c r="AC102" s="135" t="str">
        <f t="shared" si="38"/>
        <v>Yes</v>
      </c>
      <c r="AD102" s="1091">
        <f t="shared" si="39"/>
        <v>0.34251244911054973</v>
      </c>
      <c r="AE102" s="649">
        <f t="shared" si="10"/>
        <v>0.16197085374599185</v>
      </c>
      <c r="AF102" s="530">
        <f t="shared" si="11"/>
        <v>355.54487188414544</v>
      </c>
      <c r="AG102" s="527">
        <f t="shared" si="40"/>
        <v>5572.0157409803969</v>
      </c>
      <c r="AH102" s="528">
        <f t="shared" si="80"/>
        <v>7657.2476872232737</v>
      </c>
      <c r="AI102" s="528">
        <f t="shared" si="81"/>
        <v>6437.6604656145792</v>
      </c>
      <c r="AJ102" s="528">
        <f t="shared" si="12"/>
        <v>2071.6814313221653</v>
      </c>
      <c r="AK102" s="528">
        <f t="shared" si="41"/>
        <v>21738.605325140416</v>
      </c>
      <c r="AL102" s="716">
        <f t="shared" si="13"/>
        <v>0</v>
      </c>
      <c r="AM102" s="417">
        <f t="shared" si="42"/>
        <v>0.25631891547966201</v>
      </c>
      <c r="AN102" s="417">
        <f t="shared" si="43"/>
        <v>0.35224190203075106</v>
      </c>
      <c r="AO102" s="417">
        <f t="shared" si="44"/>
        <v>0.29613953468162507</v>
      </c>
      <c r="AP102" s="417">
        <f t="shared" si="45"/>
        <v>9.5299647807961838E-2</v>
      </c>
      <c r="AQ102" s="417">
        <f t="shared" si="46"/>
        <v>1</v>
      </c>
      <c r="AR102" s="1086">
        <f t="shared" si="14"/>
        <v>1023.0300879386098</v>
      </c>
      <c r="AS102" s="938">
        <f t="shared" si="15"/>
        <v>1297.4789186023268</v>
      </c>
      <c r="AT102" s="938">
        <f t="shared" si="16"/>
        <v>397.37807501228406</v>
      </c>
      <c r="AU102" s="938">
        <f t="shared" si="17"/>
        <v>0</v>
      </c>
      <c r="AV102" s="938">
        <f t="shared" si="18"/>
        <v>0</v>
      </c>
      <c r="AW102" s="938">
        <f t="shared" si="19"/>
        <v>0</v>
      </c>
      <c r="AX102" s="938">
        <f t="shared" si="20"/>
        <v>1990.3303026513206</v>
      </c>
      <c r="AY102" s="938">
        <f t="shared" si="21"/>
        <v>238.74240076053093</v>
      </c>
      <c r="AZ102" s="938">
        <f t="shared" si="22"/>
        <v>274.71918025536183</v>
      </c>
      <c r="BA102" s="938">
        <f t="shared" si="23"/>
        <v>271.03078003385514</v>
      </c>
      <c r="BB102" s="938">
        <f t="shared" si="24"/>
        <v>79.305995726105905</v>
      </c>
      <c r="BC102" s="530">
        <f t="shared" si="47"/>
        <v>5572.0157409803951</v>
      </c>
      <c r="BD102" s="724">
        <f t="shared" si="48"/>
        <v>0</v>
      </c>
      <c r="BE102" s="436">
        <f t="shared" si="49"/>
        <v>0.18360143536827264</v>
      </c>
      <c r="BF102" s="624">
        <f t="shared" si="50"/>
        <v>0.23285629095764823</v>
      </c>
      <c r="BG102" s="624">
        <f t="shared" si="51"/>
        <v>7.1316753843621669E-2</v>
      </c>
      <c r="BH102" s="624">
        <f t="shared" si="52"/>
        <v>0</v>
      </c>
      <c r="BI102" s="624">
        <f t="shared" si="53"/>
        <v>0</v>
      </c>
      <c r="BJ102" s="624">
        <f t="shared" si="54"/>
        <v>0</v>
      </c>
      <c r="BK102" s="624">
        <f t="shared" si="55"/>
        <v>0.51222551983045739</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95.455152936877568</v>
      </c>
      <c r="BW102" s="114">
        <f t="shared" si="59"/>
        <v>0.51519909812264109</v>
      </c>
      <c r="BX102" s="1686">
        <f t="shared" si="25"/>
        <v>50.359792847133136</v>
      </c>
      <c r="BY102" s="527">
        <f t="shared" si="60"/>
        <v>95.455152936877568</v>
      </c>
      <c r="BZ102" s="417">
        <f t="shared" si="61"/>
        <v>0.51519909812264109</v>
      </c>
      <c r="CA102" s="544">
        <f t="shared" si="26"/>
        <v>50.359792847133136</v>
      </c>
      <c r="CB102" s="649">
        <f t="shared" si="27"/>
        <v>0.16197085374599185</v>
      </c>
      <c r="CC102" s="525">
        <f t="shared" si="62"/>
        <v>0.28706558067926824</v>
      </c>
      <c r="CD102" s="417">
        <f t="shared" si="28"/>
        <v>0.16197085374599185</v>
      </c>
      <c r="CE102" s="525">
        <f t="shared" si="63"/>
        <v>0.28706558067926824</v>
      </c>
      <c r="CF102" s="1"/>
      <c r="CG102" s="527">
        <f t="shared" si="64"/>
        <v>1449.2899966646964</v>
      </c>
      <c r="CH102" s="528">
        <f t="shared" si="65"/>
        <v>594.18386729423366</v>
      </c>
      <c r="CI102" s="528">
        <f t="shared" si="66"/>
        <v>2367.919398286801</v>
      </c>
      <c r="CJ102" s="528">
        <f t="shared" si="67"/>
        <v>3204.4549700573743</v>
      </c>
      <c r="CK102" s="528">
        <f t="shared" si="68"/>
        <v>41.39945492016858</v>
      </c>
      <c r="CL102" s="528">
        <f t="shared" si="69"/>
        <v>7657.2476872232737</v>
      </c>
      <c r="CM102" s="646">
        <f t="shared" si="70"/>
        <v>0</v>
      </c>
    </row>
    <row r="103" spans="1:91" s="4" customFormat="1">
      <c r="A103" s="150">
        <f>'Input data'!A123</f>
        <v>2023</v>
      </c>
      <c r="B103" s="1506">
        <f>'Input data'!B123</f>
        <v>62.126086164056694</v>
      </c>
      <c r="C103" s="1507">
        <f>'Input data'!C123</f>
        <v>4511.7199999999984</v>
      </c>
      <c r="D103" s="1507">
        <f>'Input data'!D123</f>
        <v>48748213.106871188</v>
      </c>
      <c r="E103" s="1455">
        <f t="shared" si="71"/>
        <v>0.84643076923076943</v>
      </c>
      <c r="F103" s="1449">
        <f t="shared" si="72"/>
        <v>0.32543846153846145</v>
      </c>
      <c r="G103" s="1554">
        <f>B103*F103*'Input data'!$C$9</f>
        <v>618.82082392987854</v>
      </c>
      <c r="H103" s="1549">
        <f>'Input data'!I123</f>
        <v>424.26313389388866</v>
      </c>
      <c r="I103" s="1557">
        <f>'Input data'!K123</f>
        <v>26357.808012524449</v>
      </c>
      <c r="J103" s="1557">
        <f>($J$107-$J$102)/($A$107-$A$102)+J102</f>
        <v>5237.6947965215732</v>
      </c>
      <c r="K103" s="1511">
        <f t="shared" si="73"/>
        <v>7011.2648386472447</v>
      </c>
      <c r="L103" s="1504">
        <f t="shared" si="74"/>
        <v>0.63538461538461555</v>
      </c>
      <c r="M103" s="1504">
        <f t="shared" si="29"/>
        <v>0.51223076923076927</v>
      </c>
      <c r="N103" s="1504">
        <f t="shared" si="75"/>
        <v>0.79876923076923056</v>
      </c>
      <c r="O103" s="1504">
        <f t="shared" si="76"/>
        <v>0.84615384615384603</v>
      </c>
      <c r="P103" s="1449">
        <f t="shared" si="30"/>
        <v>0.23600000000000002</v>
      </c>
      <c r="Q103" s="1508">
        <f t="shared" si="31"/>
        <v>130.25671524117115</v>
      </c>
      <c r="R103" s="1509">
        <f t="shared" si="32"/>
        <v>90.897184343246295</v>
      </c>
      <c r="S103" s="1509">
        <f t="shared" si="33"/>
        <v>266.18459890265058</v>
      </c>
      <c r="T103" s="1509">
        <f t="shared" si="34"/>
        <v>179.23204562264391</v>
      </c>
      <c r="U103" s="1511">
        <f t="shared" si="35"/>
        <v>0</v>
      </c>
      <c r="V103" s="1509">
        <f t="shared" si="9"/>
        <v>666.57054410971193</v>
      </c>
      <c r="W103" s="1454">
        <f>($N$147-$N$142)/($A$107-$A$102)+W102</f>
        <v>0.5</v>
      </c>
      <c r="X103" s="530">
        <f t="shared" si="36"/>
        <v>3033.4854703020706</v>
      </c>
      <c r="Y103" s="528">
        <f t="shared" si="77"/>
        <v>3700.0560144117826</v>
      </c>
      <c r="Z103" s="528">
        <f t="shared" si="78"/>
        <v>8548.9036207570352</v>
      </c>
      <c r="AA103" s="530">
        <f t="shared" si="79"/>
        <v>3311.2088242354621</v>
      </c>
      <c r="AB103" s="1091">
        <f t="shared" si="37"/>
        <v>0.38732555320845258</v>
      </c>
      <c r="AC103" s="135" t="str">
        <f t="shared" si="38"/>
        <v>Yes</v>
      </c>
      <c r="AD103" s="1091">
        <f t="shared" si="39"/>
        <v>0.38732555320845258</v>
      </c>
      <c r="AE103" s="649">
        <f t="shared" si="10"/>
        <v>0.18321939450095748</v>
      </c>
      <c r="AF103" s="530">
        <f t="shared" si="11"/>
        <v>346.52989939277177</v>
      </c>
      <c r="AG103" s="527">
        <f t="shared" si="40"/>
        <v>5237.6947965215732</v>
      </c>
      <c r="AH103" s="528">
        <f t="shared" si="80"/>
        <v>7891.6295643697349</v>
      </c>
      <c r="AI103" s="528">
        <f t="shared" si="81"/>
        <v>6437.6604656145792</v>
      </c>
      <c r="AJ103" s="528">
        <f t="shared" si="12"/>
        <v>1961.5615615913489</v>
      </c>
      <c r="AK103" s="528">
        <f t="shared" si="41"/>
        <v>21528.546388097235</v>
      </c>
      <c r="AL103" s="716">
        <f t="shared" si="13"/>
        <v>0</v>
      </c>
      <c r="AM103" s="417">
        <f t="shared" si="42"/>
        <v>0.24329068493994582</v>
      </c>
      <c r="AN103" s="417">
        <f t="shared" si="43"/>
        <v>0.36656583413048649</v>
      </c>
      <c r="AO103" s="417">
        <f t="shared" si="44"/>
        <v>0.29902903566094235</v>
      </c>
      <c r="AP103" s="417">
        <f t="shared" si="45"/>
        <v>9.1114445268625416E-2</v>
      </c>
      <c r="AQ103" s="417">
        <f t="shared" si="46"/>
        <v>1.0000000000000002</v>
      </c>
      <c r="AR103" s="1086">
        <f t="shared" si="14"/>
        <v>981.84340443840131</v>
      </c>
      <c r="AS103" s="938">
        <f t="shared" si="15"/>
        <v>1245.2430614181599</v>
      </c>
      <c r="AT103" s="938">
        <f t="shared" si="16"/>
        <v>362.95468503975138</v>
      </c>
      <c r="AU103" s="938">
        <f t="shared" si="17"/>
        <v>0</v>
      </c>
      <c r="AV103" s="938">
        <f t="shared" si="18"/>
        <v>0</v>
      </c>
      <c r="AW103" s="938">
        <f t="shared" si="19"/>
        <v>0</v>
      </c>
      <c r="AX103" s="938">
        <f t="shared" si="20"/>
        <v>1884.5346381560416</v>
      </c>
      <c r="AY103" s="938">
        <f t="shared" si="21"/>
        <v>216.77035920501751</v>
      </c>
      <c r="AZ103" s="938">
        <f t="shared" si="22"/>
        <v>232.93577922368323</v>
      </c>
      <c r="BA103" s="938">
        <f t="shared" si="23"/>
        <v>238.32236986045115</v>
      </c>
      <c r="BB103" s="938">
        <f t="shared" si="24"/>
        <v>75.090499180067056</v>
      </c>
      <c r="BC103" s="530">
        <f t="shared" si="47"/>
        <v>5237.6947965215741</v>
      </c>
      <c r="BD103" s="724">
        <f t="shared" si="48"/>
        <v>0</v>
      </c>
      <c r="BE103" s="436">
        <f t="shared" si="49"/>
        <v>0.18745716246972946</v>
      </c>
      <c r="BF103" s="624">
        <f t="shared" si="50"/>
        <v>0.2377463960376506</v>
      </c>
      <c r="BG103" s="624">
        <f t="shared" si="51"/>
        <v>6.9296646547789428E-2</v>
      </c>
      <c r="BH103" s="624">
        <f t="shared" si="52"/>
        <v>0</v>
      </c>
      <c r="BI103" s="624">
        <f t="shared" si="53"/>
        <v>0</v>
      </c>
      <c r="BJ103" s="624">
        <f t="shared" si="54"/>
        <v>0</v>
      </c>
      <c r="BK103" s="624">
        <f t="shared" si="55"/>
        <v>0.50549979494483033</v>
      </c>
      <c r="BL103" s="624">
        <f t="shared" si="56"/>
        <v>0.99999999999999978</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94.162728281018403</v>
      </c>
      <c r="BW103" s="114">
        <f t="shared" si="59"/>
        <v>0.53940726161435248</v>
      </c>
      <c r="BX103" s="1686">
        <f t="shared" si="25"/>
        <v>48.748213106871191</v>
      </c>
      <c r="BY103" s="527">
        <f t="shared" si="60"/>
        <v>94.162728281018403</v>
      </c>
      <c r="BZ103" s="417">
        <f t="shared" si="61"/>
        <v>0.53940726161435248</v>
      </c>
      <c r="CA103" s="544">
        <f t="shared" si="26"/>
        <v>48.748213106871191</v>
      </c>
      <c r="CB103" s="649">
        <f t="shared" si="27"/>
        <v>0.18321939450095748</v>
      </c>
      <c r="CC103" s="525">
        <f t="shared" si="62"/>
        <v>0.29501172793092756</v>
      </c>
      <c r="CD103" s="417">
        <f t="shared" si="28"/>
        <v>0.18321939450095748</v>
      </c>
      <c r="CE103" s="525">
        <f t="shared" si="63"/>
        <v>0.29501172793092756</v>
      </c>
      <c r="CF103"/>
      <c r="CG103" s="527">
        <f t="shared" si="64"/>
        <v>1494.3339831834307</v>
      </c>
      <c r="CH103" s="528">
        <f t="shared" si="65"/>
        <v>618.90015392809494</v>
      </c>
      <c r="CI103" s="528">
        <f t="shared" si="66"/>
        <v>2450.4085771322084</v>
      </c>
      <c r="CJ103" s="528">
        <f t="shared" si="67"/>
        <v>3285.9208364151477</v>
      </c>
      <c r="CK103" s="528">
        <f t="shared" si="68"/>
        <v>42.066013710852879</v>
      </c>
      <c r="CL103" s="528">
        <f t="shared" si="69"/>
        <v>7891.6295643697349</v>
      </c>
      <c r="CM103" s="646">
        <f t="shared" si="70"/>
        <v>0</v>
      </c>
    </row>
    <row r="104" spans="1:91" s="4" customFormat="1">
      <c r="A104" s="150">
        <f>'Input data'!A124</f>
        <v>2024</v>
      </c>
      <c r="B104" s="1506">
        <f>'Input data'!B124</f>
        <v>63.126357518916684</v>
      </c>
      <c r="C104" s="1507">
        <f>'Input data'!C124</f>
        <v>4622.4800000000005</v>
      </c>
      <c r="D104" s="1507">
        <f>'Input data'!D124</f>
        <v>46900203.343432628</v>
      </c>
      <c r="E104" s="1455">
        <f t="shared" si="71"/>
        <v>0.868369230769231</v>
      </c>
      <c r="F104" s="1449">
        <f t="shared" si="72"/>
        <v>0.33141153846153837</v>
      </c>
      <c r="G104" s="1554">
        <f>B104*F104*'Input data'!$C$9</f>
        <v>640.32491759242828</v>
      </c>
      <c r="H104" s="1549">
        <f>'Input data'!I124</f>
        <v>424.26313389388866</v>
      </c>
      <c r="I104" s="1557">
        <f>'Input data'!K124</f>
        <v>26782.186272281633</v>
      </c>
      <c r="J104" s="1557">
        <f t="shared" ref="J104:J106" si="84">($J$107-$J$102)/($A$107-$A$102)+J103</f>
        <v>4903.3738520627494</v>
      </c>
      <c r="K104" s="1511">
        <f t="shared" si="73"/>
        <v>7542.8021893921659</v>
      </c>
      <c r="L104" s="1504">
        <f t="shared" si="74"/>
        <v>0.64461538461538481</v>
      </c>
      <c r="M104" s="1504">
        <f t="shared" si="29"/>
        <v>0.52476923076923077</v>
      </c>
      <c r="N104" s="1504">
        <f t="shared" si="75"/>
        <v>0.81323076923076898</v>
      </c>
      <c r="O104" s="1504">
        <f t="shared" si="76"/>
        <v>0.8538461538461537</v>
      </c>
      <c r="P104" s="1449">
        <f t="shared" si="30"/>
        <v>0.23600000000000002</v>
      </c>
      <c r="Q104" s="1508">
        <f t="shared" si="31"/>
        <v>154.41292427167764</v>
      </c>
      <c r="R104" s="1509">
        <f t="shared" si="32"/>
        <v>107.75413779255246</v>
      </c>
      <c r="S104" s="1509">
        <f t="shared" si="33"/>
        <v>315.54873955281846</v>
      </c>
      <c r="T104" s="1509">
        <f t="shared" si="34"/>
        <v>212.47076771854199</v>
      </c>
      <c r="U104" s="1511">
        <f t="shared" si="35"/>
        <v>0</v>
      </c>
      <c r="V104" s="1509">
        <f t="shared" si="9"/>
        <v>790.18656933559055</v>
      </c>
      <c r="W104" s="1454">
        <f>($N$147-$N$142)/($A$107-$A$102)+W103</f>
        <v>0.5</v>
      </c>
      <c r="X104" s="530">
        <f t="shared" si="36"/>
        <v>3033.4854703020706</v>
      </c>
      <c r="Y104" s="528">
        <f t="shared" si="77"/>
        <v>3823.6720396376613</v>
      </c>
      <c r="Z104" s="528">
        <f t="shared" si="78"/>
        <v>8622.5040018172549</v>
      </c>
      <c r="AA104" s="530">
        <f t="shared" si="79"/>
        <v>3719.1301497545055</v>
      </c>
      <c r="AB104" s="1091">
        <f t="shared" si="37"/>
        <v>0.43132831819743683</v>
      </c>
      <c r="AC104" s="135" t="str">
        <f t="shared" si="38"/>
        <v>Yes</v>
      </c>
      <c r="AD104" s="1091">
        <f t="shared" si="39"/>
        <v>0.43132831819743683</v>
      </c>
      <c r="AE104" s="649">
        <f t="shared" si="10"/>
        <v>0.20385129219747689</v>
      </c>
      <c r="AF104" s="530">
        <f t="shared" si="11"/>
        <v>337.77654581786828</v>
      </c>
      <c r="AG104" s="527">
        <f t="shared" si="40"/>
        <v>4903.3738520627494</v>
      </c>
      <c r="AH104" s="528">
        <f t="shared" si="80"/>
        <v>8131.5738507394826</v>
      </c>
      <c r="AI104" s="528">
        <f t="shared" si="81"/>
        <v>6437.6604656145792</v>
      </c>
      <c r="AJ104" s="528">
        <f t="shared" si="12"/>
        <v>1849.9948243866861</v>
      </c>
      <c r="AK104" s="528">
        <f t="shared" si="41"/>
        <v>21322.602992803495</v>
      </c>
      <c r="AL104" s="716">
        <f t="shared" si="13"/>
        <v>0</v>
      </c>
      <c r="AM104" s="417">
        <f t="shared" si="42"/>
        <v>0.2299613163419901</v>
      </c>
      <c r="AN104" s="417">
        <f t="shared" si="43"/>
        <v>0.38135934217243256</v>
      </c>
      <c r="AO104" s="417">
        <f t="shared" si="44"/>
        <v>0.30191719405868633</v>
      </c>
      <c r="AP104" s="417">
        <f t="shared" si="45"/>
        <v>8.676214742689109E-2</v>
      </c>
      <c r="AQ104" s="417">
        <f t="shared" si="46"/>
        <v>1</v>
      </c>
      <c r="AR104" s="1086">
        <f t="shared" si="14"/>
        <v>938.24442039761743</v>
      </c>
      <c r="AS104" s="938">
        <f t="shared" si="15"/>
        <v>1189.9477545329235</v>
      </c>
      <c r="AT104" s="938">
        <f t="shared" si="16"/>
        <v>329.76677392625965</v>
      </c>
      <c r="AU104" s="938">
        <f t="shared" si="17"/>
        <v>0</v>
      </c>
      <c r="AV104" s="938">
        <f t="shared" si="18"/>
        <v>0</v>
      </c>
      <c r="AW104" s="938">
        <f t="shared" si="19"/>
        <v>0</v>
      </c>
      <c r="AX104" s="938">
        <f t="shared" si="20"/>
        <v>1777.3489220178901</v>
      </c>
      <c r="AY104" s="938">
        <f t="shared" si="21"/>
        <v>195.68740385566747</v>
      </c>
      <c r="AZ104" s="938">
        <f t="shared" si="22"/>
        <v>194.05240499705002</v>
      </c>
      <c r="BA104" s="938">
        <f t="shared" si="23"/>
        <v>207.506557206341</v>
      </c>
      <c r="BB104" s="938">
        <f t="shared" si="24"/>
        <v>70.819615128998564</v>
      </c>
      <c r="BC104" s="530">
        <f t="shared" si="47"/>
        <v>4903.3738520627476</v>
      </c>
      <c r="BD104" s="724">
        <f t="shared" si="48"/>
        <v>0</v>
      </c>
      <c r="BE104" s="436">
        <f t="shared" si="49"/>
        <v>0.19134670304670273</v>
      </c>
      <c r="BF104" s="624">
        <f t="shared" si="50"/>
        <v>0.24267938575239112</v>
      </c>
      <c r="BG104" s="624">
        <f t="shared" si="51"/>
        <v>6.7253035129584013E-2</v>
      </c>
      <c r="BH104" s="624">
        <f t="shared" si="52"/>
        <v>0</v>
      </c>
      <c r="BI104" s="624">
        <f t="shared" si="53"/>
        <v>0</v>
      </c>
      <c r="BJ104" s="624">
        <f t="shared" si="54"/>
        <v>0</v>
      </c>
      <c r="BK104" s="624">
        <f t="shared" si="55"/>
        <v>0.49872087607132221</v>
      </c>
      <c r="BL104" s="624">
        <f t="shared" si="56"/>
        <v>1</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92.676702115943286</v>
      </c>
      <c r="BW104" s="114">
        <f t="shared" si="59"/>
        <v>0.5644027417852433</v>
      </c>
      <c r="BX104" s="1686">
        <f t="shared" si="25"/>
        <v>46.900203343432629</v>
      </c>
      <c r="BY104" s="527">
        <f t="shared" si="60"/>
        <v>92.676702115943286</v>
      </c>
      <c r="BZ104" s="417">
        <f t="shared" si="61"/>
        <v>0.5644027417852433</v>
      </c>
      <c r="CA104" s="544">
        <f t="shared" si="26"/>
        <v>46.900203343432629</v>
      </c>
      <c r="CB104" s="649">
        <f t="shared" si="27"/>
        <v>0.20385129219747689</v>
      </c>
      <c r="CC104" s="525">
        <f t="shared" si="62"/>
        <v>0.30395392590951709</v>
      </c>
      <c r="CD104" s="417">
        <f t="shared" si="28"/>
        <v>0.20385129219747689</v>
      </c>
      <c r="CE104" s="525">
        <f t="shared" si="63"/>
        <v>0.30395392590951709</v>
      </c>
      <c r="CF104"/>
      <c r="CG104" s="527">
        <f t="shared" si="64"/>
        <v>1540.4527445198271</v>
      </c>
      <c r="CH104" s="528">
        <f t="shared" si="65"/>
        <v>644.25830676668909</v>
      </c>
      <c r="CI104" s="528">
        <f t="shared" si="66"/>
        <v>2534.9401782313071</v>
      </c>
      <c r="CJ104" s="528">
        <f t="shared" si="67"/>
        <v>3369.1793166797529</v>
      </c>
      <c r="CK104" s="528">
        <f t="shared" si="68"/>
        <v>42.743304541905701</v>
      </c>
      <c r="CL104" s="528">
        <f t="shared" si="69"/>
        <v>8131.5738507394817</v>
      </c>
      <c r="CM104" s="646">
        <f t="shared" si="70"/>
        <v>0</v>
      </c>
    </row>
    <row r="105" spans="1:91" s="4" customFormat="1">
      <c r="A105" s="150">
        <f>'Input data'!A125</f>
        <v>2025</v>
      </c>
      <c r="B105" s="1506">
        <f>'Input data'!B125</f>
        <v>64.142733908636146</v>
      </c>
      <c r="C105" s="1507">
        <f>'Input data'!C125</f>
        <v>4727.3100000000004</v>
      </c>
      <c r="D105" s="1507">
        <f>'Input data'!D125</f>
        <v>41859241.005426526</v>
      </c>
      <c r="E105" s="1455">
        <f t="shared" si="71"/>
        <v>0.89030769230769258</v>
      </c>
      <c r="F105" s="1449">
        <f t="shared" si="72"/>
        <v>0.33738461538461528</v>
      </c>
      <c r="G105" s="1554">
        <f>B105*F105*'Input data'!$C$9</f>
        <v>662.36105389447937</v>
      </c>
      <c r="H105" s="1549">
        <f>'Input data'!I125</f>
        <v>424.26313389388866</v>
      </c>
      <c r="I105" s="1557">
        <f>'Input data'!K125</f>
        <v>27213.39730459977</v>
      </c>
      <c r="J105" s="1557">
        <f t="shared" si="84"/>
        <v>4569.0529076039256</v>
      </c>
      <c r="K105" s="1511">
        <f t="shared" si="73"/>
        <v>8077.5148555979013</v>
      </c>
      <c r="L105" s="1504">
        <f t="shared" si="74"/>
        <v>0.65384615384615408</v>
      </c>
      <c r="M105" s="1504">
        <f t="shared" si="29"/>
        <v>0.53730769230769226</v>
      </c>
      <c r="N105" s="1504">
        <f t="shared" si="75"/>
        <v>0.82769230769230739</v>
      </c>
      <c r="O105" s="1504">
        <f t="shared" si="76"/>
        <v>0.86153846153846136</v>
      </c>
      <c r="P105" s="1449">
        <f t="shared" si="30"/>
        <v>0.23600000000000002</v>
      </c>
      <c r="Q105" s="1508">
        <f t="shared" si="31"/>
        <v>179.31322876650711</v>
      </c>
      <c r="R105" s="1509">
        <f t="shared" si="32"/>
        <v>125.13034418374559</v>
      </c>
      <c r="S105" s="1509">
        <f t="shared" si="33"/>
        <v>366.43346785445056</v>
      </c>
      <c r="T105" s="1509">
        <f t="shared" si="34"/>
        <v>246.73335834945055</v>
      </c>
      <c r="U105" s="1511">
        <f t="shared" si="35"/>
        <v>0</v>
      </c>
      <c r="V105" s="1509">
        <f t="shared" si="9"/>
        <v>917.61039915415381</v>
      </c>
      <c r="W105" s="1454">
        <f>($N$147-$N$142)/($A$107-$A$102)+W104</f>
        <v>0.5</v>
      </c>
      <c r="X105" s="530">
        <f t="shared" si="36"/>
        <v>3033.4854703020706</v>
      </c>
      <c r="Y105" s="528">
        <f t="shared" si="77"/>
        <v>3951.0958694562241</v>
      </c>
      <c r="Z105" s="528">
        <f t="shared" si="78"/>
        <v>8695.4718937456018</v>
      </c>
      <c r="AA105" s="530">
        <f t="shared" si="79"/>
        <v>4126.4189861416762</v>
      </c>
      <c r="AB105" s="1091">
        <f t="shared" si="37"/>
        <v>0.47454802183992895</v>
      </c>
      <c r="AC105" s="135" t="str">
        <f t="shared" si="38"/>
        <v>Yes</v>
      </c>
      <c r="AD105" s="1091">
        <f t="shared" si="39"/>
        <v>0.47454802183992895</v>
      </c>
      <c r="AE105" s="649">
        <f t="shared" si="10"/>
        <v>0.22388125627716271</v>
      </c>
      <c r="AF105" s="530">
        <f t="shared" si="11"/>
        <v>329.2785704856388</v>
      </c>
      <c r="AG105" s="527">
        <f t="shared" si="40"/>
        <v>4569.0529076039256</v>
      </c>
      <c r="AH105" s="528">
        <f t="shared" si="80"/>
        <v>8377.1989041653123</v>
      </c>
      <c r="AI105" s="528">
        <f t="shared" si="81"/>
        <v>6437.6604656145792</v>
      </c>
      <c r="AJ105" s="528">
        <f t="shared" si="12"/>
        <v>1736.9154510926014</v>
      </c>
      <c r="AK105" s="528">
        <f t="shared" si="41"/>
        <v>21120.827728476419</v>
      </c>
      <c r="AL105" s="716">
        <f t="shared" si="13"/>
        <v>0</v>
      </c>
      <c r="AM105" s="417">
        <f t="shared" si="42"/>
        <v>0.21632925405871489</v>
      </c>
      <c r="AN105" s="417">
        <f t="shared" si="43"/>
        <v>0.39663213070341224</v>
      </c>
      <c r="AO105" s="417">
        <f t="shared" si="44"/>
        <v>0.30480152332926436</v>
      </c>
      <c r="AP105" s="417">
        <f t="shared" si="45"/>
        <v>8.2237091908608465E-2</v>
      </c>
      <c r="AQ105" s="417">
        <f t="shared" si="46"/>
        <v>1</v>
      </c>
      <c r="AR105" s="1086">
        <f t="shared" si="14"/>
        <v>892.20922375276882</v>
      </c>
      <c r="AS105" s="938">
        <f t="shared" si="15"/>
        <v>1131.5626709810228</v>
      </c>
      <c r="AT105" s="938">
        <f t="shared" si="16"/>
        <v>297.83249666046896</v>
      </c>
      <c r="AU105" s="938">
        <f t="shared" si="17"/>
        <v>0</v>
      </c>
      <c r="AV105" s="938">
        <f t="shared" si="18"/>
        <v>0</v>
      </c>
      <c r="AW105" s="938">
        <f t="shared" si="19"/>
        <v>0</v>
      </c>
      <c r="AX105" s="938">
        <f t="shared" si="20"/>
        <v>1668.7099682341516</v>
      </c>
      <c r="AY105" s="938">
        <f t="shared" si="21"/>
        <v>175.50742798428993</v>
      </c>
      <c r="AZ105" s="938">
        <f t="shared" si="22"/>
        <v>158.12321659327159</v>
      </c>
      <c r="BA105" s="938">
        <f t="shared" si="23"/>
        <v>178.61707751211677</v>
      </c>
      <c r="BB105" s="938">
        <f t="shared" si="24"/>
        <v>66.490825885833857</v>
      </c>
      <c r="BC105" s="530">
        <f t="shared" si="47"/>
        <v>4569.0529076039247</v>
      </c>
      <c r="BD105" s="724">
        <f t="shared" si="48"/>
        <v>0</v>
      </c>
      <c r="BE105" s="436">
        <f t="shared" si="49"/>
        <v>0.19527224608582083</v>
      </c>
      <c r="BF105" s="624">
        <f t="shared" si="50"/>
        <v>0.24765803632911534</v>
      </c>
      <c r="BG105" s="624">
        <f t="shared" si="51"/>
        <v>6.5184733616196297E-2</v>
      </c>
      <c r="BH105" s="624">
        <f t="shared" si="52"/>
        <v>0</v>
      </c>
      <c r="BI105" s="624">
        <f t="shared" si="53"/>
        <v>0</v>
      </c>
      <c r="BJ105" s="624">
        <f t="shared" si="54"/>
        <v>0</v>
      </c>
      <c r="BK105" s="624">
        <f t="shared" si="55"/>
        <v>0.49188498396886748</v>
      </c>
      <c r="BL105" s="624">
        <f t="shared" si="56"/>
        <v>0.99999999999999989</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87.971485159557005</v>
      </c>
      <c r="BW105" s="114">
        <f t="shared" si="59"/>
        <v>0.60062536111064291</v>
      </c>
      <c r="BX105" s="1686">
        <f t="shared" si="25"/>
        <v>41.859241005426526</v>
      </c>
      <c r="BY105" s="527">
        <f t="shared" si="60"/>
        <v>87.971485159557005</v>
      </c>
      <c r="BZ105" s="417">
        <f t="shared" si="61"/>
        <v>0.60062536111064291</v>
      </c>
      <c r="CA105" s="544">
        <f t="shared" si="26"/>
        <v>41.859241005426526</v>
      </c>
      <c r="CB105" s="649">
        <f t="shared" si="27"/>
        <v>0.22388125627716271</v>
      </c>
      <c r="CC105" s="525">
        <f t="shared" si="62"/>
        <v>0.3229197158617535</v>
      </c>
      <c r="CD105" s="417">
        <f t="shared" si="28"/>
        <v>0.22388125627716271</v>
      </c>
      <c r="CE105" s="525">
        <f t="shared" si="63"/>
        <v>0.3229197158617535</v>
      </c>
      <c r="CF105"/>
      <c r="CG105" s="527">
        <f t="shared" si="64"/>
        <v>1587.6692130367783</v>
      </c>
      <c r="CH105" s="528">
        <f t="shared" si="65"/>
        <v>670.27258751799377</v>
      </c>
      <c r="CI105" s="528">
        <f t="shared" si="66"/>
        <v>2621.5585865118987</v>
      </c>
      <c r="CJ105" s="528">
        <f t="shared" si="67"/>
        <v>3454.2670168923178</v>
      </c>
      <c r="CK105" s="528">
        <f t="shared" si="68"/>
        <v>43.431500206323115</v>
      </c>
      <c r="CL105" s="528">
        <f t="shared" si="69"/>
        <v>8377.1989041653123</v>
      </c>
      <c r="CM105" s="646">
        <f t="shared" si="70"/>
        <v>0</v>
      </c>
    </row>
    <row r="106" spans="1:91" s="4" customFormat="1">
      <c r="A106" s="150">
        <f>'Input data'!A126</f>
        <v>2026</v>
      </c>
      <c r="B106" s="1506">
        <f>'Input data'!B126</f>
        <v>65.115730264701668</v>
      </c>
      <c r="C106" s="1507">
        <f>'Input data'!C126</f>
        <v>4818.42</v>
      </c>
      <c r="D106" s="1507">
        <f>'Input data'!D126</f>
        <v>37757514.205797322</v>
      </c>
      <c r="E106" s="1455">
        <f t="shared" si="71"/>
        <v>0.91224615384615415</v>
      </c>
      <c r="F106" s="1449">
        <f t="shared" si="72"/>
        <v>0.3433576923076922</v>
      </c>
      <c r="G106" s="1554">
        <f>B106*F106*'Input data'!$C$9</f>
        <v>684.31292644234668</v>
      </c>
      <c r="H106" s="1549">
        <f>'Input data'!I126</f>
        <v>424.26313389388866</v>
      </c>
      <c r="I106" s="1557">
        <f>'Input data'!K126</f>
        <v>27626.203787891463</v>
      </c>
      <c r="J106" s="1557">
        <f t="shared" si="84"/>
        <v>4234.7319631451019</v>
      </c>
      <c r="K106" s="1511">
        <f t="shared" si="73"/>
        <v>8603.6745883418989</v>
      </c>
      <c r="L106" s="1504">
        <f t="shared" si="74"/>
        <v>0.66307692307692334</v>
      </c>
      <c r="M106" s="1504">
        <f t="shared" si="29"/>
        <v>0.54984615384615376</v>
      </c>
      <c r="N106" s="1504">
        <f t="shared" si="75"/>
        <v>0.84215384615384581</v>
      </c>
      <c r="O106" s="1504">
        <f t="shared" si="76"/>
        <v>0.86923076923076903</v>
      </c>
      <c r="P106" s="1449">
        <f t="shared" si="30"/>
        <v>0.23600000000000002</v>
      </c>
      <c r="Q106" s="1508">
        <f t="shared" si="31"/>
        <v>204.78743290891521</v>
      </c>
      <c r="R106" s="1509">
        <f t="shared" si="32"/>
        <v>142.90703558612518</v>
      </c>
      <c r="S106" s="1509">
        <f t="shared" si="33"/>
        <v>418.49098212122908</v>
      </c>
      <c r="T106" s="1509">
        <f t="shared" si="34"/>
        <v>281.78562963234708</v>
      </c>
      <c r="U106" s="1511">
        <f t="shared" si="35"/>
        <v>0</v>
      </c>
      <c r="V106" s="1509">
        <f t="shared" si="9"/>
        <v>1047.9710802486165</v>
      </c>
      <c r="W106" s="1454">
        <f>($N$147-$N$142)/($A$107-$A$102)+W105</f>
        <v>0.5</v>
      </c>
      <c r="X106" s="530">
        <f t="shared" si="36"/>
        <v>3033.4854703020706</v>
      </c>
      <c r="Y106" s="528">
        <f t="shared" si="77"/>
        <v>4081.4565505506871</v>
      </c>
      <c r="Z106" s="528">
        <f t="shared" si="78"/>
        <v>8756.9500009363146</v>
      </c>
      <c r="AA106" s="530">
        <f t="shared" si="79"/>
        <v>4522.2180377912127</v>
      </c>
      <c r="AB106" s="1091">
        <f t="shared" si="37"/>
        <v>0.51641473770064761</v>
      </c>
      <c r="AC106" s="135" t="str">
        <f t="shared" si="38"/>
        <v>Yes</v>
      </c>
      <c r="AD106" s="1091">
        <f t="shared" si="39"/>
        <v>0.51641473770064761</v>
      </c>
      <c r="AE106" s="649">
        <f t="shared" si="10"/>
        <v>0.24289710140574805</v>
      </c>
      <c r="AF106" s="530">
        <f t="shared" si="11"/>
        <v>321.21084843774435</v>
      </c>
      <c r="AG106" s="527">
        <f t="shared" si="40"/>
        <v>4234.7319631451019</v>
      </c>
      <c r="AH106" s="528">
        <f t="shared" si="80"/>
        <v>8620.7158539567481</v>
      </c>
      <c r="AI106" s="528">
        <f t="shared" si="81"/>
        <v>6437.6604656145792</v>
      </c>
      <c r="AJ106" s="528">
        <f t="shared" si="12"/>
        <v>1622.7706822517018</v>
      </c>
      <c r="AK106" s="528">
        <f t="shared" si="41"/>
        <v>20915.878964968131</v>
      </c>
      <c r="AL106" s="716">
        <f t="shared" si="13"/>
        <v>0</v>
      </c>
      <c r="AM106" s="417">
        <f t="shared" si="42"/>
        <v>0.20246492964688823</v>
      </c>
      <c r="AN106" s="417">
        <f t="shared" si="43"/>
        <v>0.41216129947947816</v>
      </c>
      <c r="AO106" s="417">
        <f t="shared" si="44"/>
        <v>0.30778818697492821</v>
      </c>
      <c r="AP106" s="417">
        <f t="shared" si="45"/>
        <v>7.7585583898705374E-2</v>
      </c>
      <c r="AQ106" s="417">
        <f t="shared" si="46"/>
        <v>1</v>
      </c>
      <c r="AR106" s="1086">
        <f t="shared" si="14"/>
        <v>843.38629930862862</v>
      </c>
      <c r="AS106" s="938">
        <f t="shared" si="15"/>
        <v>1069.641994397181</v>
      </c>
      <c r="AT106" s="938">
        <f t="shared" si="16"/>
        <v>267.2562802352889</v>
      </c>
      <c r="AU106" s="938">
        <f t="shared" si="17"/>
        <v>0</v>
      </c>
      <c r="AV106" s="938">
        <f t="shared" si="18"/>
        <v>0</v>
      </c>
      <c r="AW106" s="938">
        <f t="shared" si="19"/>
        <v>0</v>
      </c>
      <c r="AX106" s="938">
        <f t="shared" si="20"/>
        <v>1559.0474550319259</v>
      </c>
      <c r="AY106" s="938">
        <f t="shared" si="21"/>
        <v>156.29497946851095</v>
      </c>
      <c r="AZ106" s="938">
        <f t="shared" si="22"/>
        <v>125.24561247236078</v>
      </c>
      <c r="BA106" s="938">
        <f t="shared" si="23"/>
        <v>151.73808997430231</v>
      </c>
      <c r="BB106" s="938">
        <f t="shared" si="24"/>
        <v>62.12125225690172</v>
      </c>
      <c r="BC106" s="530">
        <f t="shared" si="47"/>
        <v>4234.731963145101</v>
      </c>
      <c r="BD106" s="724">
        <f t="shared" si="48"/>
        <v>0</v>
      </c>
      <c r="BE106" s="436">
        <f t="shared" si="49"/>
        <v>0.19915931082501204</v>
      </c>
      <c r="BF106" s="624">
        <f t="shared" si="50"/>
        <v>0.25258788601174337</v>
      </c>
      <c r="BG106" s="624">
        <f t="shared" si="51"/>
        <v>6.3110553999927738E-2</v>
      </c>
      <c r="BH106" s="624">
        <f t="shared" si="52"/>
        <v>0</v>
      </c>
      <c r="BI106" s="624">
        <f t="shared" si="53"/>
        <v>0</v>
      </c>
      <c r="BJ106" s="624">
        <f t="shared" si="54"/>
        <v>0</v>
      </c>
      <c r="BK106" s="624">
        <f t="shared" si="55"/>
        <v>0.48514224916331672</v>
      </c>
      <c r="BL106" s="624">
        <f t="shared" si="56"/>
        <v>0.99999999999999989</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84.131980311407801</v>
      </c>
      <c r="BW106" s="114">
        <f t="shared" si="59"/>
        <v>0.63365564336219404</v>
      </c>
      <c r="BX106" s="1686">
        <f t="shared" si="25"/>
        <v>37.757514205797321</v>
      </c>
      <c r="BY106" s="527">
        <f t="shared" si="60"/>
        <v>84.131980311407801</v>
      </c>
      <c r="BZ106" s="417">
        <f t="shared" si="61"/>
        <v>0.63365564336219404</v>
      </c>
      <c r="CA106" s="544">
        <f t="shared" si="26"/>
        <v>37.757514205797321</v>
      </c>
      <c r="CB106" s="649">
        <f t="shared" si="27"/>
        <v>0.24289710140574805</v>
      </c>
      <c r="CC106" s="525">
        <f t="shared" si="62"/>
        <v>0.33962889078288261</v>
      </c>
      <c r="CD106" s="417">
        <f t="shared" si="28"/>
        <v>0.24289710140574805</v>
      </c>
      <c r="CE106" s="525">
        <f t="shared" si="63"/>
        <v>0.33962889078288261</v>
      </c>
      <c r="CF106"/>
      <c r="CG106" s="527">
        <f t="shared" si="64"/>
        <v>1634.5071034026316</v>
      </c>
      <c r="CH106" s="528">
        <f t="shared" si="65"/>
        <v>696.31867100860461</v>
      </c>
      <c r="CI106" s="528">
        <f t="shared" si="66"/>
        <v>2707.8246289971808</v>
      </c>
      <c r="CJ106" s="528">
        <f t="shared" si="67"/>
        <v>3537.9751276061484</v>
      </c>
      <c r="CK106" s="528">
        <f t="shared" si="68"/>
        <v>44.090322942182866</v>
      </c>
      <c r="CL106" s="528">
        <f t="shared" si="69"/>
        <v>8620.7158539567499</v>
      </c>
      <c r="CM106" s="646">
        <f t="shared" si="70"/>
        <v>0</v>
      </c>
    </row>
    <row r="107" spans="1:91" s="464" customFormat="1">
      <c r="A107" s="150">
        <f>'Input data'!A127</f>
        <v>2027</v>
      </c>
      <c r="B107" s="1506">
        <f>'Input data'!B127</f>
        <v>66.042835586617315</v>
      </c>
      <c r="C107" s="1507">
        <f>'Input data'!C127</f>
        <v>4908.8799999999992</v>
      </c>
      <c r="D107" s="1507">
        <f>'Input data'!D127</f>
        <v>35019614.880897872</v>
      </c>
      <c r="E107" s="1455">
        <f t="shared" si="71"/>
        <v>0.93418461538461572</v>
      </c>
      <c r="F107" s="1449">
        <f t="shared" si="72"/>
        <v>0.34933076923076911</v>
      </c>
      <c r="G107" s="1554">
        <f>B107*F107*'Input data'!$C$9</f>
        <v>706.12989560384722</v>
      </c>
      <c r="H107" s="1549">
        <f>'Input data'!I127</f>
        <v>424.26313389388866</v>
      </c>
      <c r="I107" s="1557">
        <f>'Input data'!K127</f>
        <v>28019.540397217097</v>
      </c>
      <c r="J107" s="1557">
        <f>J97*(1-$G$5)</f>
        <v>3900.4110186862777</v>
      </c>
      <c r="K107" s="1511">
        <f t="shared" si="73"/>
        <v>9120.7863114714874</v>
      </c>
      <c r="L107" s="1504">
        <f t="shared" si="74"/>
        <v>0.67230769230769261</v>
      </c>
      <c r="M107" s="1504">
        <f t="shared" si="29"/>
        <v>0.56238461538461526</v>
      </c>
      <c r="N107" s="1504">
        <f t="shared" si="75"/>
        <v>0.85661538461538422</v>
      </c>
      <c r="O107" s="1504">
        <f t="shared" si="76"/>
        <v>0.87692307692307669</v>
      </c>
      <c r="P107" s="1449">
        <f t="shared" si="30"/>
        <v>0.23600000000000002</v>
      </c>
      <c r="Q107" s="1508">
        <f t="shared" si="31"/>
        <v>230.78128581952865</v>
      </c>
      <c r="R107" s="1509">
        <f t="shared" si="32"/>
        <v>161.04635404991859</v>
      </c>
      <c r="S107" s="1509">
        <f t="shared" si="33"/>
        <v>471.61041859815305</v>
      </c>
      <c r="T107" s="1509">
        <f t="shared" si="34"/>
        <v>317.5529328547359</v>
      </c>
      <c r="U107" s="1511">
        <f t="shared" si="35"/>
        <v>0</v>
      </c>
      <c r="V107" s="1509">
        <f t="shared" si="9"/>
        <v>1180.9909913223362</v>
      </c>
      <c r="W107" s="1454">
        <f>$C$27</f>
        <v>0.5</v>
      </c>
      <c r="X107" s="530">
        <f t="shared" si="36"/>
        <v>3033.4854703020706</v>
      </c>
      <c r="Y107" s="528">
        <f t="shared" si="77"/>
        <v>4214.4764616244065</v>
      </c>
      <c r="Z107" s="528">
        <f t="shared" si="78"/>
        <v>8806.720868533359</v>
      </c>
      <c r="AA107" s="530">
        <f t="shared" si="79"/>
        <v>4906.3098498470808</v>
      </c>
      <c r="AB107" s="1091">
        <f t="shared" si="37"/>
        <v>0.55710972597955866</v>
      </c>
      <c r="AC107" s="135" t="str">
        <f t="shared" si="38"/>
        <v>Yes</v>
      </c>
      <c r="AD107" s="1091">
        <f t="shared" si="39"/>
        <v>0.55710972597955866</v>
      </c>
      <c r="AE107" s="649">
        <f t="shared" si="10"/>
        <v>0.26098012918869418</v>
      </c>
      <c r="AF107" s="530">
        <f t="shared" si="11"/>
        <v>313.53888640026133</v>
      </c>
      <c r="AG107" s="527">
        <f t="shared" si="40"/>
        <v>3900.4110186862777</v>
      </c>
      <c r="AH107" s="528">
        <f t="shared" si="80"/>
        <v>8861.555057737065</v>
      </c>
      <c r="AI107" s="528">
        <f t="shared" si="81"/>
        <v>6437.6604656145792</v>
      </c>
      <c r="AJ107" s="528">
        <f t="shared" si="12"/>
        <v>1507.3705825056252</v>
      </c>
      <c r="AK107" s="528">
        <f t="shared" si="41"/>
        <v>20706.997124543544</v>
      </c>
      <c r="AL107" s="716">
        <f t="shared" si="13"/>
        <v>0</v>
      </c>
      <c r="AM107" s="417">
        <f t="shared" si="42"/>
        <v>0.18836198195358839</v>
      </c>
      <c r="AN107" s="417">
        <f t="shared" si="43"/>
        <v>0.42794978936050848</v>
      </c>
      <c r="AO107" s="417">
        <f t="shared" si="44"/>
        <v>0.31089300041405632</v>
      </c>
      <c r="AP107" s="417">
        <f t="shared" si="45"/>
        <v>7.2795228271846923E-2</v>
      </c>
      <c r="AQ107" s="417">
        <f t="shared" si="46"/>
        <v>1</v>
      </c>
      <c r="AR107" s="1086">
        <f t="shared" si="14"/>
        <v>791.84364802808568</v>
      </c>
      <c r="AS107" s="938">
        <f t="shared" si="15"/>
        <v>1004.2719683990903</v>
      </c>
      <c r="AT107" s="938">
        <f t="shared" si="16"/>
        <v>238.02980433376032</v>
      </c>
      <c r="AU107" s="938">
        <f t="shared" si="17"/>
        <v>0</v>
      </c>
      <c r="AV107" s="938">
        <f t="shared" si="18"/>
        <v>0</v>
      </c>
      <c r="AW107" s="938">
        <f t="shared" si="19"/>
        <v>0</v>
      </c>
      <c r="AX107" s="938">
        <f t="shared" si="20"/>
        <v>1448.1789054658789</v>
      </c>
      <c r="AY107" s="938">
        <f t="shared" si="21"/>
        <v>138.04778741443795</v>
      </c>
      <c r="AZ107" s="938">
        <f t="shared" si="22"/>
        <v>95.451853845878773</v>
      </c>
      <c r="BA107" s="938">
        <f t="shared" si="23"/>
        <v>126.88342786862439</v>
      </c>
      <c r="BB107" s="938">
        <f t="shared" si="24"/>
        <v>57.70362333052104</v>
      </c>
      <c r="BC107" s="530">
        <f t="shared" si="47"/>
        <v>3900.4110186862777</v>
      </c>
      <c r="BD107" s="724">
        <f t="shared" si="48"/>
        <v>0</v>
      </c>
      <c r="BE107" s="436">
        <f t="shared" si="49"/>
        <v>0.20301543715123427</v>
      </c>
      <c r="BF107" s="624">
        <f t="shared" si="50"/>
        <v>0.25747849741675316</v>
      </c>
      <c r="BG107" s="624">
        <f t="shared" si="51"/>
        <v>6.1026851578819673E-2</v>
      </c>
      <c r="BH107" s="624">
        <f t="shared" si="52"/>
        <v>0</v>
      </c>
      <c r="BI107" s="624">
        <f t="shared" si="53"/>
        <v>0</v>
      </c>
      <c r="BJ107" s="624">
        <f t="shared" si="54"/>
        <v>0</v>
      </c>
      <c r="BK107" s="624">
        <f t="shared" si="55"/>
        <v>0.47847921385319281</v>
      </c>
      <c r="BL107" s="624">
        <f t="shared" si="56"/>
        <v>0.99999999999999989</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81.855981060852642</v>
      </c>
      <c r="BW107" s="114">
        <f t="shared" si="59"/>
        <v>0.65971565450245506</v>
      </c>
      <c r="BX107" s="1686">
        <f t="shared" si="25"/>
        <v>35.019614880897869</v>
      </c>
      <c r="BY107" s="527">
        <f t="shared" si="60"/>
        <v>81.855981060852642</v>
      </c>
      <c r="BZ107" s="417">
        <f t="shared" si="61"/>
        <v>0.65971565450245506</v>
      </c>
      <c r="CA107" s="544">
        <f t="shared" si="26"/>
        <v>35.019614880897869</v>
      </c>
      <c r="CB107" s="649">
        <f t="shared" si="27"/>
        <v>0.26098012918869418</v>
      </c>
      <c r="CC107" s="525">
        <f t="shared" si="62"/>
        <v>0.35002220753292401</v>
      </c>
      <c r="CD107" s="417">
        <f t="shared" si="28"/>
        <v>0.26098012918869418</v>
      </c>
      <c r="CE107" s="525">
        <f t="shared" si="63"/>
        <v>0.35002220753292401</v>
      </c>
      <c r="CF107" s="1"/>
      <c r="CG107" s="527">
        <f t="shared" si="64"/>
        <v>1680.8570317188946</v>
      </c>
      <c r="CH107" s="528">
        <f t="shared" si="65"/>
        <v>722.33735856377643</v>
      </c>
      <c r="CI107" s="528">
        <f t="shared" si="66"/>
        <v>2793.5391603771532</v>
      </c>
      <c r="CJ107" s="528">
        <f t="shared" si="67"/>
        <v>3620.1034345440071</v>
      </c>
      <c r="CK107" s="528">
        <f t="shared" si="68"/>
        <v>44.718072533234221</v>
      </c>
      <c r="CL107" s="528">
        <f t="shared" si="69"/>
        <v>8861.5550577370668</v>
      </c>
      <c r="CM107" s="646">
        <f t="shared" si="70"/>
        <v>0</v>
      </c>
    </row>
    <row r="108" spans="1:91" s="4" customFormat="1">
      <c r="A108" s="150">
        <f>'Input data'!A128</f>
        <v>2028</v>
      </c>
      <c r="B108" s="1506">
        <f>'Input data'!B128</f>
        <v>66.921626677758155</v>
      </c>
      <c r="C108" s="1507">
        <f>'Input data'!C128</f>
        <v>5001.3400000000011</v>
      </c>
      <c r="D108" s="1507">
        <f>'Input data'!D128</f>
        <v>32897025.730580334</v>
      </c>
      <c r="E108" s="1455">
        <f t="shared" si="71"/>
        <v>0.9561230769230773</v>
      </c>
      <c r="F108" s="1449">
        <f t="shared" si="72"/>
        <v>0.35530384615384603</v>
      </c>
      <c r="G108" s="1554">
        <f>B108*F108*'Input data'!$C$9</f>
        <v>727.76044036839039</v>
      </c>
      <c r="H108" s="1549">
        <f>'Input data'!I128</f>
        <v>424.26313389388866</v>
      </c>
      <c r="I108" s="1557">
        <f>'Input data'!K128</f>
        <v>28392.379059582541</v>
      </c>
      <c r="J108" s="1557">
        <f>($J$112-$J$107)/($A$112-$A$107)+J107</f>
        <v>3566.0900742274539</v>
      </c>
      <c r="K108" s="1511">
        <f t="shared" si="73"/>
        <v>9628.3722605002895</v>
      </c>
      <c r="L108" s="1504">
        <f t="shared" si="74"/>
        <v>0.68153846153846187</v>
      </c>
      <c r="M108" s="1504">
        <f t="shared" si="29"/>
        <v>0.57492307692307676</v>
      </c>
      <c r="N108" s="1504">
        <f t="shared" si="75"/>
        <v>0.87107692307692264</v>
      </c>
      <c r="O108" s="1504">
        <f t="shared" si="76"/>
        <v>0.88461538461538436</v>
      </c>
      <c r="P108" s="1449">
        <f t="shared" si="30"/>
        <v>0.23600000000000002</v>
      </c>
      <c r="Q108" s="1508">
        <f t="shared" si="31"/>
        <v>257.23736433044314</v>
      </c>
      <c r="R108" s="1509">
        <f t="shared" si="32"/>
        <v>179.5082279038196</v>
      </c>
      <c r="S108" s="1509">
        <f t="shared" si="33"/>
        <v>525.674430836802</v>
      </c>
      <c r="T108" s="1509">
        <f t="shared" si="34"/>
        <v>353.95625426419383</v>
      </c>
      <c r="U108" s="1511">
        <f t="shared" si="35"/>
        <v>0</v>
      </c>
      <c r="V108" s="1509">
        <f t="shared" si="9"/>
        <v>1316.3762773352587</v>
      </c>
      <c r="W108" s="1454">
        <f>W107</f>
        <v>0.5</v>
      </c>
      <c r="X108" s="530">
        <f t="shared" si="36"/>
        <v>3033.4854703020706</v>
      </c>
      <c r="Y108" s="528">
        <f t="shared" si="77"/>
        <v>4349.8617476373292</v>
      </c>
      <c r="Z108" s="528">
        <f t="shared" si="78"/>
        <v>8844.6005870904137</v>
      </c>
      <c r="AA108" s="530">
        <f t="shared" si="79"/>
        <v>5278.5105128629602</v>
      </c>
      <c r="AB108" s="1091">
        <f t="shared" si="37"/>
        <v>0.59680597907015476</v>
      </c>
      <c r="AC108" s="135" t="str">
        <f t="shared" si="38"/>
        <v>Yes</v>
      </c>
      <c r="AD108" s="1091">
        <f t="shared" si="39"/>
        <v>0.59680597907015476</v>
      </c>
      <c r="AE108" s="649">
        <f t="shared" si="10"/>
        <v>0.27820714876718022</v>
      </c>
      <c r="AF108" s="530">
        <f t="shared" si="11"/>
        <v>306.23009708624147</v>
      </c>
      <c r="AG108" s="527">
        <f t="shared" si="40"/>
        <v>3566.0900742274539</v>
      </c>
      <c r="AH108" s="528">
        <f t="shared" si="80"/>
        <v>9099.1408506868756</v>
      </c>
      <c r="AI108" s="528">
        <f t="shared" si="81"/>
        <v>6437.6604656145792</v>
      </c>
      <c r="AJ108" s="528">
        <f t="shared" si="12"/>
        <v>1390.524844170181</v>
      </c>
      <c r="AK108" s="528">
        <f t="shared" si="41"/>
        <v>20493.416234699089</v>
      </c>
      <c r="AL108" s="716">
        <f t="shared" si="13"/>
        <v>0</v>
      </c>
      <c r="AM108" s="417">
        <f t="shared" si="42"/>
        <v>0.17401149878512756</v>
      </c>
      <c r="AN108" s="417">
        <f t="shared" si="43"/>
        <v>0.44400312502706951</v>
      </c>
      <c r="AO108" s="417">
        <f t="shared" si="44"/>
        <v>0.31413310459748761</v>
      </c>
      <c r="AP108" s="417">
        <f t="shared" si="45"/>
        <v>6.7852271590315386E-2</v>
      </c>
      <c r="AQ108" s="417">
        <f t="shared" si="46"/>
        <v>1</v>
      </c>
      <c r="AR108" s="1086">
        <f t="shared" si="14"/>
        <v>737.63787198365071</v>
      </c>
      <c r="AS108" s="938">
        <f t="shared" si="15"/>
        <v>935.52437972762823</v>
      </c>
      <c r="AT108" s="938">
        <f t="shared" si="16"/>
        <v>210.14984397380184</v>
      </c>
      <c r="AU108" s="938">
        <f t="shared" si="17"/>
        <v>0</v>
      </c>
      <c r="AV108" s="938">
        <f t="shared" si="18"/>
        <v>0</v>
      </c>
      <c r="AW108" s="938">
        <f t="shared" si="19"/>
        <v>0</v>
      </c>
      <c r="AX108" s="938">
        <f t="shared" si="20"/>
        <v>1335.9214848853997</v>
      </c>
      <c r="AY108" s="938">
        <f t="shared" si="21"/>
        <v>120.7671435413521</v>
      </c>
      <c r="AZ108" s="938">
        <f t="shared" si="22"/>
        <v>68.784711009108662</v>
      </c>
      <c r="BA108" s="938">
        <f t="shared" si="23"/>
        <v>104.07398516449905</v>
      </c>
      <c r="BB108" s="938">
        <f t="shared" si="24"/>
        <v>53.230653942013056</v>
      </c>
      <c r="BC108" s="530">
        <f t="shared" si="47"/>
        <v>3566.0900742274534</v>
      </c>
      <c r="BD108" s="724">
        <f t="shared" si="48"/>
        <v>0</v>
      </c>
      <c r="BE108" s="436">
        <f t="shared" si="49"/>
        <v>0.20684779594173608</v>
      </c>
      <c r="BF108" s="624">
        <f t="shared" si="50"/>
        <v>0.26233896515648086</v>
      </c>
      <c r="BG108" s="624">
        <f t="shared" si="51"/>
        <v>5.8930043717229444E-2</v>
      </c>
      <c r="BH108" s="624">
        <f t="shared" si="52"/>
        <v>0</v>
      </c>
      <c r="BI108" s="624">
        <f t="shared" si="53"/>
        <v>0</v>
      </c>
      <c r="BJ108" s="624">
        <f t="shared" si="54"/>
        <v>0</v>
      </c>
      <c r="BK108" s="624">
        <f t="shared" si="55"/>
        <v>0.47188319518455357</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80.236516781439207</v>
      </c>
      <c r="BW108" s="114">
        <f t="shared" si="59"/>
        <v>0.68260341092778454</v>
      </c>
      <c r="BX108" s="1686">
        <f t="shared" si="25"/>
        <v>32.897025730580332</v>
      </c>
      <c r="BY108" s="527">
        <f t="shared" si="60"/>
        <v>80.236516781439207</v>
      </c>
      <c r="BZ108" s="417">
        <f t="shared" si="61"/>
        <v>0.68260341092778454</v>
      </c>
      <c r="CA108" s="544">
        <f t="shared" si="26"/>
        <v>32.897025730580332</v>
      </c>
      <c r="CB108" s="649">
        <f t="shared" si="27"/>
        <v>0.27820714876718022</v>
      </c>
      <c r="CC108" s="525">
        <f t="shared" si="62"/>
        <v>0.35807302697893617</v>
      </c>
      <c r="CD108" s="417">
        <f t="shared" si="28"/>
        <v>0.27820714876718022</v>
      </c>
      <c r="CE108" s="525">
        <f t="shared" si="63"/>
        <v>0.35807302697893617</v>
      </c>
      <c r="CF108"/>
      <c r="CG108" s="527">
        <f t="shared" si="64"/>
        <v>1726.6083696725154</v>
      </c>
      <c r="CH108" s="528">
        <f t="shared" si="65"/>
        <v>748.26798402294946</v>
      </c>
      <c r="CI108" s="528">
        <f t="shared" si="66"/>
        <v>2878.4996396498846</v>
      </c>
      <c r="CJ108" s="528">
        <f t="shared" si="67"/>
        <v>3700.4517491256743</v>
      </c>
      <c r="CK108" s="528">
        <f t="shared" si="68"/>
        <v>45.313108215850484</v>
      </c>
      <c r="CL108" s="528">
        <f t="shared" si="69"/>
        <v>9099.1408506868738</v>
      </c>
      <c r="CM108" s="646">
        <f t="shared" si="70"/>
        <v>0</v>
      </c>
    </row>
    <row r="109" spans="1:91" s="4" customFormat="1">
      <c r="A109" s="150">
        <f>'Input data'!A129</f>
        <v>2029</v>
      </c>
      <c r="B109" s="1506">
        <f>'Input data'!B129</f>
        <v>67.749778587208695</v>
      </c>
      <c r="C109" s="1507">
        <f>'Input data'!C129</f>
        <v>5124.16</v>
      </c>
      <c r="D109" s="1507">
        <f>'Input data'!D129</f>
        <v>31986451.408819646</v>
      </c>
      <c r="E109" s="1455">
        <f t="shared" si="71"/>
        <v>0.97806153846153887</v>
      </c>
      <c r="F109" s="1449">
        <f t="shared" si="72"/>
        <v>0.36127692307692294</v>
      </c>
      <c r="G109" s="1554">
        <f>B109*F109*'Input data'!$C$9</f>
        <v>749.15235406988256</v>
      </c>
      <c r="H109" s="1549">
        <f>'Input data'!I129</f>
        <v>424.26313389388866</v>
      </c>
      <c r="I109" s="1557">
        <f>'Input data'!K129</f>
        <v>28743.733384026233</v>
      </c>
      <c r="J109" s="1557">
        <f t="shared" ref="J109:J111" si="85">($J$112-$J$107)/($A$112-$A$107)+J108</f>
        <v>3231.7691297686301</v>
      </c>
      <c r="K109" s="1511">
        <f t="shared" si="73"/>
        <v>10125.974041351417</v>
      </c>
      <c r="L109" s="1504">
        <f t="shared" si="74"/>
        <v>0.69076923076923114</v>
      </c>
      <c r="M109" s="1504">
        <f>($M$110-$M$97)/($A$110-$A$97)+M108</f>
        <v>0.58746153846153826</v>
      </c>
      <c r="N109" s="1504">
        <f t="shared" si="75"/>
        <v>0.88553846153846105</v>
      </c>
      <c r="O109" s="1504">
        <f t="shared" si="76"/>
        <v>0.89230769230769202</v>
      </c>
      <c r="P109" s="1449">
        <f t="shared" si="30"/>
        <v>0.23600000000000002</v>
      </c>
      <c r="Q109" s="1508">
        <f t="shared" si="31"/>
        <v>284.09527018272388</v>
      </c>
      <c r="R109" s="1509">
        <f t="shared" si="32"/>
        <v>198.25050936553305</v>
      </c>
      <c r="S109" s="1509">
        <f t="shared" si="33"/>
        <v>580.55959267600383</v>
      </c>
      <c r="T109" s="1509">
        <f t="shared" si="34"/>
        <v>390.91248641032053</v>
      </c>
      <c r="U109" s="1511">
        <f t="shared" si="35"/>
        <v>0</v>
      </c>
      <c r="V109" s="1509">
        <f t="shared" si="9"/>
        <v>1453.8178586345812</v>
      </c>
      <c r="W109" s="1454">
        <f t="shared" ref="W109:W130" si="86">W108</f>
        <v>0.5</v>
      </c>
      <c r="X109" s="530">
        <f t="shared" si="36"/>
        <v>3033.4854703020706</v>
      </c>
      <c r="Y109" s="528">
        <f t="shared" si="77"/>
        <v>4487.3033289366522</v>
      </c>
      <c r="Z109" s="528">
        <f t="shared" si="78"/>
        <v>8870.4398421833957</v>
      </c>
      <c r="AA109" s="530">
        <f t="shared" si="79"/>
        <v>5638.6707124147651</v>
      </c>
      <c r="AB109" s="1091">
        <f t="shared" si="37"/>
        <v>0.63566979910060994</v>
      </c>
      <c r="AC109" s="135" t="str">
        <f t="shared" si="38"/>
        <v>Yes</v>
      </c>
      <c r="AD109" s="1091">
        <f t="shared" si="39"/>
        <v>0.63566979910060994</v>
      </c>
      <c r="AE109" s="649">
        <f t="shared" si="10"/>
        <v>0.29465096067231977</v>
      </c>
      <c r="AF109" s="530">
        <f t="shared" si="11"/>
        <v>299.25359391420528</v>
      </c>
      <c r="AG109" s="527">
        <f t="shared" si="40"/>
        <v>3231.7691297686301</v>
      </c>
      <c r="AH109" s="528">
        <f t="shared" si="80"/>
        <v>9332.8937690261737</v>
      </c>
      <c r="AI109" s="528">
        <f t="shared" si="81"/>
        <v>6437.6604656145792</v>
      </c>
      <c r="AJ109" s="528">
        <f t="shared" si="12"/>
        <v>1272.0413647044879</v>
      </c>
      <c r="AK109" s="528">
        <f t="shared" si="41"/>
        <v>20274.364729113873</v>
      </c>
      <c r="AL109" s="716">
        <f t="shared" si="13"/>
        <v>0</v>
      </c>
      <c r="AM109" s="417">
        <f t="shared" si="42"/>
        <v>0.15940174565015239</v>
      </c>
      <c r="AN109" s="417">
        <f t="shared" si="43"/>
        <v>0.46032977574010941</v>
      </c>
      <c r="AO109" s="417">
        <f t="shared" si="44"/>
        <v>0.31752711128700051</v>
      </c>
      <c r="AP109" s="417">
        <f t="shared" si="45"/>
        <v>6.2741367322737551E-2</v>
      </c>
      <c r="AQ109" s="417">
        <f t="shared" si="46"/>
        <v>0.99999999999999978</v>
      </c>
      <c r="AR109" s="1086">
        <f t="shared" si="14"/>
        <v>680.814977850324</v>
      </c>
      <c r="AS109" s="938">
        <f t="shared" si="15"/>
        <v>863.45757729318439</v>
      </c>
      <c r="AT109" s="938">
        <f t="shared" si="16"/>
        <v>183.6180767903162</v>
      </c>
      <c r="AU109" s="938">
        <f t="shared" si="17"/>
        <v>0</v>
      </c>
      <c r="AV109" s="938">
        <f t="shared" si="18"/>
        <v>0</v>
      </c>
      <c r="AW109" s="938">
        <f t="shared" si="19"/>
        <v>0</v>
      </c>
      <c r="AX109" s="938">
        <f t="shared" si="20"/>
        <v>1222.0906342639162</v>
      </c>
      <c r="AY109" s="938">
        <f t="shared" si="21"/>
        <v>104.45779417485201</v>
      </c>
      <c r="AZ109" s="938">
        <f t="shared" si="22"/>
        <v>45.297438480697352</v>
      </c>
      <c r="BA109" s="938">
        <f t="shared" si="23"/>
        <v>83.337640697514118</v>
      </c>
      <c r="BB109" s="938">
        <f t="shared" si="24"/>
        <v>48.69499021782574</v>
      </c>
      <c r="BC109" s="530">
        <f t="shared" si="47"/>
        <v>3231.7691297686297</v>
      </c>
      <c r="BD109" s="724">
        <f t="shared" si="48"/>
        <v>0</v>
      </c>
      <c r="BE109" s="436">
        <f t="shared" si="49"/>
        <v>0.21066324682019139</v>
      </c>
      <c r="BF109" s="624">
        <f t="shared" si="50"/>
        <v>0.26717798908952428</v>
      </c>
      <c r="BG109" s="624">
        <f t="shared" si="51"/>
        <v>5.6816582316776408E-2</v>
      </c>
      <c r="BH109" s="624">
        <f t="shared" si="52"/>
        <v>0</v>
      </c>
      <c r="BI109" s="624">
        <f t="shared" si="53"/>
        <v>0</v>
      </c>
      <c r="BJ109" s="624">
        <f t="shared" si="54"/>
        <v>0</v>
      </c>
      <c r="BK109" s="624">
        <f t="shared" si="55"/>
        <v>0.46534218177350806</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79.287099189019543</v>
      </c>
      <c r="BW109" s="114">
        <f t="shared" si="59"/>
        <v>0.70668115321330049</v>
      </c>
      <c r="BX109" s="1686">
        <f t="shared" si="25"/>
        <v>31.986451408819647</v>
      </c>
      <c r="BY109" s="527">
        <f t="shared" si="60"/>
        <v>79.287099189019543</v>
      </c>
      <c r="BZ109" s="417">
        <f t="shared" si="61"/>
        <v>0.70668115321330049</v>
      </c>
      <c r="CA109" s="544">
        <f t="shared" si="26"/>
        <v>31.986451408819647</v>
      </c>
      <c r="CB109" s="649">
        <f t="shared" si="27"/>
        <v>0.29465096067231977</v>
      </c>
      <c r="CC109" s="525">
        <f t="shared" si="62"/>
        <v>0.36976079216659063</v>
      </c>
      <c r="CD109" s="417">
        <f t="shared" si="28"/>
        <v>0.29465096067231977</v>
      </c>
      <c r="CE109" s="525">
        <f t="shared" si="63"/>
        <v>0.36976079216659063</v>
      </c>
      <c r="CF109"/>
      <c r="CG109" s="527">
        <f t="shared" si="64"/>
        <v>1771.6496710005927</v>
      </c>
      <c r="CH109" s="528">
        <f t="shared" si="65"/>
        <v>774.04864009436483</v>
      </c>
      <c r="CI109" s="528">
        <f t="shared" si="66"/>
        <v>2962.5009002155011</v>
      </c>
      <c r="CJ109" s="528">
        <f t="shared" si="67"/>
        <v>3778.8207019664433</v>
      </c>
      <c r="CK109" s="528">
        <f t="shared" si="68"/>
        <v>45.873855749271804</v>
      </c>
      <c r="CL109" s="528">
        <f t="shared" si="69"/>
        <v>9332.8937690261737</v>
      </c>
      <c r="CM109" s="646">
        <f t="shared" si="70"/>
        <v>0</v>
      </c>
    </row>
    <row r="110" spans="1:91" s="464" customFormat="1">
      <c r="A110" s="150">
        <f>'Input data'!A130</f>
        <v>2030</v>
      </c>
      <c r="B110" s="1506">
        <f>'Input data'!B130</f>
        <v>68.525074762177482</v>
      </c>
      <c r="C110" s="1507">
        <f>'Input data'!C130</f>
        <v>5234.6499999999996</v>
      </c>
      <c r="D110" s="1507">
        <f>'Input data'!D130</f>
        <v>29783743.542171866</v>
      </c>
      <c r="E110" s="1455">
        <f>C52</f>
        <v>1</v>
      </c>
      <c r="F110" s="1449">
        <f>D52</f>
        <v>0.36725000000000002</v>
      </c>
      <c r="G110" s="1554">
        <f>B110*F110*'Input data'!$C$9</f>
        <v>770.25294831014605</v>
      </c>
      <c r="H110" s="1549">
        <f>'Input data'!I130</f>
        <v>424.26313389388866</v>
      </c>
      <c r="I110" s="1557">
        <f>'Input data'!K130</f>
        <v>29072.662968914436</v>
      </c>
      <c r="J110" s="1557">
        <f t="shared" si="85"/>
        <v>2897.4481853098064</v>
      </c>
      <c r="K110" s="1511">
        <f t="shared" si="73"/>
        <v>10613.154632037043</v>
      </c>
      <c r="L110" s="1449">
        <f>C19</f>
        <v>0.7</v>
      </c>
      <c r="M110" s="1449">
        <f>D19</f>
        <v>0.6</v>
      </c>
      <c r="N110" s="1449">
        <f>E19</f>
        <v>0.9</v>
      </c>
      <c r="O110" s="1449">
        <f>F19</f>
        <v>0.9</v>
      </c>
      <c r="P110" s="1449">
        <f>G19</f>
        <v>0.23600000000000002</v>
      </c>
      <c r="Q110" s="1508">
        <f t="shared" si="31"/>
        <v>311.29184780201786</v>
      </c>
      <c r="R110" s="1509">
        <f t="shared" si="32"/>
        <v>217.22912651236811</v>
      </c>
      <c r="S110" s="1509">
        <f t="shared" si="33"/>
        <v>636.13684327466535</v>
      </c>
      <c r="T110" s="1509">
        <f t="shared" si="34"/>
        <v>428.33472780199236</v>
      </c>
      <c r="U110" s="1511">
        <f t="shared" si="35"/>
        <v>0</v>
      </c>
      <c r="V110" s="1509">
        <f t="shared" si="9"/>
        <v>1592.9925453910437</v>
      </c>
      <c r="W110" s="1454">
        <f t="shared" si="86"/>
        <v>0.5</v>
      </c>
      <c r="X110" s="530">
        <f t="shared" si="36"/>
        <v>3033.4854703020706</v>
      </c>
      <c r="Y110" s="528">
        <f t="shared" si="77"/>
        <v>4626.4780156931138</v>
      </c>
      <c r="Z110" s="528">
        <f t="shared" si="78"/>
        <v>8884.1248016537356</v>
      </c>
      <c r="AA110" s="530">
        <f t="shared" si="79"/>
        <v>5986.6766163439297</v>
      </c>
      <c r="AB110" s="1091">
        <f t="shared" si="37"/>
        <v>0.67386228244222091</v>
      </c>
      <c r="AC110" s="135" t="str">
        <f t="shared" si="38"/>
        <v>Yes</v>
      </c>
      <c r="AD110" s="1091">
        <f t="shared" si="39"/>
        <v>0.67386228244222091</v>
      </c>
      <c r="AE110" s="649">
        <f t="shared" si="10"/>
        <v>0.31038080902495269</v>
      </c>
      <c r="AF110" s="530">
        <f t="shared" si="11"/>
        <v>292.57999915644166</v>
      </c>
      <c r="AG110" s="527">
        <f t="shared" si="40"/>
        <v>2897.4481853098064</v>
      </c>
      <c r="AH110" s="528">
        <f t="shared" si="80"/>
        <v>9562.2328451429985</v>
      </c>
      <c r="AI110" s="528">
        <f t="shared" si="81"/>
        <v>6437.6604656145792</v>
      </c>
      <c r="AJ110" s="528">
        <f t="shared" si="12"/>
        <v>1151.7248200456045</v>
      </c>
      <c r="AK110" s="528">
        <f t="shared" si="41"/>
        <v>20049.066316112989</v>
      </c>
      <c r="AL110" s="716">
        <f t="shared" si="13"/>
        <v>0</v>
      </c>
      <c r="AM110" s="417">
        <f t="shared" si="42"/>
        <v>0.14451786131213459</v>
      </c>
      <c r="AN110" s="417">
        <f t="shared" si="43"/>
        <v>0.47694155400434007</v>
      </c>
      <c r="AO110" s="417">
        <f t="shared" si="44"/>
        <v>0.32109527516704228</v>
      </c>
      <c r="AP110" s="417">
        <f t="shared" si="45"/>
        <v>5.7445309516483009E-2</v>
      </c>
      <c r="AQ110" s="417">
        <f t="shared" si="46"/>
        <v>0.99999999999999989</v>
      </c>
      <c r="AR110" s="1086">
        <f t="shared" si="14"/>
        <v>621.41105218407256</v>
      </c>
      <c r="AS110" s="938">
        <f t="shared" si="15"/>
        <v>788.11732861146049</v>
      </c>
      <c r="AT110" s="938">
        <f t="shared" si="16"/>
        <v>158.44094762333731</v>
      </c>
      <c r="AU110" s="938">
        <f t="shared" si="17"/>
        <v>0</v>
      </c>
      <c r="AV110" s="938">
        <f t="shared" si="18"/>
        <v>0</v>
      </c>
      <c r="AW110" s="938">
        <f t="shared" si="19"/>
        <v>0</v>
      </c>
      <c r="AX110" s="938">
        <f t="shared" si="20"/>
        <v>1106.4986995560566</v>
      </c>
      <c r="AY110" s="938">
        <f t="shared" si="21"/>
        <v>89.127872306888889</v>
      </c>
      <c r="AZ110" s="938">
        <f t="shared" si="22"/>
        <v>25.053868321772956</v>
      </c>
      <c r="BA110" s="938">
        <f t="shared" si="23"/>
        <v>64.709261744831949</v>
      </c>
      <c r="BB110" s="938">
        <f t="shared" si="24"/>
        <v>44.089154961384999</v>
      </c>
      <c r="BC110" s="530">
        <f t="shared" si="47"/>
        <v>2897.4481853098055</v>
      </c>
      <c r="BD110" s="724">
        <f t="shared" si="48"/>
        <v>0</v>
      </c>
      <c r="BE110" s="436">
        <f t="shared" si="49"/>
        <v>0.21446839164705514</v>
      </c>
      <c r="BF110" s="624">
        <f t="shared" si="50"/>
        <v>0.27200394216098545</v>
      </c>
      <c r="BG110" s="624">
        <f t="shared" si="51"/>
        <v>5.4682927006819364E-2</v>
      </c>
      <c r="BH110" s="624">
        <f t="shared" si="52"/>
        <v>0</v>
      </c>
      <c r="BI110" s="624">
        <f t="shared" si="53"/>
        <v>0</v>
      </c>
      <c r="BJ110" s="624">
        <f t="shared" si="54"/>
        <v>0</v>
      </c>
      <c r="BK110" s="624">
        <f t="shared" si="55"/>
        <v>0.45884473918514029</v>
      </c>
      <c r="BL110" s="624">
        <f t="shared" si="56"/>
        <v>1.0000000000000002</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77.425635465611222</v>
      </c>
      <c r="BW110" s="114">
        <f t="shared" si="59"/>
        <v>0.73177237505739356</v>
      </c>
      <c r="BX110" s="1686">
        <f t="shared" si="25"/>
        <v>29.783743542171866</v>
      </c>
      <c r="BY110" s="527">
        <f t="shared" si="60"/>
        <v>77.425635465611222</v>
      </c>
      <c r="BZ110" s="417">
        <f t="shared" si="61"/>
        <v>0.73177237505739356</v>
      </c>
      <c r="CA110" s="544">
        <f t="shared" si="26"/>
        <v>29.783743542171866</v>
      </c>
      <c r="CB110" s="649">
        <f t="shared" si="27"/>
        <v>0.31038080902495269</v>
      </c>
      <c r="CC110" s="525">
        <f t="shared" si="62"/>
        <v>0.38146510228185027</v>
      </c>
      <c r="CD110" s="417">
        <f t="shared" si="28"/>
        <v>0.31038080902495269</v>
      </c>
      <c r="CE110" s="525">
        <f t="shared" si="63"/>
        <v>0.38146510228185027</v>
      </c>
      <c r="CF110" s="1"/>
      <c r="CG110" s="527">
        <f t="shared" si="64"/>
        <v>1815.8691121784373</v>
      </c>
      <c r="CH110" s="528">
        <f t="shared" si="65"/>
        <v>799.61641660994394</v>
      </c>
      <c r="CI110" s="528">
        <f t="shared" si="66"/>
        <v>3045.3359518468028</v>
      </c>
      <c r="CJ110" s="528">
        <f t="shared" si="67"/>
        <v>3855.0125502179371</v>
      </c>
      <c r="CK110" s="528">
        <f t="shared" si="68"/>
        <v>46.398814289877208</v>
      </c>
      <c r="CL110" s="528">
        <f t="shared" si="69"/>
        <v>9562.2328451430003</v>
      </c>
      <c r="CM110" s="646">
        <f t="shared" si="70"/>
        <v>0</v>
      </c>
    </row>
    <row r="111" spans="1:91" s="4" customFormat="1">
      <c r="A111" s="150">
        <f>'Input data'!A131</f>
        <v>2031</v>
      </c>
      <c r="B111" s="1506">
        <f>'Input data'!B131</f>
        <v>69.286388472916428</v>
      </c>
      <c r="C111" s="1507">
        <f>'Input data'!C131</f>
        <v>5365.4400000000005</v>
      </c>
      <c r="D111" s="1507">
        <f>'Input data'!D131</f>
        <v>28782558.928955987</v>
      </c>
      <c r="E111" s="1455">
        <f>E110</f>
        <v>1</v>
      </c>
      <c r="F111" s="1449">
        <f>F110</f>
        <v>0.36725000000000002</v>
      </c>
      <c r="G111" s="1554">
        <f>B111*F111*'Input data'!$C$9</f>
        <v>778.81046002860501</v>
      </c>
      <c r="H111" s="1549">
        <f>'Input data'!I131</f>
        <v>424.26313389388866</v>
      </c>
      <c r="I111" s="1557">
        <f>'Input data'!K131</f>
        <v>29395.660309708928</v>
      </c>
      <c r="J111" s="1557">
        <f t="shared" si="85"/>
        <v>2563.1272408509826</v>
      </c>
      <c r="K111" s="1511">
        <f t="shared" si="73"/>
        <v>11097.578399453627</v>
      </c>
      <c r="L111" s="1449">
        <f>L110</f>
        <v>0.7</v>
      </c>
      <c r="M111" s="1449">
        <f t="shared" ref="M111:P126" si="87">M110</f>
        <v>0.6</v>
      </c>
      <c r="N111" s="1449">
        <f t="shared" si="87"/>
        <v>0.9</v>
      </c>
      <c r="O111" s="1449">
        <f t="shared" si="87"/>
        <v>0.9</v>
      </c>
      <c r="P111" s="1449">
        <f t="shared" si="87"/>
        <v>0.23600000000000002</v>
      </c>
      <c r="Q111" s="1508">
        <f t="shared" si="31"/>
        <v>314.75030082225067</v>
      </c>
      <c r="R111" s="1509">
        <f t="shared" si="32"/>
        <v>219.64254252044509</v>
      </c>
      <c r="S111" s="1509">
        <f t="shared" si="33"/>
        <v>643.20432481148964</v>
      </c>
      <c r="T111" s="1509">
        <f t="shared" si="34"/>
        <v>433.09352744129319</v>
      </c>
      <c r="U111" s="1511">
        <f t="shared" si="35"/>
        <v>0</v>
      </c>
      <c r="V111" s="1509">
        <f t="shared" si="9"/>
        <v>1610.6906955954787</v>
      </c>
      <c r="W111" s="1454">
        <f t="shared" si="86"/>
        <v>0.5</v>
      </c>
      <c r="X111" s="530">
        <f t="shared" si="36"/>
        <v>3033.4854703020706</v>
      </c>
      <c r="Y111" s="528">
        <f t="shared" si="77"/>
        <v>4644.1761658975493</v>
      </c>
      <c r="Z111" s="528">
        <f t="shared" si="78"/>
        <v>9016.5294744070598</v>
      </c>
      <c r="AA111" s="530">
        <f t="shared" si="79"/>
        <v>6453.4022335560767</v>
      </c>
      <c r="AB111" s="1091">
        <f t="shared" si="37"/>
        <v>0.71573017665762828</v>
      </c>
      <c r="AC111" s="135" t="str">
        <f t="shared" si="38"/>
        <v>Yes</v>
      </c>
      <c r="AD111" s="1091">
        <f t="shared" si="39"/>
        <v>0.71573017665762828</v>
      </c>
      <c r="AE111" s="649">
        <f t="shared" si="10"/>
        <v>0.33036774602210461</v>
      </c>
      <c r="AF111" s="530">
        <f t="shared" si="11"/>
        <v>284.10027862909033</v>
      </c>
      <c r="AG111" s="527">
        <f t="shared" si="40"/>
        <v>2563.1272408509826</v>
      </c>
      <c r="AH111" s="528">
        <f t="shared" si="80"/>
        <v>9668.4692702115026</v>
      </c>
      <c r="AI111" s="528">
        <f t="shared" si="81"/>
        <v>6437.6604656145792</v>
      </c>
      <c r="AJ111" s="528">
        <f t="shared" si="12"/>
        <v>1015.0252936818848</v>
      </c>
      <c r="AK111" s="528">
        <f t="shared" si="41"/>
        <v>19684.282270358948</v>
      </c>
      <c r="AL111" s="716">
        <f t="shared" si="13"/>
        <v>0</v>
      </c>
      <c r="AM111" s="417">
        <f t="shared" si="42"/>
        <v>0.13021187187051261</v>
      </c>
      <c r="AN111" s="417">
        <f t="shared" si="43"/>
        <v>0.49117712992617002</v>
      </c>
      <c r="AO111" s="417">
        <f t="shared" si="44"/>
        <v>0.32704573004973408</v>
      </c>
      <c r="AP111" s="417">
        <f t="shared" si="45"/>
        <v>5.156526815358331E-2</v>
      </c>
      <c r="AQ111" s="417">
        <f t="shared" si="46"/>
        <v>1</v>
      </c>
      <c r="AR111" s="1086">
        <f t="shared" si="14"/>
        <v>551.87875822528918</v>
      </c>
      <c r="AS111" s="938">
        <f t="shared" si="15"/>
        <v>699.9315688403409</v>
      </c>
      <c r="AT111" s="938">
        <f t="shared" si="16"/>
        <v>139.63541168301478</v>
      </c>
      <c r="AU111" s="938">
        <f t="shared" si="17"/>
        <v>0</v>
      </c>
      <c r="AV111" s="938">
        <f t="shared" si="18"/>
        <v>0</v>
      </c>
      <c r="AW111" s="938">
        <f t="shared" si="19"/>
        <v>0</v>
      </c>
      <c r="AX111" s="938">
        <f t="shared" si="20"/>
        <v>975.16711277528771</v>
      </c>
      <c r="AY111" s="938">
        <f t="shared" si="21"/>
        <v>78.549183962154444</v>
      </c>
      <c r="AZ111" s="938">
        <f t="shared" si="22"/>
        <v>22.080196248760146</v>
      </c>
      <c r="BA111" s="938">
        <f t="shared" si="23"/>
        <v>57.02884600844596</v>
      </c>
      <c r="BB111" s="938">
        <f t="shared" si="24"/>
        <v>38.856163107689149</v>
      </c>
      <c r="BC111" s="530">
        <f t="shared" si="47"/>
        <v>2563.1272408509826</v>
      </c>
      <c r="BD111" s="724">
        <f t="shared" si="48"/>
        <v>0</v>
      </c>
      <c r="BE111" s="436">
        <f t="shared" si="49"/>
        <v>0.21531461623499432</v>
      </c>
      <c r="BF111" s="624">
        <f t="shared" si="50"/>
        <v>0.27307718387322705</v>
      </c>
      <c r="BG111" s="624">
        <f t="shared" si="51"/>
        <v>5.4478532886511909E-2</v>
      </c>
      <c r="BH111" s="624">
        <f t="shared" si="52"/>
        <v>0</v>
      </c>
      <c r="BI111" s="624">
        <f t="shared" si="53"/>
        <v>0</v>
      </c>
      <c r="BJ111" s="624">
        <f t="shared" si="54"/>
        <v>0</v>
      </c>
      <c r="BK111" s="624">
        <f t="shared" si="55"/>
        <v>0.45712966700526658</v>
      </c>
      <c r="BL111" s="624">
        <f t="shared" si="56"/>
        <v>0.99999999999999989</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76.730298546442867</v>
      </c>
      <c r="BW111" s="114">
        <f t="shared" si="59"/>
        <v>0.74152762371672021</v>
      </c>
      <c r="BX111" s="1686">
        <f t="shared" si="25"/>
        <v>28.782558928955986</v>
      </c>
      <c r="BY111" s="527">
        <f t="shared" si="60"/>
        <v>76.730298546442867</v>
      </c>
      <c r="BZ111" s="417">
        <f t="shared" si="61"/>
        <v>0.74152762371672021</v>
      </c>
      <c r="CA111" s="544">
        <f t="shared" si="26"/>
        <v>28.782558928955986</v>
      </c>
      <c r="CB111" s="649">
        <f t="shared" si="27"/>
        <v>0.33036774602210461</v>
      </c>
      <c r="CC111" s="525">
        <f t="shared" si="62"/>
        <v>0.38879974895291702</v>
      </c>
      <c r="CD111" s="417">
        <f t="shared" si="28"/>
        <v>0.33036774602210461</v>
      </c>
      <c r="CE111" s="525">
        <f t="shared" si="63"/>
        <v>0.38879974895291702</v>
      </c>
      <c r="CF111"/>
      <c r="CG111" s="527">
        <f t="shared" si="64"/>
        <v>1836.0434214631293</v>
      </c>
      <c r="CH111" s="528">
        <f t="shared" si="65"/>
        <v>808.50015651697584</v>
      </c>
      <c r="CI111" s="528">
        <f t="shared" si="66"/>
        <v>3079.169640055004</v>
      </c>
      <c r="CJ111" s="528">
        <f t="shared" si="67"/>
        <v>3897.8417469716414</v>
      </c>
      <c r="CK111" s="528">
        <f t="shared" si="68"/>
        <v>46.914305204750477</v>
      </c>
      <c r="CL111" s="528">
        <f t="shared" si="69"/>
        <v>9668.4692702115026</v>
      </c>
      <c r="CM111" s="646">
        <f t="shared" si="70"/>
        <v>0</v>
      </c>
    </row>
    <row r="112" spans="1:91" s="4" customFormat="1">
      <c r="A112" s="150">
        <f>'Input data'!A132</f>
        <v>2032</v>
      </c>
      <c r="B112" s="1506">
        <f>'Input data'!B132</f>
        <v>70.033051881823098</v>
      </c>
      <c r="C112" s="1507">
        <f>'Input data'!C132</f>
        <v>5502.3</v>
      </c>
      <c r="D112" s="1507">
        <f>'Input data'!D132</f>
        <v>27987384.812012181</v>
      </c>
      <c r="E112" s="1455">
        <f t="shared" ref="E112:E130" si="88">E111</f>
        <v>1</v>
      </c>
      <c r="F112" s="1449">
        <f t="shared" ref="F112:F130" si="89">F111</f>
        <v>0.36725000000000002</v>
      </c>
      <c r="G112" s="1554">
        <f>B112*F112*'Input data'!$C$9</f>
        <v>787.20329570374543</v>
      </c>
      <c r="H112" s="1549">
        <f>'Input data'!I132</f>
        <v>424.26313389388866</v>
      </c>
      <c r="I112" s="1557">
        <f>'Input data'!K132</f>
        <v>29712.442067535565</v>
      </c>
      <c r="J112" s="1557">
        <f>J97*(1-$G$6)</f>
        <v>2228.8062963921584</v>
      </c>
      <c r="K112" s="1511">
        <f t="shared" si="73"/>
        <v>11579.11367079929</v>
      </c>
      <c r="L112" s="1449">
        <f t="shared" ref="L112:P127" si="90">L111</f>
        <v>0.7</v>
      </c>
      <c r="M112" s="1449">
        <f t="shared" si="87"/>
        <v>0.6</v>
      </c>
      <c r="N112" s="1449">
        <f t="shared" si="87"/>
        <v>0.9</v>
      </c>
      <c r="O112" s="1449">
        <f t="shared" si="87"/>
        <v>0.9</v>
      </c>
      <c r="P112" s="1449">
        <f t="shared" si="87"/>
        <v>0.23600000000000002</v>
      </c>
      <c r="Q112" s="1508">
        <f t="shared" si="31"/>
        <v>318.14220127695853</v>
      </c>
      <c r="R112" s="1509">
        <f t="shared" si="32"/>
        <v>222.00951607980949</v>
      </c>
      <c r="S112" s="1509">
        <f t="shared" si="33"/>
        <v>650.13580362532639</v>
      </c>
      <c r="T112" s="1509">
        <f t="shared" si="34"/>
        <v>437.76075136076679</v>
      </c>
      <c r="U112" s="1511">
        <f t="shared" si="35"/>
        <v>0</v>
      </c>
      <c r="V112" s="1509">
        <f t="shared" si="9"/>
        <v>1628.0482723428613</v>
      </c>
      <c r="W112" s="1454">
        <f t="shared" si="86"/>
        <v>0.5</v>
      </c>
      <c r="X112" s="530">
        <f t="shared" si="36"/>
        <v>3033.4854703020706</v>
      </c>
      <c r="Y112" s="528">
        <f t="shared" si="77"/>
        <v>4661.5337426449314</v>
      </c>
      <c r="Z112" s="528">
        <f t="shared" si="78"/>
        <v>9146.386224546517</v>
      </c>
      <c r="AA112" s="530">
        <f t="shared" si="79"/>
        <v>6917.5799281543586</v>
      </c>
      <c r="AB112" s="1091">
        <f t="shared" si="37"/>
        <v>0.75631837081068987</v>
      </c>
      <c r="AC112" s="135" t="str">
        <f t="shared" si="38"/>
        <v>Yes</v>
      </c>
      <c r="AD112" s="1091">
        <f t="shared" si="39"/>
        <v>0.75631837081068987</v>
      </c>
      <c r="AE112" s="649">
        <f t="shared" si="10"/>
        <v>0.34981432630700493</v>
      </c>
      <c r="AF112" s="530">
        <f t="shared" si="11"/>
        <v>275.84981153389936</v>
      </c>
      <c r="AG112" s="527">
        <f t="shared" si="40"/>
        <v>2228.8062963921584</v>
      </c>
      <c r="AH112" s="528">
        <f t="shared" si="80"/>
        <v>9772.6613400150454</v>
      </c>
      <c r="AI112" s="528">
        <f t="shared" si="81"/>
        <v>6437.6604656145792</v>
      </c>
      <c r="AJ112" s="528">
        <f t="shared" si="12"/>
        <v>879.47606072291592</v>
      </c>
      <c r="AK112" s="528">
        <f t="shared" si="41"/>
        <v>19318.604162744698</v>
      </c>
      <c r="AL112" s="716">
        <f t="shared" si="13"/>
        <v>0</v>
      </c>
      <c r="AM112" s="417">
        <f t="shared" si="42"/>
        <v>0.1153709800985694</v>
      </c>
      <c r="AN112" s="417">
        <f t="shared" si="43"/>
        <v>0.50586788039589869</v>
      </c>
      <c r="AO112" s="417">
        <f t="shared" si="44"/>
        <v>0.33323631518002728</v>
      </c>
      <c r="AP112" s="417">
        <f t="shared" si="45"/>
        <v>4.5524824325504684E-2</v>
      </c>
      <c r="AQ112" s="417">
        <f t="shared" si="46"/>
        <v>1</v>
      </c>
      <c r="AR112" s="1086">
        <f t="shared" si="14"/>
        <v>481.69130848723802</v>
      </c>
      <c r="AS112" s="938">
        <f t="shared" si="15"/>
        <v>610.91489429748378</v>
      </c>
      <c r="AT112" s="938">
        <f t="shared" si="16"/>
        <v>120.98811977279513</v>
      </c>
      <c r="AU112" s="938">
        <f t="shared" si="17"/>
        <v>0</v>
      </c>
      <c r="AV112" s="938">
        <f t="shared" si="18"/>
        <v>0</v>
      </c>
      <c r="AW112" s="938">
        <f t="shared" si="19"/>
        <v>0</v>
      </c>
      <c r="AX112" s="938">
        <f t="shared" si="20"/>
        <v>844.94064948783239</v>
      </c>
      <c r="AY112" s="938">
        <f t="shared" si="21"/>
        <v>68.05951271760722</v>
      </c>
      <c r="AZ112" s="938">
        <f t="shared" si="22"/>
        <v>19.131546905997013</v>
      </c>
      <c r="BA112" s="938">
        <f t="shared" si="23"/>
        <v>49.413059110230272</v>
      </c>
      <c r="BB112" s="938">
        <f t="shared" si="24"/>
        <v>33.6672056129742</v>
      </c>
      <c r="BC112" s="530">
        <f t="shared" si="47"/>
        <v>2228.8062963921579</v>
      </c>
      <c r="BD112" s="724">
        <f t="shared" si="48"/>
        <v>0</v>
      </c>
      <c r="BE112" s="436">
        <f t="shared" si="49"/>
        <v>0.21612075902108119</v>
      </c>
      <c r="BF112" s="624">
        <f t="shared" si="50"/>
        <v>0.27409959101712511</v>
      </c>
      <c r="BG112" s="624">
        <f t="shared" si="51"/>
        <v>5.428381998410655E-2</v>
      </c>
      <c r="BH112" s="624">
        <f t="shared" si="52"/>
        <v>0</v>
      </c>
      <c r="BI112" s="624">
        <f t="shared" si="53"/>
        <v>0</v>
      </c>
      <c r="BJ112" s="624">
        <f t="shared" si="54"/>
        <v>0</v>
      </c>
      <c r="BK112" s="624">
        <f t="shared" si="55"/>
        <v>0.45549582997768717</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76.271202265834958</v>
      </c>
      <c r="BW112" s="114">
        <f t="shared" si="59"/>
        <v>0.75061049755970777</v>
      </c>
      <c r="BX112" s="1686">
        <f t="shared" si="25"/>
        <v>27.987384812012181</v>
      </c>
      <c r="BY112" s="527">
        <f t="shared" si="60"/>
        <v>76.271202265834958</v>
      </c>
      <c r="BZ112" s="417">
        <f t="shared" si="61"/>
        <v>0.75061049755970777</v>
      </c>
      <c r="CA112" s="544">
        <f t="shared" si="26"/>
        <v>27.987384812012181</v>
      </c>
      <c r="CB112" s="649">
        <f t="shared" si="27"/>
        <v>0.34981432630700493</v>
      </c>
      <c r="CC112" s="525">
        <f t="shared" si="62"/>
        <v>0.39531655758213946</v>
      </c>
      <c r="CD112" s="417">
        <f t="shared" si="28"/>
        <v>0.34981432630700493</v>
      </c>
      <c r="CE112" s="525">
        <f t="shared" si="63"/>
        <v>0.39531655758213946</v>
      </c>
      <c r="CF112"/>
      <c r="CG112" s="527">
        <f t="shared" si="64"/>
        <v>1855.8295074489245</v>
      </c>
      <c r="CH112" s="528">
        <f t="shared" si="65"/>
        <v>817.21294262506558</v>
      </c>
      <c r="CI112" s="528">
        <f t="shared" si="66"/>
        <v>3112.3522513978382</v>
      </c>
      <c r="CJ112" s="528">
        <f t="shared" si="67"/>
        <v>3939.8467622469038</v>
      </c>
      <c r="CK112" s="528">
        <f t="shared" si="68"/>
        <v>47.419876296312843</v>
      </c>
      <c r="CL112" s="528">
        <f t="shared" si="69"/>
        <v>9772.6613400150454</v>
      </c>
      <c r="CM112" s="646">
        <f t="shared" si="70"/>
        <v>0</v>
      </c>
    </row>
    <row r="113" spans="1:91">
      <c r="A113" s="873">
        <f>'Input data'!A133</f>
        <v>2033</v>
      </c>
      <c r="B113" s="1551">
        <f>'Input data'!B133</f>
        <v>70.764404167450692</v>
      </c>
      <c r="C113" s="1550">
        <f>'Input data'!C133</f>
        <v>5663.260000000002</v>
      </c>
      <c r="D113" s="1550">
        <f>'Input data'!D133</f>
        <v>28989172.151095852</v>
      </c>
      <c r="E113" s="1454">
        <f t="shared" si="88"/>
        <v>1</v>
      </c>
      <c r="F113" s="1504">
        <f t="shared" si="89"/>
        <v>0.36725000000000002</v>
      </c>
      <c r="G113" s="1511">
        <f>B113*F113*'Input data'!$C$9</f>
        <v>795.42402740251555</v>
      </c>
      <c r="H113" s="1542">
        <f>'Input data'!I133</f>
        <v>424.26313389388866</v>
      </c>
      <c r="I113" s="1509">
        <f>'Input data'!K133</f>
        <v>30022.727880216386</v>
      </c>
      <c r="J113" s="1509">
        <f>J112</f>
        <v>2228.8062963921584</v>
      </c>
      <c r="K113" s="1511">
        <f t="shared" si="73"/>
        <v>11723.309212138955</v>
      </c>
      <c r="L113" s="1504">
        <f t="shared" si="90"/>
        <v>0.7</v>
      </c>
      <c r="M113" s="1504">
        <f t="shared" si="87"/>
        <v>0.6</v>
      </c>
      <c r="N113" s="1504">
        <f t="shared" si="87"/>
        <v>0.9</v>
      </c>
      <c r="O113" s="1504">
        <f t="shared" si="87"/>
        <v>0.9</v>
      </c>
      <c r="P113" s="1504">
        <f t="shared" si="87"/>
        <v>0.23600000000000002</v>
      </c>
      <c r="Q113" s="1508">
        <f t="shared" si="31"/>
        <v>321.46454722371413</v>
      </c>
      <c r="R113" s="1509">
        <f t="shared" si="32"/>
        <v>224.32795234173375</v>
      </c>
      <c r="S113" s="1509">
        <f t="shared" si="33"/>
        <v>656.92514513156311</v>
      </c>
      <c r="T113" s="1509">
        <f t="shared" si="34"/>
        <v>442.33226891516324</v>
      </c>
      <c r="U113" s="1511">
        <f t="shared" si="35"/>
        <v>0</v>
      </c>
      <c r="V113" s="1509">
        <f t="shared" si="9"/>
        <v>1645.0499136121744</v>
      </c>
      <c r="W113" s="1454">
        <f t="shared" si="86"/>
        <v>0.5</v>
      </c>
      <c r="X113" s="530">
        <f t="shared" si="36"/>
        <v>3033.4854703020706</v>
      </c>
      <c r="Y113" s="528">
        <f t="shared" si="77"/>
        <v>4678.5353839142444</v>
      </c>
      <c r="Z113" s="528">
        <f t="shared" si="78"/>
        <v>9273.5801246168685</v>
      </c>
      <c r="AA113" s="530">
        <f t="shared" si="79"/>
        <v>7044.7738282247101</v>
      </c>
      <c r="AB113" s="1091">
        <f t="shared" si="37"/>
        <v>0.75966064168942093</v>
      </c>
      <c r="AC113" s="135" t="str">
        <f t="shared" si="38"/>
        <v>Yes</v>
      </c>
      <c r="AD113" s="1091">
        <f t="shared" si="39"/>
        <v>0.75966064168942093</v>
      </c>
      <c r="AE113" s="649">
        <f t="shared" si="10"/>
        <v>0.35323480765047022</v>
      </c>
      <c r="AF113" s="530">
        <f t="shared" si="11"/>
        <v>274.39862739969521</v>
      </c>
      <c r="AG113" s="527">
        <f t="shared" si="40"/>
        <v>2228.8062963921584</v>
      </c>
      <c r="AH113" s="528">
        <f t="shared" si="80"/>
        <v>9874.716841176767</v>
      </c>
      <c r="AI113" s="528">
        <f t="shared" si="81"/>
        <v>6437.6604656145792</v>
      </c>
      <c r="AJ113" s="528">
        <f t="shared" si="12"/>
        <v>876.47176912223472</v>
      </c>
      <c r="AK113" s="528">
        <f t="shared" si="41"/>
        <v>19417.65537230574</v>
      </c>
      <c r="AL113" s="716">
        <f t="shared" si="13"/>
        <v>0</v>
      </c>
      <c r="AM113" s="417">
        <f t="shared" si="42"/>
        <v>0.11478246233430292</v>
      </c>
      <c r="AN113" s="417">
        <f t="shared" si="43"/>
        <v>0.50854321244471645</v>
      </c>
      <c r="AO113" s="417">
        <f t="shared" si="44"/>
        <v>0.33153644671211108</v>
      </c>
      <c r="AP113" s="417">
        <f t="shared" si="45"/>
        <v>4.5137878508869557E-2</v>
      </c>
      <c r="AQ113" s="417">
        <f t="shared" si="46"/>
        <v>0.99999999999999989</v>
      </c>
      <c r="AR113" s="1086">
        <f t="shared" si="14"/>
        <v>483.40241888451675</v>
      </c>
      <c r="AS113" s="938">
        <f t="shared" si="15"/>
        <v>613.08504519924657</v>
      </c>
      <c r="AT113" s="938">
        <f t="shared" si="16"/>
        <v>120.57482416618494</v>
      </c>
      <c r="AU113" s="938">
        <f t="shared" si="17"/>
        <v>0</v>
      </c>
      <c r="AV113" s="938">
        <f t="shared" si="18"/>
        <v>0</v>
      </c>
      <c r="AW113" s="938">
        <f t="shared" si="19"/>
        <v>0</v>
      </c>
      <c r="AX113" s="938">
        <f t="shared" si="20"/>
        <v>842.0543309060123</v>
      </c>
      <c r="AY113" s="938">
        <f t="shared" si="21"/>
        <v>67.827021315583281</v>
      </c>
      <c r="AZ113" s="938">
        <f t="shared" si="22"/>
        <v>19.06619351180635</v>
      </c>
      <c r="BA113" s="938">
        <f t="shared" si="23"/>
        <v>49.244264022929428</v>
      </c>
      <c r="BB113" s="938">
        <f t="shared" si="24"/>
        <v>33.552198385877745</v>
      </c>
      <c r="BC113" s="530">
        <f t="shared" si="47"/>
        <v>2228.806296392157</v>
      </c>
      <c r="BD113" s="724">
        <f t="shared" si="48"/>
        <v>0</v>
      </c>
      <c r="BE113" s="436">
        <f t="shared" si="49"/>
        <v>0.2168884840584919</v>
      </c>
      <c r="BF113" s="624">
        <f t="shared" si="50"/>
        <v>0.27507327406229415</v>
      </c>
      <c r="BG113" s="624">
        <f t="shared" si="51"/>
        <v>5.4098386370032885E-2</v>
      </c>
      <c r="BH113" s="624">
        <f t="shared" si="52"/>
        <v>0</v>
      </c>
      <c r="BI113" s="624">
        <f t="shared" si="53"/>
        <v>0</v>
      </c>
      <c r="BJ113" s="624">
        <f t="shared" si="54"/>
        <v>0</v>
      </c>
      <c r="BK113" s="624">
        <f t="shared" si="55"/>
        <v>0.4539398555091812</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78.197370616746369</v>
      </c>
      <c r="BW113" s="114">
        <f t="shared" si="59"/>
        <v>0.7490668876422879</v>
      </c>
      <c r="BX113" s="1686">
        <f t="shared" si="25"/>
        <v>28.989172151095854</v>
      </c>
      <c r="BY113" s="527">
        <f t="shared" si="60"/>
        <v>78.197370616746369</v>
      </c>
      <c r="BZ113" s="417">
        <f t="shared" si="61"/>
        <v>0.7490668876422879</v>
      </c>
      <c r="CA113" s="544">
        <f t="shared" si="26"/>
        <v>28.989172151095854</v>
      </c>
      <c r="CB113" s="649">
        <f t="shared" si="27"/>
        <v>0.35323480765047022</v>
      </c>
      <c r="CC113" s="525">
        <f t="shared" si="62"/>
        <v>0.39479791092534633</v>
      </c>
      <c r="CD113" s="417">
        <f t="shared" si="28"/>
        <v>0.35323480765047022</v>
      </c>
      <c r="CE113" s="525">
        <f t="shared" si="63"/>
        <v>0.39479791092534633</v>
      </c>
      <c r="CG113" s="527">
        <f t="shared" si="64"/>
        <v>1875.2098588049987</v>
      </c>
      <c r="CH113" s="528">
        <f t="shared" si="65"/>
        <v>825.74706383460284</v>
      </c>
      <c r="CI113" s="528">
        <f t="shared" si="66"/>
        <v>3144.8544181830157</v>
      </c>
      <c r="CJ113" s="528">
        <f t="shared" si="67"/>
        <v>3980.990420236476</v>
      </c>
      <c r="CK113" s="528">
        <f t="shared" si="68"/>
        <v>47.915080117674336</v>
      </c>
      <c r="CL113" s="528">
        <f t="shared" si="69"/>
        <v>9874.7168411767689</v>
      </c>
      <c r="CM113" s="646">
        <f t="shared" si="70"/>
        <v>0</v>
      </c>
    </row>
    <row r="114" spans="1:91">
      <c r="A114" s="873">
        <f>'Input data'!A134</f>
        <v>2034</v>
      </c>
      <c r="B114" s="1551">
        <f>'Input data'!B134</f>
        <v>71.479792486390252</v>
      </c>
      <c r="C114" s="1550">
        <f>'Input data'!C134</f>
        <v>5838.79</v>
      </c>
      <c r="D114" s="1550">
        <f>'Input data'!D134</f>
        <v>30478258.098855209</v>
      </c>
      <c r="E114" s="1454">
        <f t="shared" si="88"/>
        <v>1</v>
      </c>
      <c r="F114" s="1504">
        <f t="shared" si="89"/>
        <v>0.36725000000000002</v>
      </c>
      <c r="G114" s="1511">
        <f>B114*F114*'Input data'!$C$9</f>
        <v>803.46531686863034</v>
      </c>
      <c r="H114" s="1542">
        <f>'Input data'!I134</f>
        <v>424.26313389388866</v>
      </c>
      <c r="I114" s="1509">
        <f>'Input data'!K134</f>
        <v>30326.240770360764</v>
      </c>
      <c r="J114" s="1509">
        <f t="shared" ref="J114:J130" si="91">J113</f>
        <v>2228.8062963921584</v>
      </c>
      <c r="K114" s="1511">
        <f t="shared" si="73"/>
        <v>11864.357251428313</v>
      </c>
      <c r="L114" s="1504">
        <f t="shared" si="90"/>
        <v>0.7</v>
      </c>
      <c r="M114" s="1504">
        <f t="shared" si="87"/>
        <v>0.6</v>
      </c>
      <c r="N114" s="1504">
        <f t="shared" si="87"/>
        <v>0.9</v>
      </c>
      <c r="O114" s="1504">
        <f t="shared" si="87"/>
        <v>0.9</v>
      </c>
      <c r="P114" s="1504">
        <f t="shared" si="87"/>
        <v>0.23600000000000002</v>
      </c>
      <c r="Q114" s="1508">
        <f t="shared" si="31"/>
        <v>324.71437296227123</v>
      </c>
      <c r="R114" s="1509">
        <f t="shared" si="32"/>
        <v>226.59578174841056</v>
      </c>
      <c r="S114" s="1509">
        <f t="shared" si="33"/>
        <v>663.56628880787684</v>
      </c>
      <c r="T114" s="1509">
        <f t="shared" si="34"/>
        <v>446.80399932814271</v>
      </c>
      <c r="U114" s="1511">
        <f t="shared" si="35"/>
        <v>0</v>
      </c>
      <c r="V114" s="1509">
        <f t="shared" si="9"/>
        <v>1661.6804428467012</v>
      </c>
      <c r="W114" s="1454">
        <f t="shared" si="86"/>
        <v>0.5</v>
      </c>
      <c r="X114" s="530">
        <f t="shared" si="36"/>
        <v>3033.4854703020706</v>
      </c>
      <c r="Y114" s="528">
        <f t="shared" si="77"/>
        <v>4695.1659131487722</v>
      </c>
      <c r="Z114" s="528">
        <f t="shared" si="78"/>
        <v>9397.9976346716994</v>
      </c>
      <c r="AA114" s="530">
        <f t="shared" si="79"/>
        <v>7169.191338279541</v>
      </c>
      <c r="AB114" s="1091">
        <f t="shared" si="37"/>
        <v>0.76284242845843009</v>
      </c>
      <c r="AC114" s="135" t="str">
        <f t="shared" si="38"/>
        <v>Yes</v>
      </c>
      <c r="AD114" s="1091">
        <f t="shared" si="39"/>
        <v>0.76284242845843009</v>
      </c>
      <c r="AE114" s="649">
        <f t="shared" si="10"/>
        <v>0.35651031341358341</v>
      </c>
      <c r="AF114" s="530">
        <f t="shared" si="11"/>
        <v>273.0089510595493</v>
      </c>
      <c r="AG114" s="527">
        <f t="shared" si="40"/>
        <v>2228.8062963921584</v>
      </c>
      <c r="AH114" s="528">
        <f t="shared" si="80"/>
        <v>9974.5446736036101</v>
      </c>
      <c r="AI114" s="528">
        <f t="shared" si="81"/>
        <v>6437.6604656145792</v>
      </c>
      <c r="AJ114" s="528">
        <f t="shared" si="12"/>
        <v>873.61173305330874</v>
      </c>
      <c r="AK114" s="528">
        <f t="shared" si="41"/>
        <v>19514.623168663657</v>
      </c>
      <c r="AL114" s="716">
        <f t="shared" si="13"/>
        <v>0</v>
      </c>
      <c r="AM114" s="417">
        <f t="shared" si="42"/>
        <v>0.11421211043271122</v>
      </c>
      <c r="AN114" s="417">
        <f t="shared" si="43"/>
        <v>0.51113181061167567</v>
      </c>
      <c r="AO114" s="417">
        <f t="shared" si="44"/>
        <v>0.32988904832925986</v>
      </c>
      <c r="AP114" s="417">
        <f t="shared" si="45"/>
        <v>4.4767030626353253E-2</v>
      </c>
      <c r="AQ114" s="417">
        <f t="shared" si="46"/>
        <v>1</v>
      </c>
      <c r="AR114" s="1086">
        <f t="shared" si="14"/>
        <v>485.03136776984582</v>
      </c>
      <c r="AS114" s="938">
        <f t="shared" si="15"/>
        <v>615.15099307616003</v>
      </c>
      <c r="AT114" s="938">
        <f t="shared" si="16"/>
        <v>120.18137356313237</v>
      </c>
      <c r="AU114" s="938">
        <f t="shared" si="17"/>
        <v>0</v>
      </c>
      <c r="AV114" s="938">
        <f t="shared" si="18"/>
        <v>0</v>
      </c>
      <c r="AW114" s="938">
        <f t="shared" si="19"/>
        <v>0</v>
      </c>
      <c r="AX114" s="938">
        <f t="shared" si="20"/>
        <v>839.30660320589664</v>
      </c>
      <c r="AY114" s="938">
        <f t="shared" si="21"/>
        <v>67.605693334187279</v>
      </c>
      <c r="AZ114" s="938">
        <f t="shared" si="22"/>
        <v>19.003978158087182</v>
      </c>
      <c r="BA114" s="938">
        <f t="shared" si="23"/>
        <v>49.083573882921392</v>
      </c>
      <c r="BB114" s="938">
        <f t="shared" si="24"/>
        <v>33.442713401927286</v>
      </c>
      <c r="BC114" s="530">
        <f t="shared" si="47"/>
        <v>2228.8062963921584</v>
      </c>
      <c r="BD114" s="724">
        <f t="shared" si="48"/>
        <v>0</v>
      </c>
      <c r="BE114" s="436">
        <f t="shared" si="49"/>
        <v>0.21761934563581498</v>
      </c>
      <c r="BF114" s="624">
        <f t="shared" si="50"/>
        <v>0.27600020426715638</v>
      </c>
      <c r="BG114" s="624">
        <f t="shared" si="51"/>
        <v>5.3921856626874161E-2</v>
      </c>
      <c r="BH114" s="624">
        <f t="shared" si="52"/>
        <v>0</v>
      </c>
      <c r="BI114" s="624">
        <f t="shared" si="53"/>
        <v>0</v>
      </c>
      <c r="BJ114" s="624">
        <f t="shared" si="54"/>
        <v>0</v>
      </c>
      <c r="BK114" s="624">
        <f t="shared" si="55"/>
        <v>0.45245859347015432</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80.683462508178934</v>
      </c>
      <c r="BW114" s="114">
        <f t="shared" si="59"/>
        <v>0.74572532563751104</v>
      </c>
      <c r="BX114" s="1686">
        <f t="shared" si="25"/>
        <v>30.478258098855207</v>
      </c>
      <c r="BY114" s="527">
        <f t="shared" si="60"/>
        <v>80.683462508178934</v>
      </c>
      <c r="BZ114" s="417">
        <f t="shared" si="61"/>
        <v>0.74572532563751104</v>
      </c>
      <c r="CA114" s="544">
        <f t="shared" si="26"/>
        <v>30.478258098855207</v>
      </c>
      <c r="CB114" s="649">
        <f t="shared" si="27"/>
        <v>0.35651031341358341</v>
      </c>
      <c r="CC114" s="525">
        <f t="shared" si="62"/>
        <v>0.39271446917828801</v>
      </c>
      <c r="CD114" s="417">
        <f t="shared" si="28"/>
        <v>0.35651031341358341</v>
      </c>
      <c r="CE114" s="525">
        <f t="shared" si="63"/>
        <v>0.39271446917828801</v>
      </c>
      <c r="CG114" s="527">
        <f t="shared" si="64"/>
        <v>1894.1671756132482</v>
      </c>
      <c r="CH114" s="528">
        <f t="shared" si="65"/>
        <v>834.09490214138862</v>
      </c>
      <c r="CI114" s="528">
        <f t="shared" si="66"/>
        <v>3176.6471272717527</v>
      </c>
      <c r="CJ114" s="528">
        <f t="shared" si="67"/>
        <v>4021.2359939532885</v>
      </c>
      <c r="CK114" s="528">
        <f t="shared" si="68"/>
        <v>48.399474623930963</v>
      </c>
      <c r="CL114" s="528">
        <f t="shared" si="69"/>
        <v>9974.5446736036101</v>
      </c>
      <c r="CM114" s="646">
        <f t="shared" si="70"/>
        <v>0</v>
      </c>
    </row>
    <row r="115" spans="1:91">
      <c r="A115" s="873">
        <f>'Input data'!A135</f>
        <v>2035</v>
      </c>
      <c r="B115" s="1551">
        <f>'Input data'!B135</f>
        <v>72.178572932855872</v>
      </c>
      <c r="C115" s="1550">
        <f>'Input data'!C135</f>
        <v>5978.8699999999981</v>
      </c>
      <c r="D115" s="1550">
        <f>'Input data'!D135</f>
        <v>23293526.984521989</v>
      </c>
      <c r="E115" s="1454">
        <f t="shared" si="88"/>
        <v>1</v>
      </c>
      <c r="F115" s="1504">
        <f t="shared" si="89"/>
        <v>0.36725000000000002</v>
      </c>
      <c r="G115" s="1511">
        <f>B115*F115*'Input data'!$C$9</f>
        <v>811.31992630874595</v>
      </c>
      <c r="H115" s="1542">
        <f>'Input data'!I135</f>
        <v>424.26313389388866</v>
      </c>
      <c r="I115" s="1509">
        <f>'Input data'!K135</f>
        <v>30622.707552482039</v>
      </c>
      <c r="J115" s="1509">
        <f t="shared" si="91"/>
        <v>2228.8062963921584</v>
      </c>
      <c r="K115" s="1511">
        <f t="shared" si="73"/>
        <v>12002.130834331958</v>
      </c>
      <c r="L115" s="1504">
        <f t="shared" si="90"/>
        <v>0.7</v>
      </c>
      <c r="M115" s="1504">
        <f t="shared" si="87"/>
        <v>0.6</v>
      </c>
      <c r="N115" s="1504">
        <f t="shared" si="87"/>
        <v>0.9</v>
      </c>
      <c r="O115" s="1504">
        <f t="shared" si="87"/>
        <v>0.9</v>
      </c>
      <c r="P115" s="1504">
        <f t="shared" si="87"/>
        <v>0.23600000000000002</v>
      </c>
      <c r="Q115" s="1508">
        <f t="shared" si="31"/>
        <v>327.88875339371384</v>
      </c>
      <c r="R115" s="1509">
        <f t="shared" si="32"/>
        <v>228.81096307490259</v>
      </c>
      <c r="S115" s="1509">
        <f t="shared" si="33"/>
        <v>670.05325710232182</v>
      </c>
      <c r="T115" s="1509">
        <f t="shared" si="34"/>
        <v>451.1719176904212</v>
      </c>
      <c r="U115" s="1511">
        <f t="shared" si="35"/>
        <v>0</v>
      </c>
      <c r="V115" s="1509">
        <f t="shared" si="9"/>
        <v>1677.9248912613593</v>
      </c>
      <c r="W115" s="1454">
        <f t="shared" si="86"/>
        <v>0.5</v>
      </c>
      <c r="X115" s="530">
        <f t="shared" si="36"/>
        <v>3033.4854703020706</v>
      </c>
      <c r="Y115" s="528">
        <f t="shared" si="77"/>
        <v>4711.4103615634303</v>
      </c>
      <c r="Z115" s="528">
        <f t="shared" si="78"/>
        <v>9519.5267691606859</v>
      </c>
      <c r="AA115" s="530">
        <f t="shared" si="79"/>
        <v>7290.7204727685275</v>
      </c>
      <c r="AB115" s="1091">
        <f t="shared" si="37"/>
        <v>0.76587005316140655</v>
      </c>
      <c r="AC115" s="135" t="str">
        <f t="shared" si="38"/>
        <v>Yes</v>
      </c>
      <c r="AD115" s="1091">
        <f t="shared" si="39"/>
        <v>0.76587005316140655</v>
      </c>
      <c r="AE115" s="649">
        <f t="shared" si="10"/>
        <v>0.35964473479152448</v>
      </c>
      <c r="AF115" s="530">
        <f t="shared" si="11"/>
        <v>271.67913162280007</v>
      </c>
      <c r="AG115" s="527">
        <f t="shared" si="40"/>
        <v>2228.8062963921584</v>
      </c>
      <c r="AH115" s="528">
        <f t="shared" si="80"/>
        <v>10072.054984390244</v>
      </c>
      <c r="AI115" s="528">
        <f t="shared" si="81"/>
        <v>6437.6604656145792</v>
      </c>
      <c r="AJ115" s="528">
        <f t="shared" si="12"/>
        <v>870.89026977424032</v>
      </c>
      <c r="AK115" s="528">
        <f t="shared" si="41"/>
        <v>19609.412016171224</v>
      </c>
      <c r="AL115" s="716">
        <f t="shared" si="13"/>
        <v>0</v>
      </c>
      <c r="AM115" s="417">
        <f t="shared" si="42"/>
        <v>0.11366002685619216</v>
      </c>
      <c r="AN115" s="417">
        <f t="shared" si="43"/>
        <v>0.51363370692013399</v>
      </c>
      <c r="AO115" s="417">
        <f t="shared" si="44"/>
        <v>0.32829441598277687</v>
      </c>
      <c r="AP115" s="417">
        <f t="shared" si="45"/>
        <v>4.4411850240896888E-2</v>
      </c>
      <c r="AQ115" s="417">
        <f t="shared" si="46"/>
        <v>0.99999999999999989</v>
      </c>
      <c r="AR115" s="1086">
        <f t="shared" si="14"/>
        <v>486.58139177935681</v>
      </c>
      <c r="AS115" s="938">
        <f t="shared" si="15"/>
        <v>617.11684285846729</v>
      </c>
      <c r="AT115" s="938">
        <f t="shared" si="16"/>
        <v>119.80698619789295</v>
      </c>
      <c r="AU115" s="938">
        <f t="shared" si="17"/>
        <v>0</v>
      </c>
      <c r="AV115" s="938">
        <f t="shared" si="18"/>
        <v>0</v>
      </c>
      <c r="AW115" s="938">
        <f t="shared" si="19"/>
        <v>0</v>
      </c>
      <c r="AX115" s="938">
        <f t="shared" si="20"/>
        <v>836.69200679643529</v>
      </c>
      <c r="AY115" s="938">
        <f t="shared" si="21"/>
        <v>67.395089006310542</v>
      </c>
      <c r="AZ115" s="938">
        <f t="shared" si="22"/>
        <v>18.944777226189505</v>
      </c>
      <c r="BA115" s="938">
        <f t="shared" si="23"/>
        <v>48.930669407312998</v>
      </c>
      <c r="BB115" s="938">
        <f t="shared" si="24"/>
        <v>33.338533120193141</v>
      </c>
      <c r="BC115" s="530">
        <f t="shared" si="47"/>
        <v>2228.8062963921584</v>
      </c>
      <c r="BD115" s="724">
        <f t="shared" si="48"/>
        <v>0</v>
      </c>
      <c r="BE115" s="436">
        <f t="shared" si="49"/>
        <v>0.2183147959367317</v>
      </c>
      <c r="BF115" s="624">
        <f t="shared" si="50"/>
        <v>0.2768822233934885</v>
      </c>
      <c r="BG115" s="624">
        <f t="shared" si="51"/>
        <v>5.3753879999275146E-2</v>
      </c>
      <c r="BH115" s="624">
        <f t="shared" si="52"/>
        <v>0</v>
      </c>
      <c r="BI115" s="624">
        <f t="shared" si="53"/>
        <v>0</v>
      </c>
      <c r="BJ115" s="624">
        <f t="shared" si="54"/>
        <v>0</v>
      </c>
      <c r="BK115" s="624">
        <f t="shared" si="55"/>
        <v>0.45104910067050474</v>
      </c>
      <c r="BL115" s="624">
        <f t="shared" si="56"/>
        <v>1</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74.311786883385537</v>
      </c>
      <c r="BW115" s="114">
        <f t="shared" si="59"/>
        <v>0.78193334911277168</v>
      </c>
      <c r="BX115" s="1686">
        <f t="shared" si="25"/>
        <v>23.293526984521989</v>
      </c>
      <c r="BY115" s="527">
        <f t="shared" si="60"/>
        <v>74.311786883385537</v>
      </c>
      <c r="BZ115" s="417">
        <f t="shared" si="61"/>
        <v>0.78193334911277168</v>
      </c>
      <c r="CA115" s="544">
        <f t="shared" si="26"/>
        <v>23.293526984521989</v>
      </c>
      <c r="CB115" s="649">
        <f t="shared" si="27"/>
        <v>0.35964473479152448</v>
      </c>
      <c r="CC115" s="525">
        <f t="shared" si="62"/>
        <v>0.42554960402631026</v>
      </c>
      <c r="CD115" s="417">
        <f t="shared" si="28"/>
        <v>0.35964473479152448</v>
      </c>
      <c r="CE115" s="525">
        <f t="shared" si="63"/>
        <v>0.42554960402631026</v>
      </c>
      <c r="CG115" s="527">
        <f t="shared" si="64"/>
        <v>1912.684394796664</v>
      </c>
      <c r="CH115" s="528">
        <f t="shared" si="65"/>
        <v>842.2489438339976</v>
      </c>
      <c r="CI115" s="528">
        <f t="shared" si="66"/>
        <v>3207.7017627238815</v>
      </c>
      <c r="CJ115" s="528">
        <f t="shared" si="67"/>
        <v>4060.5472592137935</v>
      </c>
      <c r="CK115" s="528">
        <f t="shared" si="68"/>
        <v>48.872623821906771</v>
      </c>
      <c r="CL115" s="528">
        <f t="shared" si="69"/>
        <v>10072.054984390243</v>
      </c>
      <c r="CM115" s="646">
        <f t="shared" si="70"/>
        <v>0</v>
      </c>
    </row>
    <row r="116" spans="1:91">
      <c r="A116" s="873">
        <f>'Input data'!A136</f>
        <v>2036</v>
      </c>
      <c r="B116" s="1551">
        <f>'Input data'!B136</f>
        <v>72.865243718484663</v>
      </c>
      <c r="C116" s="1550">
        <f>'Input data'!C136</f>
        <v>6119.1299999999983</v>
      </c>
      <c r="D116" s="1550">
        <f>'Input data'!D136</f>
        <v>16814169.506355952</v>
      </c>
      <c r="E116" s="1454">
        <f t="shared" si="88"/>
        <v>1</v>
      </c>
      <c r="F116" s="1504">
        <f t="shared" si="89"/>
        <v>0.36725000000000002</v>
      </c>
      <c r="G116" s="1511">
        <f>B116*F116*'Input data'!$C$9</f>
        <v>819.03841766369385</v>
      </c>
      <c r="H116" s="1542">
        <f>'Input data'!I136</f>
        <v>424.26313389388866</v>
      </c>
      <c r="I116" s="1509">
        <f>'Input data'!K136</f>
        <v>30914.036651946288</v>
      </c>
      <c r="J116" s="1509">
        <f t="shared" si="91"/>
        <v>2228.8062963921584</v>
      </c>
      <c r="K116" s="1511">
        <f t="shared" si="73"/>
        <v>12137.516841324346</v>
      </c>
      <c r="L116" s="1504">
        <f t="shared" si="90"/>
        <v>0.7</v>
      </c>
      <c r="M116" s="1504">
        <f t="shared" si="87"/>
        <v>0.6</v>
      </c>
      <c r="N116" s="1504">
        <f t="shared" si="87"/>
        <v>0.9</v>
      </c>
      <c r="O116" s="1504">
        <f t="shared" si="87"/>
        <v>0.9</v>
      </c>
      <c r="P116" s="1504">
        <f t="shared" si="87"/>
        <v>0.23600000000000002</v>
      </c>
      <c r="Q116" s="1508">
        <f t="shared" si="31"/>
        <v>331.00812274036412</v>
      </c>
      <c r="R116" s="1509">
        <f t="shared" si="32"/>
        <v>230.98775595665279</v>
      </c>
      <c r="S116" s="1509">
        <f t="shared" si="33"/>
        <v>676.42780813279978</v>
      </c>
      <c r="T116" s="1509">
        <f t="shared" si="34"/>
        <v>455.46414130451603</v>
      </c>
      <c r="U116" s="1511">
        <f t="shared" si="35"/>
        <v>0</v>
      </c>
      <c r="V116" s="1509">
        <f t="shared" si="9"/>
        <v>1693.8878281343327</v>
      </c>
      <c r="W116" s="1454">
        <f t="shared" si="86"/>
        <v>0.5</v>
      </c>
      <c r="X116" s="530">
        <f t="shared" si="36"/>
        <v>3033.4854703020706</v>
      </c>
      <c r="Y116" s="528">
        <f t="shared" si="77"/>
        <v>4727.3732984364033</v>
      </c>
      <c r="Z116" s="528">
        <f t="shared" si="78"/>
        <v>9638.9498392801015</v>
      </c>
      <c r="AA116" s="530">
        <f t="shared" si="79"/>
        <v>7410.1435428879431</v>
      </c>
      <c r="AB116" s="1091">
        <f t="shared" si="37"/>
        <v>0.76877083774111432</v>
      </c>
      <c r="AC116" s="135" t="str">
        <f t="shared" si="38"/>
        <v>Yes</v>
      </c>
      <c r="AD116" s="1091">
        <f t="shared" si="39"/>
        <v>0.76877083774111432</v>
      </c>
      <c r="AE116" s="649">
        <f t="shared" si="10"/>
        <v>0.36266411035080748</v>
      </c>
      <c r="AF116" s="530">
        <f t="shared" si="11"/>
        <v>270.39812188561598</v>
      </c>
      <c r="AG116" s="527">
        <f t="shared" si="40"/>
        <v>2228.8062963921584</v>
      </c>
      <c r="AH116" s="528">
        <f t="shared" si="80"/>
        <v>10167.875469999753</v>
      </c>
      <c r="AI116" s="528">
        <f t="shared" si="81"/>
        <v>6437.6604656145792</v>
      </c>
      <c r="AJ116" s="528">
        <f t="shared" si="12"/>
        <v>868.2828202094372</v>
      </c>
      <c r="AK116" s="528">
        <f t="shared" si="41"/>
        <v>19702.625052215932</v>
      </c>
      <c r="AL116" s="716">
        <f t="shared" si="13"/>
        <v>0</v>
      </c>
      <c r="AM116" s="417">
        <f t="shared" si="42"/>
        <v>0.11312230174838997</v>
      </c>
      <c r="AN116" s="417">
        <f t="shared" si="43"/>
        <v>0.5160670440133146</v>
      </c>
      <c r="AO116" s="417">
        <f t="shared" si="44"/>
        <v>0.32674125648503588</v>
      </c>
      <c r="AP116" s="417">
        <f t="shared" si="45"/>
        <v>4.4069397753259403E-2</v>
      </c>
      <c r="AQ116" s="417">
        <f t="shared" si="46"/>
        <v>0.99999999999999978</v>
      </c>
      <c r="AR116" s="1086">
        <f t="shared" si="14"/>
        <v>488.06647866629652</v>
      </c>
      <c r="AS116" s="938">
        <f t="shared" si="15"/>
        <v>619.00033480148488</v>
      </c>
      <c r="AT116" s="938">
        <f t="shared" si="16"/>
        <v>119.44828351758507</v>
      </c>
      <c r="AU116" s="938">
        <f t="shared" si="17"/>
        <v>0</v>
      </c>
      <c r="AV116" s="938">
        <f t="shared" si="18"/>
        <v>0</v>
      </c>
      <c r="AW116" s="938">
        <f t="shared" si="19"/>
        <v>0</v>
      </c>
      <c r="AX116" s="938">
        <f t="shared" si="20"/>
        <v>834.18694699187336</v>
      </c>
      <c r="AY116" s="938">
        <f t="shared" si="21"/>
        <v>67.193307792765779</v>
      </c>
      <c r="AZ116" s="938">
        <f t="shared" si="22"/>
        <v>18.888056474048717</v>
      </c>
      <c r="BA116" s="938">
        <f t="shared" si="23"/>
        <v>48.784170752913596</v>
      </c>
      <c r="BB116" s="938">
        <f t="shared" si="24"/>
        <v>33.238717395190314</v>
      </c>
      <c r="BC116" s="530">
        <f t="shared" si="47"/>
        <v>2228.8062963921579</v>
      </c>
      <c r="BD116" s="724">
        <f t="shared" si="48"/>
        <v>0</v>
      </c>
      <c r="BE116" s="436">
        <f t="shared" si="49"/>
        <v>0.21898111085577324</v>
      </c>
      <c r="BF116" s="624">
        <f t="shared" si="50"/>
        <v>0.27772729097341525</v>
      </c>
      <c r="BG116" s="624">
        <f t="shared" si="51"/>
        <v>5.3592940629672452E-2</v>
      </c>
      <c r="BH116" s="624">
        <f t="shared" si="52"/>
        <v>0</v>
      </c>
      <c r="BI116" s="624">
        <f t="shared" si="53"/>
        <v>0</v>
      </c>
      <c r="BJ116" s="624">
        <f t="shared" si="54"/>
        <v>0</v>
      </c>
      <c r="BK116" s="624">
        <f t="shared" si="55"/>
        <v>0.44969865754113919</v>
      </c>
      <c r="BL116" s="624">
        <f t="shared" si="56"/>
        <v>1.0000000000000002</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72.244272007283868</v>
      </c>
      <c r="BW116" s="114">
        <f t="shared" si="59"/>
        <v>0.7796815232035218</v>
      </c>
      <c r="BX116" s="1686">
        <f t="shared" si="25"/>
        <v>16.814169506355952</v>
      </c>
      <c r="BY116" s="527">
        <f t="shared" si="60"/>
        <v>72.244272007283868</v>
      </c>
      <c r="BZ116" s="417">
        <f t="shared" si="61"/>
        <v>0.7796815232035218</v>
      </c>
      <c r="CA116" s="544">
        <f t="shared" si="26"/>
        <v>16.814169506355952</v>
      </c>
      <c r="CB116" s="649">
        <f t="shared" si="27"/>
        <v>0.36266411035080748</v>
      </c>
      <c r="CC116" s="525">
        <f t="shared" si="62"/>
        <v>0.41900369056731934</v>
      </c>
      <c r="CD116" s="417">
        <f t="shared" si="28"/>
        <v>0.36266411035080748</v>
      </c>
      <c r="CE116" s="525">
        <f t="shared" si="63"/>
        <v>0.41900369056731934</v>
      </c>
      <c r="CG116" s="527">
        <f t="shared" si="64"/>
        <v>1930.8807159854566</v>
      </c>
      <c r="CH116" s="528">
        <f t="shared" si="65"/>
        <v>850.26167836804723</v>
      </c>
      <c r="CI116" s="528">
        <f t="shared" si="66"/>
        <v>3238.2182304229796</v>
      </c>
      <c r="CJ116" s="528">
        <f t="shared" si="67"/>
        <v>4099.1772717406539</v>
      </c>
      <c r="CK116" s="528">
        <f t="shared" si="68"/>
        <v>49.337573482614907</v>
      </c>
      <c r="CL116" s="528">
        <f t="shared" si="69"/>
        <v>10167.875469999752</v>
      </c>
      <c r="CM116" s="646">
        <f t="shared" si="70"/>
        <v>0</v>
      </c>
    </row>
    <row r="117" spans="1:91" s="1" customFormat="1">
      <c r="A117" s="873">
        <f>'Input data'!A137</f>
        <v>2037</v>
      </c>
      <c r="B117" s="1551">
        <f>'Input data'!B137</f>
        <v>73.539326072165721</v>
      </c>
      <c r="C117" s="1550">
        <f>'Input data'!C137</f>
        <v>6283.2400000000007</v>
      </c>
      <c r="D117" s="1550">
        <f>'Input data'!D137</f>
        <v>17542322.49040458</v>
      </c>
      <c r="E117" s="1454">
        <f t="shared" si="88"/>
        <v>1</v>
      </c>
      <c r="F117" s="1504">
        <f t="shared" si="89"/>
        <v>0.36725000000000002</v>
      </c>
      <c r="G117" s="1511">
        <f>B117*F117*'Input data'!$C$9</f>
        <v>826.61540932884202</v>
      </c>
      <c r="H117" s="1542">
        <f>'Input data'!I137</f>
        <v>424.26313389388866</v>
      </c>
      <c r="I117" s="1509">
        <f>'Input data'!K137</f>
        <v>31200.024943821583</v>
      </c>
      <c r="J117" s="1509">
        <f t="shared" si="91"/>
        <v>2228.8062963921584</v>
      </c>
      <c r="K117" s="1511">
        <f t="shared" si="73"/>
        <v>12270.420876502341</v>
      </c>
      <c r="L117" s="1504">
        <f t="shared" si="90"/>
        <v>0.7</v>
      </c>
      <c r="M117" s="1504">
        <f t="shared" si="87"/>
        <v>0.6</v>
      </c>
      <c r="N117" s="1504">
        <f t="shared" si="87"/>
        <v>0.9</v>
      </c>
      <c r="O117" s="1504">
        <f t="shared" si="87"/>
        <v>0.9</v>
      </c>
      <c r="P117" s="1504">
        <f>P116</f>
        <v>0.23600000000000002</v>
      </c>
      <c r="Q117" s="1508">
        <f t="shared" si="31"/>
        <v>334.07030606780108</v>
      </c>
      <c r="R117" s="1509">
        <f t="shared" si="32"/>
        <v>233.12464265682399</v>
      </c>
      <c r="S117" s="1509">
        <f t="shared" si="33"/>
        <v>682.68549733731425</v>
      </c>
      <c r="T117" s="1509">
        <f t="shared" si="34"/>
        <v>459.6776774806126</v>
      </c>
      <c r="U117" s="1511">
        <f t="shared" si="35"/>
        <v>0</v>
      </c>
      <c r="V117" s="1509">
        <f t="shared" si="9"/>
        <v>1709.558123542552</v>
      </c>
      <c r="W117" s="1454">
        <f t="shared" si="86"/>
        <v>0.5</v>
      </c>
      <c r="X117" s="530">
        <f t="shared" si="36"/>
        <v>3033.4854703020706</v>
      </c>
      <c r="Y117" s="528">
        <f t="shared" si="77"/>
        <v>4743.0435938446226</v>
      </c>
      <c r="Z117" s="528">
        <f t="shared" si="78"/>
        <v>9756.1835790498772</v>
      </c>
      <c r="AA117" s="530">
        <f t="shared" si="79"/>
        <v>7527.3772826577188</v>
      </c>
      <c r="AB117" s="1091">
        <f t="shared" si="37"/>
        <v>0.77154936883534797</v>
      </c>
      <c r="AC117" s="135" t="str">
        <f t="shared" si="38"/>
        <v>Yes</v>
      </c>
      <c r="AD117" s="1091">
        <f t="shared" si="39"/>
        <v>0.77154936883534797</v>
      </c>
      <c r="AE117" s="649">
        <f t="shared" si="10"/>
        <v>0.36557129745283368</v>
      </c>
      <c r="AF117" s="530">
        <f t="shared" si="11"/>
        <v>269.16470957489446</v>
      </c>
      <c r="AG117" s="527">
        <f t="shared" si="40"/>
        <v>2228.8062963921584</v>
      </c>
      <c r="AH117" s="528">
        <f t="shared" si="80"/>
        <v>10261.939321007152</v>
      </c>
      <c r="AI117" s="528">
        <f t="shared" si="81"/>
        <v>6437.6604656145792</v>
      </c>
      <c r="AJ117" s="528">
        <f t="shared" si="12"/>
        <v>865.78526153405937</v>
      </c>
      <c r="AK117" s="528">
        <f t="shared" si="41"/>
        <v>19794.191344547951</v>
      </c>
      <c r="AL117" s="716">
        <f t="shared" si="13"/>
        <v>0</v>
      </c>
      <c r="AM117" s="417">
        <f t="shared" si="42"/>
        <v>0.11259900733484896</v>
      </c>
      <c r="AN117" s="417">
        <f t="shared" si="43"/>
        <v>0.51843185419310744</v>
      </c>
      <c r="AO117" s="417">
        <f t="shared" si="44"/>
        <v>0.32522977845153284</v>
      </c>
      <c r="AP117" s="417">
        <f t="shared" si="45"/>
        <v>4.3739360020510688E-2</v>
      </c>
      <c r="AQ117" s="417">
        <f t="shared" si="46"/>
        <v>1</v>
      </c>
      <c r="AR117" s="1086">
        <f t="shared" si="14"/>
        <v>489.48897660766931</v>
      </c>
      <c r="AS117" s="938">
        <f t="shared" si="15"/>
        <v>620.80444702892248</v>
      </c>
      <c r="AT117" s="938">
        <f t="shared" si="16"/>
        <v>119.10469835176737</v>
      </c>
      <c r="AU117" s="938">
        <f t="shared" si="17"/>
        <v>0</v>
      </c>
      <c r="AV117" s="938">
        <f t="shared" si="18"/>
        <v>0</v>
      </c>
      <c r="AW117" s="938">
        <f t="shared" si="19"/>
        <v>0</v>
      </c>
      <c r="AX117" s="938">
        <f t="shared" si="20"/>
        <v>831.78746286313753</v>
      </c>
      <c r="AY117" s="938">
        <f t="shared" si="21"/>
        <v>67.000030642856643</v>
      </c>
      <c r="AZ117" s="938">
        <f t="shared" si="22"/>
        <v>18.833726216430133</v>
      </c>
      <c r="BA117" s="938">
        <f t="shared" si="23"/>
        <v>48.643846280231053</v>
      </c>
      <c r="BB117" s="938">
        <f t="shared" si="24"/>
        <v>33.143108401142996</v>
      </c>
      <c r="BC117" s="530">
        <f t="shared" si="47"/>
        <v>2228.8062963921575</v>
      </c>
      <c r="BD117" s="724">
        <f t="shared" si="48"/>
        <v>0</v>
      </c>
      <c r="BE117" s="436">
        <f t="shared" si="49"/>
        <v>0.21961934395107433</v>
      </c>
      <c r="BF117" s="624">
        <f t="shared" si="50"/>
        <v>0.27853674320367777</v>
      </c>
      <c r="BG117" s="624">
        <f t="shared" si="51"/>
        <v>5.34387840453278E-2</v>
      </c>
      <c r="BH117" s="624">
        <f t="shared" si="52"/>
        <v>0</v>
      </c>
      <c r="BI117" s="624">
        <f t="shared" si="53"/>
        <v>0</v>
      </c>
      <c r="BJ117" s="624">
        <f t="shared" si="54"/>
        <v>0</v>
      </c>
      <c r="BK117" s="624">
        <f t="shared" si="55"/>
        <v>0.44840512879992017</v>
      </c>
      <c r="BL117" s="624">
        <f t="shared" si="56"/>
        <v>1</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73.468581065364987</v>
      </c>
      <c r="BW117" s="114">
        <f t="shared" si="59"/>
        <v>0.7833529961364829</v>
      </c>
      <c r="BX117" s="1686">
        <f t="shared" si="25"/>
        <v>17.54232249040458</v>
      </c>
      <c r="BY117" s="527">
        <f t="shared" si="60"/>
        <v>73.468581065364987</v>
      </c>
      <c r="BZ117" s="417">
        <f t="shared" si="61"/>
        <v>0.7833529961364829</v>
      </c>
      <c r="CA117" s="544">
        <f t="shared" si="26"/>
        <v>17.54232249040458</v>
      </c>
      <c r="CB117" s="649">
        <f t="shared" si="27"/>
        <v>0.36557129745283368</v>
      </c>
      <c r="CC117" s="525">
        <f t="shared" si="62"/>
        <v>0.4237004558706301</v>
      </c>
      <c r="CD117" s="417">
        <f t="shared" si="28"/>
        <v>0.36557129745283368</v>
      </c>
      <c r="CE117" s="525">
        <f t="shared" si="63"/>
        <v>0.4237004558706301</v>
      </c>
      <c r="CG117" s="527">
        <f t="shared" si="64"/>
        <v>1948.7434520621723</v>
      </c>
      <c r="CH117" s="528">
        <f t="shared" si="65"/>
        <v>858.12751898217448</v>
      </c>
      <c r="CI117" s="528">
        <f t="shared" si="66"/>
        <v>3268.1752532105488</v>
      </c>
      <c r="CJ117" s="528">
        <f t="shared" si="67"/>
        <v>4137.0990973255157</v>
      </c>
      <c r="CK117" s="528">
        <f t="shared" si="68"/>
        <v>49.79399942673944</v>
      </c>
      <c r="CL117" s="528">
        <f t="shared" si="69"/>
        <v>10261.93932100715</v>
      </c>
      <c r="CM117" s="646">
        <f t="shared" si="70"/>
        <v>0</v>
      </c>
    </row>
    <row r="118" spans="1:91">
      <c r="A118" s="873">
        <f>'Input data'!A138</f>
        <v>2038</v>
      </c>
      <c r="B118" s="1551">
        <f>'Input data'!B138</f>
        <v>74.200346452615136</v>
      </c>
      <c r="C118" s="1550">
        <f>'Input data'!C138</f>
        <v>6443.4999999999982</v>
      </c>
      <c r="D118" s="1550">
        <f>'Input data'!D138</f>
        <v>14615640.739395874</v>
      </c>
      <c r="E118" s="1454">
        <f t="shared" si="88"/>
        <v>1</v>
      </c>
      <c r="F118" s="1504">
        <f t="shared" si="89"/>
        <v>0.36725000000000002</v>
      </c>
      <c r="G118" s="1511">
        <f>B118*F118*'Input data'!$C$9</f>
        <v>834.04557848518823</v>
      </c>
      <c r="H118" s="1542">
        <f>'Input data'!I138</f>
        <v>424.26313389388866</v>
      </c>
      <c r="I118" s="1509">
        <f>'Input data'!K138</f>
        <v>31480.471521998781</v>
      </c>
      <c r="J118" s="1509">
        <f t="shared" si="91"/>
        <v>2228.8062963921584</v>
      </c>
      <c r="K118" s="1511">
        <f t="shared" si="73"/>
        <v>12400.749575090684</v>
      </c>
      <c r="L118" s="1504">
        <f t="shared" si="90"/>
        <v>0.7</v>
      </c>
      <c r="M118" s="1504">
        <f t="shared" si="87"/>
        <v>0.6</v>
      </c>
      <c r="N118" s="1504">
        <f t="shared" si="87"/>
        <v>0.9</v>
      </c>
      <c r="O118" s="1504">
        <f t="shared" si="87"/>
        <v>0.9</v>
      </c>
      <c r="P118" s="1504">
        <f t="shared" si="87"/>
        <v>0.23600000000000002</v>
      </c>
      <c r="Q118" s="1508">
        <f t="shared" si="31"/>
        <v>337.07315219936709</v>
      </c>
      <c r="R118" s="1509">
        <f t="shared" si="32"/>
        <v>235.2201220174851</v>
      </c>
      <c r="S118" s="1509">
        <f t="shared" si="33"/>
        <v>688.82192870376957</v>
      </c>
      <c r="T118" s="1509">
        <f t="shared" si="34"/>
        <v>463.80956621935502</v>
      </c>
      <c r="U118" s="1511">
        <f t="shared" si="35"/>
        <v>0</v>
      </c>
      <c r="V118" s="1509">
        <f t="shared" si="9"/>
        <v>1724.9247691399769</v>
      </c>
      <c r="W118" s="1454">
        <f t="shared" si="86"/>
        <v>0.5</v>
      </c>
      <c r="X118" s="530">
        <f t="shared" si="36"/>
        <v>3033.4854703020706</v>
      </c>
      <c r="Y118" s="528">
        <f t="shared" si="77"/>
        <v>4758.4102394420479</v>
      </c>
      <c r="Z118" s="528">
        <f t="shared" si="78"/>
        <v>9871.1456320407942</v>
      </c>
      <c r="AA118" s="530">
        <f t="shared" si="79"/>
        <v>7642.3393356486358</v>
      </c>
      <c r="AB118" s="1091">
        <f t="shared" si="37"/>
        <v>0.77420996716352086</v>
      </c>
      <c r="AC118" s="135" t="str">
        <f t="shared" si="38"/>
        <v>Yes</v>
      </c>
      <c r="AD118" s="1091">
        <f t="shared" si="39"/>
        <v>0.77420996716352086</v>
      </c>
      <c r="AE118" s="649">
        <f t="shared" si="10"/>
        <v>0.36836902471937161</v>
      </c>
      <c r="AF118" s="530">
        <f t="shared" si="11"/>
        <v>267.97773703701273</v>
      </c>
      <c r="AG118" s="527">
        <f t="shared" si="40"/>
        <v>2228.8062963921584</v>
      </c>
      <c r="AH118" s="528">
        <f t="shared" si="80"/>
        <v>10354.180457776125</v>
      </c>
      <c r="AI118" s="528">
        <f t="shared" si="81"/>
        <v>6437.6604656145792</v>
      </c>
      <c r="AJ118" s="528">
        <f t="shared" si="12"/>
        <v>863.39370995127729</v>
      </c>
      <c r="AK118" s="528">
        <f t="shared" si="41"/>
        <v>19884.040929734139</v>
      </c>
      <c r="AL118" s="716">
        <f t="shared" si="13"/>
        <v>0</v>
      </c>
      <c r="AM118" s="417">
        <f t="shared" si="42"/>
        <v>0.11209020863858978</v>
      </c>
      <c r="AN118" s="417">
        <f t="shared" si="43"/>
        <v>0.52072818067341231</v>
      </c>
      <c r="AO118" s="417">
        <f t="shared" si="44"/>
        <v>0.32376016969407106</v>
      </c>
      <c r="AP118" s="417">
        <f t="shared" si="45"/>
        <v>4.3421440993926849E-2</v>
      </c>
      <c r="AQ118" s="417">
        <f t="shared" si="46"/>
        <v>1</v>
      </c>
      <c r="AR118" s="1086">
        <f t="shared" si="14"/>
        <v>490.85109764079436</v>
      </c>
      <c r="AS118" s="938">
        <f t="shared" si="15"/>
        <v>622.53198500253723</v>
      </c>
      <c r="AT118" s="938">
        <f t="shared" si="16"/>
        <v>118.77569641270085</v>
      </c>
      <c r="AU118" s="938">
        <f t="shared" si="17"/>
        <v>0</v>
      </c>
      <c r="AV118" s="938">
        <f t="shared" si="18"/>
        <v>0</v>
      </c>
      <c r="AW118" s="938">
        <f t="shared" si="19"/>
        <v>0</v>
      </c>
      <c r="AX118" s="938">
        <f t="shared" si="20"/>
        <v>829.48982312297403</v>
      </c>
      <c r="AY118" s="938">
        <f t="shared" si="21"/>
        <v>66.814957003411152</v>
      </c>
      <c r="AZ118" s="938">
        <f t="shared" si="22"/>
        <v>18.781701967758103</v>
      </c>
      <c r="BA118" s="938">
        <f t="shared" si="23"/>
        <v>48.509477779480839</v>
      </c>
      <c r="BB118" s="938">
        <f t="shared" si="24"/>
        <v>33.051557462501904</v>
      </c>
      <c r="BC118" s="530">
        <f t="shared" si="47"/>
        <v>2228.8062963921584</v>
      </c>
      <c r="BD118" s="724">
        <f t="shared" si="48"/>
        <v>0</v>
      </c>
      <c r="BE118" s="436">
        <f t="shared" si="49"/>
        <v>0.22023048769888665</v>
      </c>
      <c r="BF118" s="624">
        <f t="shared" si="50"/>
        <v>0.27931183881266403</v>
      </c>
      <c r="BG118" s="624">
        <f t="shared" si="51"/>
        <v>5.3291170527006743E-2</v>
      </c>
      <c r="BH118" s="624">
        <f t="shared" si="52"/>
        <v>0</v>
      </c>
      <c r="BI118" s="624">
        <f t="shared" si="53"/>
        <v>0</v>
      </c>
      <c r="BJ118" s="624">
        <f t="shared" si="54"/>
        <v>0</v>
      </c>
      <c r="BK118" s="624">
        <f t="shared" si="55"/>
        <v>0.44716650296144256</v>
      </c>
      <c r="BL118" s="624">
        <f t="shared" si="56"/>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73.209498470222584</v>
      </c>
      <c r="BW118" s="114">
        <f t="shared" si="59"/>
        <v>0.78258629961262127</v>
      </c>
      <c r="BX118" s="1686">
        <f t="shared" si="25"/>
        <v>14.615640739395873</v>
      </c>
      <c r="BY118" s="527">
        <f t="shared" si="60"/>
        <v>73.209498470222584</v>
      </c>
      <c r="BZ118" s="417">
        <f t="shared" si="61"/>
        <v>0.78258629961262127</v>
      </c>
      <c r="CA118" s="544">
        <f t="shared" si="26"/>
        <v>14.615640739395873</v>
      </c>
      <c r="CB118" s="649">
        <f t="shared" si="27"/>
        <v>0.36836902471937161</v>
      </c>
      <c r="CC118" s="525">
        <f t="shared" si="62"/>
        <v>0.42124160638990238</v>
      </c>
      <c r="CD118" s="417">
        <f t="shared" si="28"/>
        <v>0.36836902471937161</v>
      </c>
      <c r="CE118" s="525">
        <f t="shared" si="63"/>
        <v>0.42124160638990238</v>
      </c>
      <c r="CG118" s="527">
        <f t="shared" si="64"/>
        <v>1966.2600544963086</v>
      </c>
      <c r="CH118" s="528">
        <f t="shared" si="65"/>
        <v>865.84093994166301</v>
      </c>
      <c r="CI118" s="528">
        <f t="shared" si="66"/>
        <v>3297.551786347834</v>
      </c>
      <c r="CJ118" s="528">
        <f t="shared" si="67"/>
        <v>4174.2860959742047</v>
      </c>
      <c r="CK118" s="528">
        <f t="shared" si="68"/>
        <v>50.241581016117358</v>
      </c>
      <c r="CL118" s="528">
        <f t="shared" si="69"/>
        <v>10354.180457776127</v>
      </c>
      <c r="CM118" s="646">
        <f t="shared" si="70"/>
        <v>0</v>
      </c>
    </row>
    <row r="119" spans="1:91">
      <c r="A119" s="873">
        <f>'Input data'!A139</f>
        <v>2039</v>
      </c>
      <c r="B119" s="1551">
        <f>'Input data'!B139</f>
        <v>74.847837096563296</v>
      </c>
      <c r="C119" s="1550">
        <f>'Input data'!C139</f>
        <v>6615.260000000002</v>
      </c>
      <c r="D119" s="1550">
        <f>'Input data'!D139</f>
        <v>11688958.988387169</v>
      </c>
      <c r="E119" s="1454">
        <f t="shared" si="88"/>
        <v>1</v>
      </c>
      <c r="F119" s="1504">
        <f t="shared" si="89"/>
        <v>0.36725000000000002</v>
      </c>
      <c r="G119" s="1511">
        <f>B119*F119*'Input data'!$C$9</f>
        <v>841.32366726123416</v>
      </c>
      <c r="H119" s="1542">
        <f>'Input data'!I139</f>
        <v>424.26313389388866</v>
      </c>
      <c r="I119" s="1509">
        <f>'Input data'!K139</f>
        <v>31755.177931767201</v>
      </c>
      <c r="J119" s="1509">
        <f t="shared" si="91"/>
        <v>2228.8062963921584</v>
      </c>
      <c r="K119" s="1511">
        <f t="shared" si="73"/>
        <v>12528.410711524208</v>
      </c>
      <c r="L119" s="1504">
        <f t="shared" si="90"/>
        <v>0.7</v>
      </c>
      <c r="M119" s="1504">
        <f t="shared" si="87"/>
        <v>0.6</v>
      </c>
      <c r="N119" s="1504">
        <f t="shared" si="87"/>
        <v>0.9</v>
      </c>
      <c r="O119" s="1504">
        <f t="shared" si="87"/>
        <v>0.9</v>
      </c>
      <c r="P119" s="1504">
        <f t="shared" si="87"/>
        <v>0.23600000000000002</v>
      </c>
      <c r="Q119" s="1508">
        <f t="shared" si="31"/>
        <v>340.01453620644315</v>
      </c>
      <c r="R119" s="1509">
        <f t="shared" si="32"/>
        <v>237.27271119740124</v>
      </c>
      <c r="S119" s="1509">
        <f t="shared" si="33"/>
        <v>694.83275985894261</v>
      </c>
      <c r="T119" s="1509">
        <f t="shared" si="34"/>
        <v>467.85688363845247</v>
      </c>
      <c r="U119" s="1511">
        <f t="shared" si="35"/>
        <v>0</v>
      </c>
      <c r="V119" s="1509">
        <f t="shared" si="9"/>
        <v>1739.9768909012396</v>
      </c>
      <c r="W119" s="1454">
        <f t="shared" si="86"/>
        <v>0.5</v>
      </c>
      <c r="X119" s="530">
        <f t="shared" si="36"/>
        <v>3033.4854703020706</v>
      </c>
      <c r="Y119" s="528">
        <f t="shared" si="77"/>
        <v>4773.4623612033101</v>
      </c>
      <c r="Z119" s="528">
        <f t="shared" si="78"/>
        <v>9983.754646713056</v>
      </c>
      <c r="AA119" s="530">
        <f t="shared" si="79"/>
        <v>7754.9483503208976</v>
      </c>
      <c r="AB119" s="1091">
        <f t="shared" si="37"/>
        <v>0.77675670373911421</v>
      </c>
      <c r="AC119" s="135" t="str">
        <f t="shared" si="38"/>
        <v>Yes</v>
      </c>
      <c r="AD119" s="1091">
        <f t="shared" si="39"/>
        <v>0.77675670373911421</v>
      </c>
      <c r="AE119" s="649">
        <f t="shared" si="10"/>
        <v>0.37105989712936271</v>
      </c>
      <c r="AF119" s="530">
        <f t="shared" si="11"/>
        <v>266.83609907544133</v>
      </c>
      <c r="AG119" s="527">
        <f t="shared" si="40"/>
        <v>2228.8062963921584</v>
      </c>
      <c r="AH119" s="528">
        <f t="shared" si="80"/>
        <v>10444.533606955052</v>
      </c>
      <c r="AI119" s="528">
        <f t="shared" si="81"/>
        <v>6437.6604656145792</v>
      </c>
      <c r="AJ119" s="528">
        <f t="shared" si="12"/>
        <v>861.10450611926854</v>
      </c>
      <c r="AK119" s="528">
        <f t="shared" si="41"/>
        <v>19972.104875081055</v>
      </c>
      <c r="AL119" s="716">
        <f t="shared" si="13"/>
        <v>0</v>
      </c>
      <c r="AM119" s="417">
        <f t="shared" si="42"/>
        <v>0.11159596398740185</v>
      </c>
      <c r="AN119" s="417">
        <f t="shared" si="43"/>
        <v>0.5229560766019492</v>
      </c>
      <c r="AO119" s="417">
        <f t="shared" si="44"/>
        <v>0.32233259868601871</v>
      </c>
      <c r="AP119" s="417">
        <f t="shared" si="45"/>
        <v>4.3115360724630375E-2</v>
      </c>
      <c r="AQ119" s="417">
        <f t="shared" si="46"/>
        <v>1</v>
      </c>
      <c r="AR119" s="1086">
        <f t="shared" si="14"/>
        <v>492.15492596343529</v>
      </c>
      <c r="AS119" s="938">
        <f t="shared" si="15"/>
        <v>624.18559204894575</v>
      </c>
      <c r="AT119" s="938">
        <f t="shared" si="16"/>
        <v>118.4607742905639</v>
      </c>
      <c r="AU119" s="938">
        <f t="shared" si="17"/>
        <v>0</v>
      </c>
      <c r="AV119" s="938">
        <f t="shared" si="18"/>
        <v>0</v>
      </c>
      <c r="AW119" s="938">
        <f t="shared" si="19"/>
        <v>0</v>
      </c>
      <c r="AX119" s="938">
        <f t="shared" si="20"/>
        <v>827.29051212519914</v>
      </c>
      <c r="AY119" s="938">
        <f t="shared" si="21"/>
        <v>66.637803691029063</v>
      </c>
      <c r="AZ119" s="938">
        <f t="shared" si="22"/>
        <v>18.731904125104535</v>
      </c>
      <c r="BA119" s="938">
        <f t="shared" si="23"/>
        <v>48.380859651804265</v>
      </c>
      <c r="BB119" s="938">
        <f t="shared" si="24"/>
        <v>32.963924496075393</v>
      </c>
      <c r="BC119" s="530">
        <f t="shared" si="47"/>
        <v>2228.806296392157</v>
      </c>
      <c r="BD119" s="724">
        <f t="shared" si="48"/>
        <v>0</v>
      </c>
      <c r="BE119" s="436">
        <f t="shared" si="49"/>
        <v>0.22081547721760428</v>
      </c>
      <c r="BF119" s="624">
        <f t="shared" si="50"/>
        <v>0.28005376378348168</v>
      </c>
      <c r="BG119" s="624">
        <f t="shared" si="51"/>
        <v>5.3149874209490661E-2</v>
      </c>
      <c r="BH119" s="624">
        <f t="shared" si="52"/>
        <v>0</v>
      </c>
      <c r="BI119" s="624">
        <f t="shared" si="53"/>
        <v>0</v>
      </c>
      <c r="BJ119" s="624">
        <f t="shared" si="54"/>
        <v>0</v>
      </c>
      <c r="BK119" s="624">
        <f t="shared" si="55"/>
        <v>0.44598088478942355</v>
      </c>
      <c r="BL119" s="624">
        <f t="shared" si="56"/>
        <v>1.0000000000000002</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73.007597014105684</v>
      </c>
      <c r="BW119" s="114">
        <f t="shared" si="59"/>
        <v>0.78198504516125933</v>
      </c>
      <c r="BX119" s="1686">
        <f t="shared" si="25"/>
        <v>11.688958988387169</v>
      </c>
      <c r="BY119" s="527">
        <f t="shared" si="60"/>
        <v>73.007597014105684</v>
      </c>
      <c r="BZ119" s="417">
        <f t="shared" si="61"/>
        <v>0.78198504516125933</v>
      </c>
      <c r="CA119" s="544">
        <f t="shared" si="26"/>
        <v>11.688958988387169</v>
      </c>
      <c r="CB119" s="649">
        <f t="shared" si="27"/>
        <v>0.37105989712936271</v>
      </c>
      <c r="CC119" s="525">
        <f t="shared" si="62"/>
        <v>0.41896394034163265</v>
      </c>
      <c r="CD119" s="417">
        <f t="shared" si="28"/>
        <v>0.37105989712936271</v>
      </c>
      <c r="CE119" s="525">
        <f t="shared" si="63"/>
        <v>0.41896394034163265</v>
      </c>
      <c r="CG119" s="527">
        <f t="shared" si="64"/>
        <v>1983.4181278709173</v>
      </c>
      <c r="CH119" s="528">
        <f t="shared" si="65"/>
        <v>873.3964829352193</v>
      </c>
      <c r="CI119" s="528">
        <f t="shared" si="66"/>
        <v>3326.327041877918</v>
      </c>
      <c r="CJ119" s="528">
        <f t="shared" si="67"/>
        <v>4210.7119527460754</v>
      </c>
      <c r="CK119" s="528">
        <f t="shared" si="68"/>
        <v>50.680001524920158</v>
      </c>
      <c r="CL119" s="528">
        <f t="shared" si="69"/>
        <v>10444.53360695505</v>
      </c>
      <c r="CM119" s="646">
        <f t="shared" si="70"/>
        <v>0</v>
      </c>
    </row>
    <row r="120" spans="1:91">
      <c r="A120" s="873">
        <f>'Input data'!A140</f>
        <v>2040</v>
      </c>
      <c r="B120" s="1551">
        <f>'Input data'!B140</f>
        <v>75.481336564720067</v>
      </c>
      <c r="C120" s="1550">
        <f>'Input data'!C140</f>
        <v>6787.6000000000013</v>
      </c>
      <c r="D120" s="1550">
        <f>'Input data'!D140</f>
        <v>8762277.2373784631</v>
      </c>
      <c r="E120" s="1454">
        <f t="shared" si="88"/>
        <v>1</v>
      </c>
      <c r="F120" s="1504">
        <f t="shared" si="89"/>
        <v>0.36725000000000002</v>
      </c>
      <c r="G120" s="1511">
        <f>B120*F120*'Input data'!$C$9</f>
        <v>848.44448886988107</v>
      </c>
      <c r="H120" s="1542">
        <f>'Input data'!I140</f>
        <v>424.26313389388866</v>
      </c>
      <c r="I120" s="1509">
        <f>'Input data'!K140</f>
        <v>32023.948401447506</v>
      </c>
      <c r="J120" s="1509">
        <f t="shared" si="91"/>
        <v>2228.8062963921584</v>
      </c>
      <c r="K120" s="1511">
        <f t="shared" si="73"/>
        <v>12653.313307091908</v>
      </c>
      <c r="L120" s="1504">
        <f t="shared" si="90"/>
        <v>0.7</v>
      </c>
      <c r="M120" s="1504">
        <f t="shared" si="87"/>
        <v>0.6</v>
      </c>
      <c r="N120" s="1504">
        <f t="shared" si="87"/>
        <v>0.9</v>
      </c>
      <c r="O120" s="1504">
        <f t="shared" si="87"/>
        <v>0.9</v>
      </c>
      <c r="P120" s="1504">
        <f t="shared" si="87"/>
        <v>0.23600000000000002</v>
      </c>
      <c r="Q120" s="1508">
        <f t="shared" si="31"/>
        <v>342.89236188862628</v>
      </c>
      <c r="R120" s="1509">
        <f t="shared" si="32"/>
        <v>239.28094740278073</v>
      </c>
      <c r="S120" s="1509">
        <f t="shared" si="33"/>
        <v>700.713707136827</v>
      </c>
      <c r="T120" s="1509">
        <f t="shared" si="34"/>
        <v>471.81674538537345</v>
      </c>
      <c r="U120" s="1511">
        <f t="shared" si="35"/>
        <v>0</v>
      </c>
      <c r="V120" s="1509">
        <f t="shared" si="9"/>
        <v>1754.7037618136073</v>
      </c>
      <c r="W120" s="1454">
        <f t="shared" si="86"/>
        <v>0.5</v>
      </c>
      <c r="X120" s="530">
        <f t="shared" si="36"/>
        <v>3033.4854703020706</v>
      </c>
      <c r="Y120" s="528">
        <f t="shared" si="77"/>
        <v>4788.1892321156774</v>
      </c>
      <c r="Z120" s="528">
        <f t="shared" si="78"/>
        <v>10093.930371368389</v>
      </c>
      <c r="AA120" s="530">
        <f t="shared" si="79"/>
        <v>7865.124074976231</v>
      </c>
      <c r="AB120" s="1091">
        <f t="shared" si="37"/>
        <v>0.77919341481548099</v>
      </c>
      <c r="AC120" s="135" t="str">
        <f t="shared" si="38"/>
        <v>Yes</v>
      </c>
      <c r="AD120" s="1091">
        <f t="shared" si="39"/>
        <v>0.77919341481548099</v>
      </c>
      <c r="AE120" s="649">
        <f t="shared" si="10"/>
        <v>0.37364640081421818</v>
      </c>
      <c r="AF120" s="530">
        <f t="shared" si="11"/>
        <v>265.73874091627641</v>
      </c>
      <c r="AG120" s="527">
        <f t="shared" si="40"/>
        <v>2228.8062963921584</v>
      </c>
      <c r="AH120" s="528">
        <f t="shared" si="80"/>
        <v>10532.934377662898</v>
      </c>
      <c r="AI120" s="528">
        <f t="shared" si="81"/>
        <v>6437.6604656145792</v>
      </c>
      <c r="AJ120" s="528">
        <f t="shared" si="12"/>
        <v>858.9142017167735</v>
      </c>
      <c r="AK120" s="528">
        <f t="shared" si="41"/>
        <v>20058.315341386409</v>
      </c>
      <c r="AL120" s="716">
        <f t="shared" si="13"/>
        <v>0</v>
      </c>
      <c r="AM120" s="417">
        <f t="shared" si="42"/>
        <v>0.11111632549686028</v>
      </c>
      <c r="AN120" s="417">
        <f t="shared" si="43"/>
        <v>0.52511560409713209</v>
      </c>
      <c r="AO120" s="417">
        <f t="shared" si="44"/>
        <v>0.32094721595745013</v>
      </c>
      <c r="AP120" s="417">
        <f t="shared" si="45"/>
        <v>4.2820854448557405E-2</v>
      </c>
      <c r="AQ120" s="417">
        <f t="shared" si="46"/>
        <v>0.99999999999999989</v>
      </c>
      <c r="AR120" s="1086">
        <f t="shared" si="14"/>
        <v>493.40242558546436</v>
      </c>
      <c r="AS120" s="938">
        <f t="shared" si="15"/>
        <v>625.76775906400258</v>
      </c>
      <c r="AT120" s="938">
        <f t="shared" si="16"/>
        <v>118.15945760529783</v>
      </c>
      <c r="AU120" s="938">
        <f t="shared" si="17"/>
        <v>0</v>
      </c>
      <c r="AV120" s="938">
        <f t="shared" si="18"/>
        <v>0</v>
      </c>
      <c r="AW120" s="938">
        <f t="shared" si="19"/>
        <v>0</v>
      </c>
      <c r="AX120" s="938">
        <f t="shared" si="20"/>
        <v>825.18621695780257</v>
      </c>
      <c r="AY120" s="938">
        <f t="shared" si="21"/>
        <v>66.46830385243824</v>
      </c>
      <c r="AZ120" s="938">
        <f t="shared" si="22"/>
        <v>18.684257675944387</v>
      </c>
      <c r="BA120" s="938">
        <f t="shared" si="23"/>
        <v>48.257798154461234</v>
      </c>
      <c r="BB120" s="938">
        <f t="shared" si="24"/>
        <v>32.880077496745827</v>
      </c>
      <c r="BC120" s="530">
        <f t="shared" si="47"/>
        <v>2228.806296392157</v>
      </c>
      <c r="BD120" s="724">
        <f t="shared" si="48"/>
        <v>0</v>
      </c>
      <c r="BE120" s="436">
        <f t="shared" si="49"/>
        <v>0.22137519370083947</v>
      </c>
      <c r="BF120" s="624">
        <f t="shared" si="50"/>
        <v>0.28076363570802615</v>
      </c>
      <c r="BG120" s="624">
        <f t="shared" si="51"/>
        <v>5.3014682252363735E-2</v>
      </c>
      <c r="BH120" s="624">
        <f t="shared" si="52"/>
        <v>0</v>
      </c>
      <c r="BI120" s="624">
        <f t="shared" si="53"/>
        <v>0</v>
      </c>
      <c r="BJ120" s="624">
        <f t="shared" si="54"/>
        <v>0</v>
      </c>
      <c r="BK120" s="624">
        <f t="shared" si="55"/>
        <v>0.44484648833877066</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72.806816055620374</v>
      </c>
      <c r="BW120" s="114">
        <f t="shared" si="59"/>
        <v>0.78138382052367561</v>
      </c>
      <c r="BX120" s="1686">
        <f t="shared" si="25"/>
        <v>8.7622772373784628</v>
      </c>
      <c r="BY120" s="527">
        <f t="shared" si="60"/>
        <v>72.806816055620374</v>
      </c>
      <c r="BZ120" s="417">
        <f t="shared" si="61"/>
        <v>0.78138382052367561</v>
      </c>
      <c r="CA120" s="544">
        <f t="shared" si="26"/>
        <v>8.7622772373784628</v>
      </c>
      <c r="CB120" s="649">
        <f t="shared" si="27"/>
        <v>0.37364640081421818</v>
      </c>
      <c r="CC120" s="525">
        <f t="shared" si="62"/>
        <v>0.41665506317915713</v>
      </c>
      <c r="CD120" s="417">
        <f t="shared" si="28"/>
        <v>0.37364640081421818</v>
      </c>
      <c r="CE120" s="525">
        <f t="shared" si="63"/>
        <v>0.41665506317915713</v>
      </c>
      <c r="CG120" s="527">
        <f t="shared" si="64"/>
        <v>2000.2054443503191</v>
      </c>
      <c r="CH120" s="528">
        <f t="shared" si="65"/>
        <v>880.78876344581897</v>
      </c>
      <c r="CI120" s="528">
        <f t="shared" si="66"/>
        <v>3354.4805128890653</v>
      </c>
      <c r="CJ120" s="528">
        <f t="shared" si="67"/>
        <v>4246.3507084683633</v>
      </c>
      <c r="CK120" s="528">
        <f t="shared" si="68"/>
        <v>51.108948509330688</v>
      </c>
      <c r="CL120" s="528">
        <f t="shared" si="69"/>
        <v>10532.934377662898</v>
      </c>
      <c r="CM120" s="646">
        <f t="shared" si="70"/>
        <v>0</v>
      </c>
    </row>
    <row r="121" spans="1:91">
      <c r="A121" s="873">
        <f>'Input data'!A141</f>
        <v>2041</v>
      </c>
      <c r="B121" s="1551">
        <f>'Input data'!B141</f>
        <v>76.101885632753024</v>
      </c>
      <c r="C121" s="1550">
        <f>'Input data'!C141</f>
        <v>6981.3799999999992</v>
      </c>
      <c r="D121" s="1550">
        <f>'Input data'!D141</f>
        <v>7249397.5356904445</v>
      </c>
      <c r="E121" s="1454">
        <f t="shared" si="88"/>
        <v>1</v>
      </c>
      <c r="F121" s="1504">
        <f t="shared" si="89"/>
        <v>0.36725000000000002</v>
      </c>
      <c r="G121" s="1511">
        <f>B121*F121*'Input data'!$C$9</f>
        <v>855.41974210210844</v>
      </c>
      <c r="H121" s="1542">
        <f>'Input data'!I141</f>
        <v>424.26313389388866</v>
      </c>
      <c r="I121" s="1509">
        <f>'Input data'!K141</f>
        <v>32287.2244937861</v>
      </c>
      <c r="J121" s="1509">
        <f t="shared" si="91"/>
        <v>2228.8062963921584</v>
      </c>
      <c r="K121" s="1511">
        <f t="shared" si="73"/>
        <v>12775.662564148037</v>
      </c>
      <c r="L121" s="1504">
        <f t="shared" si="90"/>
        <v>0.7</v>
      </c>
      <c r="M121" s="1504">
        <f t="shared" si="87"/>
        <v>0.6</v>
      </c>
      <c r="N121" s="1504">
        <f t="shared" si="87"/>
        <v>0.9</v>
      </c>
      <c r="O121" s="1504">
        <f t="shared" si="87"/>
        <v>0.9</v>
      </c>
      <c r="P121" s="1504">
        <f t="shared" si="87"/>
        <v>0.23600000000000002</v>
      </c>
      <c r="Q121" s="1508">
        <f t="shared" si="31"/>
        <v>345.71135722296503</v>
      </c>
      <c r="R121" s="1509">
        <f t="shared" si="32"/>
        <v>241.248129962956</v>
      </c>
      <c r="S121" s="1509">
        <f t="shared" si="33"/>
        <v>706.47443234005414</v>
      </c>
      <c r="T121" s="1509">
        <f t="shared" si="34"/>
        <v>475.69565711317773</v>
      </c>
      <c r="U121" s="1511">
        <f t="shared" si="35"/>
        <v>0</v>
      </c>
      <c r="V121" s="1509">
        <f t="shared" si="9"/>
        <v>1769.1295766391529</v>
      </c>
      <c r="W121" s="1454">
        <f t="shared" si="86"/>
        <v>0.5</v>
      </c>
      <c r="X121" s="530">
        <f t="shared" si="36"/>
        <v>3033.4854703020706</v>
      </c>
      <c r="Y121" s="528">
        <f t="shared" si="77"/>
        <v>4802.6150469412232</v>
      </c>
      <c r="Z121" s="528">
        <f t="shared" si="78"/>
        <v>10201.853813598973</v>
      </c>
      <c r="AA121" s="530">
        <f t="shared" si="79"/>
        <v>7973.0475172068145</v>
      </c>
      <c r="AB121" s="1091">
        <f t="shared" si="37"/>
        <v>0.78152928505786068</v>
      </c>
      <c r="AC121" s="135" t="str">
        <f t="shared" si="38"/>
        <v>Yes</v>
      </c>
      <c r="AD121" s="1091">
        <f t="shared" si="39"/>
        <v>0.78152928505786068</v>
      </c>
      <c r="AE121" s="649">
        <f t="shared" si="10"/>
        <v>0.37613685839795552</v>
      </c>
      <c r="AF121" s="530">
        <f t="shared" si="11"/>
        <v>264.68213157697022</v>
      </c>
      <c r="AG121" s="527">
        <f t="shared" si="40"/>
        <v>2228.8062963921584</v>
      </c>
      <c r="AH121" s="528">
        <f t="shared" si="80"/>
        <v>10619.528003440928</v>
      </c>
      <c r="AI121" s="528">
        <f t="shared" si="81"/>
        <v>6437.6604656145792</v>
      </c>
      <c r="AJ121" s="528">
        <f t="shared" si="12"/>
        <v>856.81454085621317</v>
      </c>
      <c r="AK121" s="528">
        <f t="shared" si="41"/>
        <v>20142.809306303876</v>
      </c>
      <c r="AL121" s="716">
        <f t="shared" si="13"/>
        <v>0</v>
      </c>
      <c r="AM121" s="417">
        <f t="shared" si="42"/>
        <v>0.11065022075617988</v>
      </c>
      <c r="AN121" s="417">
        <f t="shared" si="43"/>
        <v>0.5272118621565588</v>
      </c>
      <c r="AO121" s="417">
        <f t="shared" si="44"/>
        <v>0.31960092396842849</v>
      </c>
      <c r="AP121" s="417">
        <f t="shared" si="45"/>
        <v>4.2536993118832994E-2</v>
      </c>
      <c r="AQ121" s="417">
        <f t="shared" si="46"/>
        <v>1.0000000000000002</v>
      </c>
      <c r="AR121" s="1086">
        <f t="shared" si="14"/>
        <v>494.59829869193982</v>
      </c>
      <c r="AS121" s="938">
        <f t="shared" si="15"/>
        <v>627.28444969047473</v>
      </c>
      <c r="AT121" s="938">
        <f t="shared" si="16"/>
        <v>117.8706106076082</v>
      </c>
      <c r="AU121" s="938">
        <f t="shared" si="17"/>
        <v>0</v>
      </c>
      <c r="AV121" s="938">
        <f t="shared" si="18"/>
        <v>0</v>
      </c>
      <c r="AW121" s="938">
        <f t="shared" si="19"/>
        <v>0</v>
      </c>
      <c r="AX121" s="938">
        <f t="shared" si="20"/>
        <v>823.16900592676234</v>
      </c>
      <c r="AY121" s="938">
        <f t="shared" si="21"/>
        <v>66.305818593971395</v>
      </c>
      <c r="AZ121" s="938">
        <f t="shared" si="22"/>
        <v>18.638583027100132</v>
      </c>
      <c r="BA121" s="938">
        <f t="shared" si="23"/>
        <v>48.139829433255748</v>
      </c>
      <c r="BB121" s="938">
        <f t="shared" si="24"/>
        <v>32.799700421044761</v>
      </c>
      <c r="BC121" s="530">
        <f t="shared" si="47"/>
        <v>2228.806296392157</v>
      </c>
      <c r="BD121" s="724">
        <f t="shared" si="48"/>
        <v>0</v>
      </c>
      <c r="BE121" s="436">
        <f t="shared" si="49"/>
        <v>0.22191174688108273</v>
      </c>
      <c r="BF121" s="624">
        <f t="shared" si="50"/>
        <v>0.28144413029785537</v>
      </c>
      <c r="BG121" s="624">
        <f t="shared" si="51"/>
        <v>5.2885085078236402E-2</v>
      </c>
      <c r="BH121" s="624">
        <f t="shared" si="52"/>
        <v>0</v>
      </c>
      <c r="BI121" s="624">
        <f t="shared" si="53"/>
        <v>0</v>
      </c>
      <c r="BJ121" s="624">
        <f t="shared" si="54"/>
        <v>0</v>
      </c>
      <c r="BK121" s="624">
        <f t="shared" si="55"/>
        <v>0.44375903774282555</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73.279774001463252</v>
      </c>
      <c r="BW121" s="114">
        <f t="shared" si="59"/>
        <v>0.78279480002766633</v>
      </c>
      <c r="BX121" s="1686">
        <f t="shared" si="25"/>
        <v>7.2493975356904441</v>
      </c>
      <c r="BY121" s="527">
        <f t="shared" si="60"/>
        <v>73.279774001463252</v>
      </c>
      <c r="BZ121" s="417">
        <f t="shared" si="61"/>
        <v>0.78279480002766633</v>
      </c>
      <c r="CA121" s="544">
        <f t="shared" si="26"/>
        <v>7.2493975356904441</v>
      </c>
      <c r="CB121" s="649">
        <f t="shared" si="27"/>
        <v>0.37613685839795552</v>
      </c>
      <c r="CC121" s="525">
        <f t="shared" si="62"/>
        <v>0.41763050235619459</v>
      </c>
      <c r="CD121" s="417">
        <f t="shared" si="28"/>
        <v>0.37613685839795552</v>
      </c>
      <c r="CE121" s="525">
        <f t="shared" si="63"/>
        <v>0.41763050235619459</v>
      </c>
      <c r="CG121" s="527">
        <f t="shared" si="64"/>
        <v>2016.6495838006292</v>
      </c>
      <c r="CH121" s="528">
        <f t="shared" si="65"/>
        <v>888.0299262440102</v>
      </c>
      <c r="CI121" s="528">
        <f t="shared" si="66"/>
        <v>3382.0584526917501</v>
      </c>
      <c r="CJ121" s="528">
        <f t="shared" si="67"/>
        <v>4281.2609140186023</v>
      </c>
      <c r="CK121" s="528">
        <f t="shared" si="68"/>
        <v>51.529126685937506</v>
      </c>
      <c r="CL121" s="528">
        <f t="shared" si="69"/>
        <v>10619.528003440928</v>
      </c>
      <c r="CM121" s="646">
        <f t="shared" si="70"/>
        <v>0</v>
      </c>
    </row>
    <row r="122" spans="1:91">
      <c r="A122" s="873">
        <f>'Input data'!A142</f>
        <v>2042</v>
      </c>
      <c r="B122" s="1551">
        <f>'Input data'!B142</f>
        <v>76.709073592680113</v>
      </c>
      <c r="C122" s="1550">
        <f>'Input data'!C142</f>
        <v>7178.2100000000019</v>
      </c>
      <c r="D122" s="1550">
        <f>'Input data'!D142</f>
        <v>5736517.8340024278</v>
      </c>
      <c r="E122" s="1454">
        <f t="shared" si="88"/>
        <v>1</v>
      </c>
      <c r="F122" s="1504">
        <f t="shared" si="89"/>
        <v>0.36725000000000002</v>
      </c>
      <c r="G122" s="1511">
        <f>B122*F122*'Input data'!$C$9</f>
        <v>862.24481041375077</v>
      </c>
      <c r="H122" s="1542">
        <f>'Input data'!I142</f>
        <v>424.26313389388866</v>
      </c>
      <c r="I122" s="1509">
        <f>'Input data'!K142</f>
        <v>32544.831960527401</v>
      </c>
      <c r="J122" s="1509">
        <f t="shared" si="91"/>
        <v>2228.8062963921584</v>
      </c>
      <c r="K122" s="1511">
        <f t="shared" si="73"/>
        <v>12895.377506313673</v>
      </c>
      <c r="L122" s="1504">
        <f t="shared" si="90"/>
        <v>0.7</v>
      </c>
      <c r="M122" s="1504">
        <f t="shared" si="87"/>
        <v>0.6</v>
      </c>
      <c r="N122" s="1504">
        <f t="shared" si="87"/>
        <v>0.9</v>
      </c>
      <c r="O122" s="1504">
        <f t="shared" si="87"/>
        <v>0.9</v>
      </c>
      <c r="P122" s="1504">
        <f t="shared" si="87"/>
        <v>0.23600000000000002</v>
      </c>
      <c r="Q122" s="1508">
        <f t="shared" si="31"/>
        <v>348.46965646838476</v>
      </c>
      <c r="R122" s="1509">
        <f t="shared" si="32"/>
        <v>243.17295690581682</v>
      </c>
      <c r="S122" s="1509">
        <f t="shared" si="33"/>
        <v>712.11112275510186</v>
      </c>
      <c r="T122" s="1509">
        <f t="shared" si="34"/>
        <v>479.49105157925624</v>
      </c>
      <c r="U122" s="1511">
        <f t="shared" si="35"/>
        <v>0</v>
      </c>
      <c r="V122" s="1509">
        <f t="shared" si="9"/>
        <v>1783.2447877085597</v>
      </c>
      <c r="W122" s="1454">
        <f t="shared" si="86"/>
        <v>0.5</v>
      </c>
      <c r="X122" s="530">
        <f t="shared" si="36"/>
        <v>3033.4854703020706</v>
      </c>
      <c r="Y122" s="528">
        <f t="shared" si="77"/>
        <v>4816.7302580106298</v>
      </c>
      <c r="Z122" s="528">
        <f t="shared" si="78"/>
        <v>10307.453544695201</v>
      </c>
      <c r="AA122" s="530">
        <f t="shared" si="79"/>
        <v>8078.6472483030429</v>
      </c>
      <c r="AB122" s="1091">
        <f t="shared" si="37"/>
        <v>0.78376751476709505</v>
      </c>
      <c r="AC122" s="135" t="str">
        <f t="shared" si="38"/>
        <v>Yes</v>
      </c>
      <c r="AD122" s="1091">
        <f t="shared" si="39"/>
        <v>0.78376751476709505</v>
      </c>
      <c r="AE122" s="649">
        <f t="shared" si="10"/>
        <v>0.37853338416272353</v>
      </c>
      <c r="AF122" s="530">
        <f t="shared" si="11"/>
        <v>263.66537404555231</v>
      </c>
      <c r="AG122" s="527">
        <f t="shared" si="40"/>
        <v>2228.8062963921584</v>
      </c>
      <c r="AH122" s="528">
        <f t="shared" si="80"/>
        <v>10704.257172635427</v>
      </c>
      <c r="AI122" s="528">
        <f t="shared" si="81"/>
        <v>6437.6604656145792</v>
      </c>
      <c r="AJ122" s="528">
        <f t="shared" si="12"/>
        <v>854.802646859638</v>
      </c>
      <c r="AK122" s="528">
        <f t="shared" si="41"/>
        <v>20225.526581501799</v>
      </c>
      <c r="AL122" s="716">
        <f t="shared" si="13"/>
        <v>0</v>
      </c>
      <c r="AM122" s="417">
        <f t="shared" si="42"/>
        <v>0.11019768941050057</v>
      </c>
      <c r="AN122" s="417">
        <f t="shared" si="43"/>
        <v>0.52924491876644175</v>
      </c>
      <c r="AO122" s="417">
        <f t="shared" si="44"/>
        <v>0.31829383722955534</v>
      </c>
      <c r="AP122" s="417">
        <f t="shared" si="45"/>
        <v>4.2263554593502534E-2</v>
      </c>
      <c r="AQ122" s="417">
        <f t="shared" si="46"/>
        <v>1.0000000000000002</v>
      </c>
      <c r="AR122" s="1086">
        <f t="shared" si="14"/>
        <v>495.74418371021949</v>
      </c>
      <c r="AS122" s="938">
        <f t="shared" si="15"/>
        <v>628.73774189750623</v>
      </c>
      <c r="AT122" s="938">
        <f t="shared" si="16"/>
        <v>117.59383755749502</v>
      </c>
      <c r="AU122" s="938">
        <f t="shared" si="17"/>
        <v>0</v>
      </c>
      <c r="AV122" s="938">
        <f t="shared" si="18"/>
        <v>0</v>
      </c>
      <c r="AW122" s="938">
        <f t="shared" si="19"/>
        <v>0</v>
      </c>
      <c r="AX122" s="938">
        <f t="shared" si="20"/>
        <v>821.23611531599408</v>
      </c>
      <c r="AY122" s="938">
        <f t="shared" si="21"/>
        <v>66.150125299791412</v>
      </c>
      <c r="AZ122" s="938">
        <f t="shared" si="22"/>
        <v>18.594817601201324</v>
      </c>
      <c r="BA122" s="938">
        <f t="shared" si="23"/>
        <v>48.026791863029601</v>
      </c>
      <c r="BB122" s="938">
        <f t="shared" si="24"/>
        <v>32.722683146920758</v>
      </c>
      <c r="BC122" s="530">
        <f t="shared" si="47"/>
        <v>2228.8062963921579</v>
      </c>
      <c r="BD122" s="724">
        <f t="shared" si="48"/>
        <v>0</v>
      </c>
      <c r="BE122" s="436">
        <f t="shared" si="49"/>
        <v>0.22242587187262389</v>
      </c>
      <c r="BF122" s="624">
        <f t="shared" si="50"/>
        <v>0.28209617987676394</v>
      </c>
      <c r="BG122" s="624">
        <f t="shared" si="51"/>
        <v>5.2760905130180238E-2</v>
      </c>
      <c r="BH122" s="624">
        <f t="shared" si="52"/>
        <v>0</v>
      </c>
      <c r="BI122" s="624">
        <f t="shared" si="53"/>
        <v>0</v>
      </c>
      <c r="BJ122" s="624">
        <f t="shared" si="54"/>
        <v>0</v>
      </c>
      <c r="BK122" s="624">
        <f t="shared" si="55"/>
        <v>0.44271704312043192</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73.766594272850725</v>
      </c>
      <c r="BW122" s="114">
        <f t="shared" si="59"/>
        <v>0.78422823877374948</v>
      </c>
      <c r="BX122" s="1686">
        <f t="shared" si="25"/>
        <v>5.7365178340024281</v>
      </c>
      <c r="BY122" s="527">
        <f t="shared" si="60"/>
        <v>73.766594272850725</v>
      </c>
      <c r="BZ122" s="417">
        <f t="shared" si="61"/>
        <v>0.78422823877374948</v>
      </c>
      <c r="CA122" s="544">
        <f t="shared" si="26"/>
        <v>5.7365178340024281</v>
      </c>
      <c r="CB122" s="649">
        <f t="shared" si="27"/>
        <v>0.37853338416272353</v>
      </c>
      <c r="CC122" s="525">
        <f t="shared" si="62"/>
        <v>0.41865044062267498</v>
      </c>
      <c r="CD122" s="417">
        <f t="shared" si="28"/>
        <v>0.37853338416272353</v>
      </c>
      <c r="CE122" s="525">
        <f t="shared" si="63"/>
        <v>0.41865044062267498</v>
      </c>
      <c r="CG122" s="527">
        <f t="shared" si="64"/>
        <v>2032.7396627322439</v>
      </c>
      <c r="CH122" s="528">
        <f t="shared" si="65"/>
        <v>895.11517879441783</v>
      </c>
      <c r="CI122" s="528">
        <f t="shared" si="66"/>
        <v>3409.0426089339999</v>
      </c>
      <c r="CJ122" s="528">
        <f t="shared" si="67"/>
        <v>4315.4194642133125</v>
      </c>
      <c r="CK122" s="528">
        <f t="shared" si="68"/>
        <v>51.94025796145209</v>
      </c>
      <c r="CL122" s="528">
        <f t="shared" si="69"/>
        <v>10704.257172635427</v>
      </c>
      <c r="CM122" s="646">
        <f t="shared" si="70"/>
        <v>0</v>
      </c>
    </row>
    <row r="123" spans="1:91">
      <c r="A123" s="873">
        <f>'Input data'!A143</f>
        <v>2043</v>
      </c>
      <c r="B123" s="1551">
        <f>'Input data'!B143</f>
        <v>77.302495984815266</v>
      </c>
      <c r="C123" s="1550">
        <f>'Input data'!C143</f>
        <v>7380.12</v>
      </c>
      <c r="D123" s="1550">
        <f>'Input data'!D143</f>
        <v>4223638.132314411</v>
      </c>
      <c r="E123" s="1454">
        <f t="shared" si="88"/>
        <v>1</v>
      </c>
      <c r="F123" s="1504">
        <f t="shared" si="89"/>
        <v>0.36725000000000002</v>
      </c>
      <c r="G123" s="1511">
        <f>B123*F123*'Input data'!$C$9</f>
        <v>868.91514749432633</v>
      </c>
      <c r="H123" s="1542">
        <f>'Input data'!I143</f>
        <v>424.26313389388866</v>
      </c>
      <c r="I123" s="1509">
        <f>'Input data'!K143</f>
        <v>32796.599204337472</v>
      </c>
      <c r="J123" s="1509">
        <f t="shared" si="91"/>
        <v>2228.8062963921584</v>
      </c>
      <c r="K123" s="1511">
        <f t="shared" si="73"/>
        <v>13012.378389142088</v>
      </c>
      <c r="L123" s="1504">
        <f t="shared" si="90"/>
        <v>0.7</v>
      </c>
      <c r="M123" s="1504">
        <f t="shared" si="87"/>
        <v>0.6</v>
      </c>
      <c r="N123" s="1504">
        <f t="shared" si="87"/>
        <v>0.9</v>
      </c>
      <c r="O123" s="1504">
        <f t="shared" si="87"/>
        <v>0.9</v>
      </c>
      <c r="P123" s="1504">
        <f t="shared" si="87"/>
        <v>0.23600000000000002</v>
      </c>
      <c r="Q123" s="1508">
        <f t="shared" si="31"/>
        <v>351.1654222682173</v>
      </c>
      <c r="R123" s="1509">
        <f t="shared" si="32"/>
        <v>245.05414606677414</v>
      </c>
      <c r="S123" s="1509">
        <f t="shared" si="33"/>
        <v>717.62002367307241</v>
      </c>
      <c r="T123" s="1509">
        <f t="shared" si="34"/>
        <v>483.20040059768462</v>
      </c>
      <c r="U123" s="1511">
        <f t="shared" si="35"/>
        <v>0</v>
      </c>
      <c r="V123" s="1509">
        <f t="shared" si="9"/>
        <v>1797.0399926057485</v>
      </c>
      <c r="W123" s="1454">
        <f t="shared" si="86"/>
        <v>0.5</v>
      </c>
      <c r="X123" s="530">
        <f t="shared" si="36"/>
        <v>3033.4854703020706</v>
      </c>
      <c r="Y123" s="528">
        <f t="shared" si="77"/>
        <v>4830.525462907819</v>
      </c>
      <c r="Z123" s="528">
        <f t="shared" si="78"/>
        <v>10410.659222626427</v>
      </c>
      <c r="AA123" s="530">
        <f t="shared" si="79"/>
        <v>8181.852926234269</v>
      </c>
      <c r="AB123" s="1091">
        <f t="shared" si="37"/>
        <v>0.78591112736183966</v>
      </c>
      <c r="AC123" s="135" t="str">
        <f t="shared" si="38"/>
        <v>Yes</v>
      </c>
      <c r="AD123" s="1091">
        <f t="shared" si="39"/>
        <v>0.78591112736183966</v>
      </c>
      <c r="AE123" s="649">
        <f t="shared" si="10"/>
        <v>0.38083799838405907</v>
      </c>
      <c r="AF123" s="530">
        <f t="shared" si="11"/>
        <v>262.68761119359209</v>
      </c>
      <c r="AG123" s="527">
        <f t="shared" si="40"/>
        <v>2228.8062963921584</v>
      </c>
      <c r="AH123" s="528">
        <f t="shared" si="80"/>
        <v>10787.065445502138</v>
      </c>
      <c r="AI123" s="528">
        <f t="shared" si="81"/>
        <v>6437.6604656145792</v>
      </c>
      <c r="AJ123" s="528">
        <f t="shared" si="12"/>
        <v>852.87580204448932</v>
      </c>
      <c r="AK123" s="528">
        <f t="shared" si="41"/>
        <v>20306.408009553365</v>
      </c>
      <c r="AL123" s="716">
        <f t="shared" si="13"/>
        <v>0</v>
      </c>
      <c r="AM123" s="417">
        <f t="shared" si="42"/>
        <v>0.10975876655997421</v>
      </c>
      <c r="AN123" s="417">
        <f t="shared" si="43"/>
        <v>0.5312148480630966</v>
      </c>
      <c r="AO123" s="417">
        <f t="shared" si="44"/>
        <v>0.31702605712373716</v>
      </c>
      <c r="AP123" s="417">
        <f t="shared" si="45"/>
        <v>4.200032825319204E-2</v>
      </c>
      <c r="AQ123" s="417">
        <f t="shared" si="46"/>
        <v>1</v>
      </c>
      <c r="AR123" s="1086">
        <f t="shared" si="14"/>
        <v>496.84162851098267</v>
      </c>
      <c r="AS123" s="938">
        <f t="shared" si="15"/>
        <v>630.12959880387461</v>
      </c>
      <c r="AT123" s="938">
        <f t="shared" si="16"/>
        <v>117.32876458770073</v>
      </c>
      <c r="AU123" s="938">
        <f t="shared" si="17"/>
        <v>0</v>
      </c>
      <c r="AV123" s="938">
        <f t="shared" si="18"/>
        <v>0</v>
      </c>
      <c r="AW123" s="938">
        <f t="shared" si="19"/>
        <v>0</v>
      </c>
      <c r="AX123" s="938">
        <f t="shared" si="20"/>
        <v>819.38493416134634</v>
      </c>
      <c r="AY123" s="938">
        <f t="shared" si="21"/>
        <v>66.00101365814686</v>
      </c>
      <c r="AZ123" s="938">
        <f t="shared" si="22"/>
        <v>18.552902279559376</v>
      </c>
      <c r="BA123" s="938">
        <f t="shared" si="23"/>
        <v>47.918532751725408</v>
      </c>
      <c r="BB123" s="938">
        <f t="shared" si="24"/>
        <v>32.64892163882174</v>
      </c>
      <c r="BC123" s="530">
        <f t="shared" si="47"/>
        <v>2228.8062963921579</v>
      </c>
      <c r="BD123" s="724">
        <f t="shared" si="48"/>
        <v>0</v>
      </c>
      <c r="BE123" s="436">
        <f t="shared" si="49"/>
        <v>0.2229182631596279</v>
      </c>
      <c r="BF123" s="624">
        <f t="shared" si="50"/>
        <v>0.28272066523855666</v>
      </c>
      <c r="BG123" s="624">
        <f t="shared" si="51"/>
        <v>5.2641974664924748E-2</v>
      </c>
      <c r="BH123" s="624">
        <f t="shared" si="52"/>
        <v>0</v>
      </c>
      <c r="BI123" s="624">
        <f t="shared" si="53"/>
        <v>0</v>
      </c>
      <c r="BJ123" s="624">
        <f t="shared" si="54"/>
        <v>0</v>
      </c>
      <c r="BK123" s="624">
        <f t="shared" si="55"/>
        <v>0.44171909693689054</v>
      </c>
      <c r="BL123" s="624">
        <f t="shared" si="56"/>
        <v>0.99999999999999978</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74.277626630712035</v>
      </c>
      <c r="BW123" s="114">
        <f t="shared" si="59"/>
        <v>0.78571275513353533</v>
      </c>
      <c r="BX123" s="1686">
        <f t="shared" si="25"/>
        <v>4.2236381323144112</v>
      </c>
      <c r="BY123" s="527">
        <f t="shared" si="60"/>
        <v>74.277626630712035</v>
      </c>
      <c r="BZ123" s="417">
        <f t="shared" si="61"/>
        <v>0.78571275513353533</v>
      </c>
      <c r="CA123" s="544">
        <f t="shared" si="26"/>
        <v>4.2236381323144112</v>
      </c>
      <c r="CB123" s="649">
        <f t="shared" si="27"/>
        <v>0.38083799838405907</v>
      </c>
      <c r="CC123" s="525">
        <f t="shared" si="62"/>
        <v>0.41975290393317</v>
      </c>
      <c r="CD123" s="417">
        <f t="shared" si="28"/>
        <v>0.38083799838405907</v>
      </c>
      <c r="CE123" s="525">
        <f t="shared" si="63"/>
        <v>0.41975290393317</v>
      </c>
      <c r="CG123" s="527">
        <f t="shared" si="64"/>
        <v>2048.4649632312671</v>
      </c>
      <c r="CH123" s="528">
        <f t="shared" si="65"/>
        <v>902.03980147278855</v>
      </c>
      <c r="CI123" s="528">
        <f t="shared" si="66"/>
        <v>3435.4150069455609</v>
      </c>
      <c r="CJ123" s="528">
        <f t="shared" si="67"/>
        <v>4348.8036053791693</v>
      </c>
      <c r="CK123" s="528">
        <f t="shared" si="68"/>
        <v>52.342068473351468</v>
      </c>
      <c r="CL123" s="528">
        <f t="shared" si="69"/>
        <v>10787.065445502138</v>
      </c>
      <c r="CM123" s="646">
        <f t="shared" si="70"/>
        <v>0</v>
      </c>
    </row>
    <row r="124" spans="1:91">
      <c r="A124" s="873">
        <f>'Input data'!A144</f>
        <v>2044</v>
      </c>
      <c r="B124" s="1551">
        <f>'Input data'!B144</f>
        <v>77.881755043150378</v>
      </c>
      <c r="C124" s="1550">
        <f>'Input data'!C144</f>
        <v>7589.87</v>
      </c>
      <c r="D124" s="1550">
        <f>'Input data'!D144</f>
        <v>2710758.4306263938</v>
      </c>
      <c r="E124" s="1454">
        <f t="shared" si="88"/>
        <v>1</v>
      </c>
      <c r="F124" s="1504">
        <f t="shared" si="89"/>
        <v>0.36725000000000002</v>
      </c>
      <c r="G124" s="1511">
        <f>B124*F124*'Input data'!$C$9</f>
        <v>875.42628227333205</v>
      </c>
      <c r="H124" s="1542">
        <f>'Input data'!I144</f>
        <v>424.26313389388866</v>
      </c>
      <c r="I124" s="1509">
        <f>'Input data'!K144</f>
        <v>33042.357467763148</v>
      </c>
      <c r="J124" s="1509">
        <f t="shared" si="91"/>
        <v>2228.8062963921584</v>
      </c>
      <c r="K124" s="1511">
        <f t="shared" si="73"/>
        <v>13126.586787931543</v>
      </c>
      <c r="L124" s="1504">
        <f t="shared" si="90"/>
        <v>0.7</v>
      </c>
      <c r="M124" s="1504">
        <f t="shared" si="87"/>
        <v>0.6</v>
      </c>
      <c r="N124" s="1504">
        <f t="shared" si="87"/>
        <v>0.9</v>
      </c>
      <c r="O124" s="1504">
        <f t="shared" si="87"/>
        <v>0.9</v>
      </c>
      <c r="P124" s="1504">
        <f t="shared" si="87"/>
        <v>0.23600000000000002</v>
      </c>
      <c r="Q124" s="1508">
        <f t="shared" si="31"/>
        <v>353.79684767345748</v>
      </c>
      <c r="R124" s="1509">
        <f t="shared" si="32"/>
        <v>246.8904365006515</v>
      </c>
      <c r="S124" s="1509">
        <f t="shared" si="33"/>
        <v>722.99744252429491</v>
      </c>
      <c r="T124" s="1509">
        <f t="shared" si="34"/>
        <v>486.82121782320246</v>
      </c>
      <c r="U124" s="1511">
        <f t="shared" si="35"/>
        <v>0</v>
      </c>
      <c r="V124" s="1509">
        <f t="shared" si="9"/>
        <v>1810.5059445216064</v>
      </c>
      <c r="W124" s="1454">
        <f t="shared" si="86"/>
        <v>0.5</v>
      </c>
      <c r="X124" s="530">
        <f t="shared" si="36"/>
        <v>3033.4854703020706</v>
      </c>
      <c r="Y124" s="528">
        <f t="shared" si="77"/>
        <v>4843.9914148236767</v>
      </c>
      <c r="Z124" s="528">
        <f t="shared" si="78"/>
        <v>10511.401669500025</v>
      </c>
      <c r="AA124" s="530">
        <f t="shared" si="79"/>
        <v>8282.5953731078662</v>
      </c>
      <c r="AB124" s="1091">
        <f t="shared" si="37"/>
        <v>0.78796297901360934</v>
      </c>
      <c r="AC124" s="135" t="str">
        <f t="shared" si="38"/>
        <v>Yes</v>
      </c>
      <c r="AD124" s="1091">
        <f t="shared" si="39"/>
        <v>0.78796297901360934</v>
      </c>
      <c r="AE124" s="649">
        <f t="shared" si="10"/>
        <v>0.38305263063283224</v>
      </c>
      <c r="AF124" s="530">
        <f t="shared" si="11"/>
        <v>261.74802437530508</v>
      </c>
      <c r="AG124" s="527">
        <f t="shared" si="40"/>
        <v>2228.8062963921584</v>
      </c>
      <c r="AH124" s="528">
        <f t="shared" si="80"/>
        <v>10867.897316356451</v>
      </c>
      <c r="AI124" s="528">
        <f t="shared" si="81"/>
        <v>6437.6604656145792</v>
      </c>
      <c r="AJ124" s="528">
        <f t="shared" si="12"/>
        <v>851.03143906287619</v>
      </c>
      <c r="AK124" s="528">
        <f t="shared" si="41"/>
        <v>20385.395517426066</v>
      </c>
      <c r="AL124" s="716">
        <f t="shared" si="13"/>
        <v>0</v>
      </c>
      <c r="AM124" s="417">
        <f t="shared" si="42"/>
        <v>0.10933348310494667</v>
      </c>
      <c r="AN124" s="417">
        <f t="shared" si="43"/>
        <v>0.53312172957675685</v>
      </c>
      <c r="AO124" s="417">
        <f t="shared" si="44"/>
        <v>0.31579767290320504</v>
      </c>
      <c r="AP124" s="417">
        <f t="shared" si="45"/>
        <v>4.1747114415091345E-2</v>
      </c>
      <c r="AQ124" s="417">
        <f t="shared" si="46"/>
        <v>1</v>
      </c>
      <c r="AR124" s="1086">
        <f t="shared" si="14"/>
        <v>497.89209534099319</v>
      </c>
      <c r="AS124" s="938">
        <f t="shared" si="15"/>
        <v>631.46187493406762</v>
      </c>
      <c r="AT124" s="938">
        <f t="shared" si="16"/>
        <v>117.07503851226845</v>
      </c>
      <c r="AU124" s="938">
        <f t="shared" si="17"/>
        <v>0</v>
      </c>
      <c r="AV124" s="938">
        <f t="shared" si="18"/>
        <v>0</v>
      </c>
      <c r="AW124" s="938">
        <f t="shared" si="19"/>
        <v>0</v>
      </c>
      <c r="AX124" s="938">
        <f t="shared" si="20"/>
        <v>817.61299592996977</v>
      </c>
      <c r="AY124" s="938">
        <f t="shared" si="21"/>
        <v>65.858284991149574</v>
      </c>
      <c r="AZ124" s="938">
        <f t="shared" si="22"/>
        <v>18.512781213767703</v>
      </c>
      <c r="BA124" s="938">
        <f t="shared" si="23"/>
        <v>47.814907853787652</v>
      </c>
      <c r="BB124" s="938">
        <f t="shared" si="24"/>
        <v>32.578317616154095</v>
      </c>
      <c r="BC124" s="530">
        <f t="shared" si="47"/>
        <v>2228.8062963921579</v>
      </c>
      <c r="BD124" s="724">
        <f t="shared" si="48"/>
        <v>0</v>
      </c>
      <c r="BE124" s="436">
        <f t="shared" si="49"/>
        <v>0.22338957680932053</v>
      </c>
      <c r="BF124" s="624">
        <f t="shared" si="50"/>
        <v>0.28331841845396605</v>
      </c>
      <c r="BG124" s="624">
        <f t="shared" si="51"/>
        <v>5.2528135218292263E-2</v>
      </c>
      <c r="BH124" s="624">
        <f t="shared" si="52"/>
        <v>0</v>
      </c>
      <c r="BI124" s="624">
        <f t="shared" si="53"/>
        <v>0</v>
      </c>
      <c r="BJ124" s="624">
        <f t="shared" si="54"/>
        <v>0</v>
      </c>
      <c r="BK124" s="624">
        <f t="shared" si="55"/>
        <v>0.44076386951842123</v>
      </c>
      <c r="BL124" s="624">
        <f t="shared" si="56"/>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74.826965028942311</v>
      </c>
      <c r="BW124" s="114">
        <f t="shared" si="59"/>
        <v>0.7872859341581101</v>
      </c>
      <c r="BX124" s="1686">
        <f t="shared" si="25"/>
        <v>2.7107584306263939</v>
      </c>
      <c r="BY124" s="527">
        <f t="shared" si="60"/>
        <v>74.826965028942311</v>
      </c>
      <c r="BZ124" s="417">
        <f t="shared" si="61"/>
        <v>0.7872859341581101</v>
      </c>
      <c r="CA124" s="544">
        <f t="shared" si="26"/>
        <v>2.7107584306263939</v>
      </c>
      <c r="CB124" s="649">
        <f t="shared" si="27"/>
        <v>0.38305263063283224</v>
      </c>
      <c r="CC124" s="525">
        <f t="shared" si="62"/>
        <v>0.42098731680845014</v>
      </c>
      <c r="CD124" s="417">
        <f t="shared" si="28"/>
        <v>0.38305263063283224</v>
      </c>
      <c r="CE124" s="525">
        <f t="shared" si="63"/>
        <v>0.42098731680845014</v>
      </c>
      <c r="CG124" s="527">
        <f t="shared" si="64"/>
        <v>2063.8149447618362</v>
      </c>
      <c r="CH124" s="528">
        <f t="shared" si="65"/>
        <v>908.79915276313432</v>
      </c>
      <c r="CI124" s="528">
        <f t="shared" si="66"/>
        <v>3461.1579695311998</v>
      </c>
      <c r="CJ124" s="528">
        <f t="shared" si="67"/>
        <v>4381.3909604088321</v>
      </c>
      <c r="CK124" s="528">
        <f t="shared" si="68"/>
        <v>52.734288891449495</v>
      </c>
      <c r="CL124" s="528">
        <f t="shared" si="69"/>
        <v>10867.897316356451</v>
      </c>
      <c r="CM124" s="646">
        <f t="shared" si="70"/>
        <v>0</v>
      </c>
    </row>
    <row r="125" spans="1:91">
      <c r="A125" s="873">
        <f>'Input data'!A145</f>
        <v>2045</v>
      </c>
      <c r="B125" s="1551">
        <f>'Input data'!B145</f>
        <v>78.446460136387472</v>
      </c>
      <c r="C125" s="1550">
        <f>'Input data'!C145</f>
        <v>7808.4800000000005</v>
      </c>
      <c r="D125" s="1550">
        <f>'Input data'!D145</f>
        <v>1197878.7289383768</v>
      </c>
      <c r="E125" s="1454">
        <f t="shared" si="88"/>
        <v>1</v>
      </c>
      <c r="F125" s="1504">
        <f t="shared" si="89"/>
        <v>0.36725000000000002</v>
      </c>
      <c r="G125" s="1511">
        <f>B125*F125*'Input data'!$C$9</f>
        <v>881.77382387764567</v>
      </c>
      <c r="H125" s="1542">
        <f>'Input data'!I145</f>
        <v>424.26313389388866</v>
      </c>
      <c r="I125" s="1509">
        <f>'Input data'!K145</f>
        <v>33281.941020345759</v>
      </c>
      <c r="J125" s="1509">
        <f t="shared" si="91"/>
        <v>2228.8062963921584</v>
      </c>
      <c r="K125" s="1511">
        <f t="shared" si="73"/>
        <v>13237.92568468048</v>
      </c>
      <c r="L125" s="1504">
        <f t="shared" si="90"/>
        <v>0.7</v>
      </c>
      <c r="M125" s="1504">
        <f t="shared" si="87"/>
        <v>0.6</v>
      </c>
      <c r="N125" s="1504">
        <f t="shared" si="87"/>
        <v>0.9</v>
      </c>
      <c r="O125" s="1504">
        <f t="shared" si="87"/>
        <v>0.9</v>
      </c>
      <c r="P125" s="1504">
        <f t="shared" si="87"/>
        <v>0.23600000000000002</v>
      </c>
      <c r="Q125" s="1508">
        <f t="shared" si="31"/>
        <v>356.3621581462603</v>
      </c>
      <c r="R125" s="1509">
        <f t="shared" si="32"/>
        <v>248.68058987978623</v>
      </c>
      <c r="S125" s="1509">
        <f t="shared" si="33"/>
        <v>728.23975297254628</v>
      </c>
      <c r="T125" s="1509">
        <f t="shared" si="34"/>
        <v>490.35106150800857</v>
      </c>
      <c r="U125" s="1511">
        <f t="shared" si="35"/>
        <v>0</v>
      </c>
      <c r="V125" s="1509">
        <f t="shared" si="9"/>
        <v>1823.6335625066013</v>
      </c>
      <c r="W125" s="1454">
        <f t="shared" si="86"/>
        <v>0.5</v>
      </c>
      <c r="X125" s="530">
        <f t="shared" si="36"/>
        <v>3033.4854703020706</v>
      </c>
      <c r="Y125" s="528">
        <f t="shared" si="77"/>
        <v>4857.1190328086723</v>
      </c>
      <c r="Z125" s="528">
        <f t="shared" si="78"/>
        <v>10609.612948263966</v>
      </c>
      <c r="AA125" s="530">
        <f t="shared" si="79"/>
        <v>8380.8066518718078</v>
      </c>
      <c r="AB125" s="1091">
        <f t="shared" si="37"/>
        <v>0.78992576757883948</v>
      </c>
      <c r="AC125" s="135" t="str">
        <f t="shared" si="38"/>
        <v>Yes</v>
      </c>
      <c r="AD125" s="1091">
        <f t="shared" si="39"/>
        <v>0.78992576757883948</v>
      </c>
      <c r="AE125" s="649">
        <f t="shared" si="10"/>
        <v>0.38517912289168765</v>
      </c>
      <c r="AF125" s="530">
        <f t="shared" si="11"/>
        <v>260.84583210536204</v>
      </c>
      <c r="AG125" s="527">
        <f t="shared" si="40"/>
        <v>2228.8062963921584</v>
      </c>
      <c r="AH125" s="528">
        <f t="shared" si="80"/>
        <v>10946.698275116614</v>
      </c>
      <c r="AI125" s="528">
        <f t="shared" si="81"/>
        <v>6437.6604656145792</v>
      </c>
      <c r="AJ125" s="528">
        <f t="shared" si="12"/>
        <v>849.26713287274708</v>
      </c>
      <c r="AK125" s="528">
        <f t="shared" si="41"/>
        <v>20462.4321699961</v>
      </c>
      <c r="AL125" s="716">
        <f t="shared" si="13"/>
        <v>0</v>
      </c>
      <c r="AM125" s="417">
        <f t="shared" si="42"/>
        <v>0.1089218660751501</v>
      </c>
      <c r="AN125" s="417">
        <f t="shared" si="43"/>
        <v>0.53496564749363817</v>
      </c>
      <c r="AO125" s="417">
        <f t="shared" si="44"/>
        <v>0.3146087626403507</v>
      </c>
      <c r="AP125" s="417">
        <f t="shared" si="45"/>
        <v>4.1503723790861022E-2</v>
      </c>
      <c r="AQ125" s="417">
        <f t="shared" si="46"/>
        <v>0.99999999999999989</v>
      </c>
      <c r="AR125" s="1086">
        <f t="shared" si="14"/>
        <v>498.89696539596036</v>
      </c>
      <c r="AS125" s="938">
        <f t="shared" si="15"/>
        <v>632.73632201790838</v>
      </c>
      <c r="AT125" s="938">
        <f t="shared" si="16"/>
        <v>116.83232572202851</v>
      </c>
      <c r="AU125" s="938">
        <f t="shared" si="17"/>
        <v>0</v>
      </c>
      <c r="AV125" s="938">
        <f t="shared" si="18"/>
        <v>0</v>
      </c>
      <c r="AW125" s="938">
        <f t="shared" si="19"/>
        <v>0</v>
      </c>
      <c r="AX125" s="938">
        <f t="shared" si="20"/>
        <v>815.91797080676429</v>
      </c>
      <c r="AY125" s="938">
        <f t="shared" si="21"/>
        <v>65.721751633452371</v>
      </c>
      <c r="AZ125" s="938">
        <f t="shared" si="22"/>
        <v>18.474401651048012</v>
      </c>
      <c r="BA125" s="938">
        <f t="shared" si="23"/>
        <v>47.715780919064933</v>
      </c>
      <c r="BB125" s="938">
        <f t="shared" si="24"/>
        <v>32.51077824593122</v>
      </c>
      <c r="BC125" s="530">
        <f t="shared" si="47"/>
        <v>2228.8062963921584</v>
      </c>
      <c r="BD125" s="724">
        <f t="shared" si="48"/>
        <v>0</v>
      </c>
      <c r="BE125" s="436">
        <f t="shared" si="49"/>
        <v>0.22384043252369717</v>
      </c>
      <c r="BF125" s="624">
        <f t="shared" si="50"/>
        <v>0.28389022547277409</v>
      </c>
      <c r="BG125" s="624">
        <f t="shared" si="51"/>
        <v>5.2419237109635239E-2</v>
      </c>
      <c r="BH125" s="624">
        <f t="shared" si="52"/>
        <v>0</v>
      </c>
      <c r="BI125" s="624">
        <f t="shared" si="53"/>
        <v>0</v>
      </c>
      <c r="BJ125" s="624">
        <f t="shared" si="54"/>
        <v>0</v>
      </c>
      <c r="BK125" s="624">
        <f t="shared" si="55"/>
        <v>0.43985010489389337</v>
      </c>
      <c r="BL125" s="624">
        <f t="shared" si="56"/>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75.419782629325709</v>
      </c>
      <c r="BW125" s="114">
        <f t="shared" si="59"/>
        <v>0.78895791779004321</v>
      </c>
      <c r="BX125" s="1686">
        <f t="shared" si="25"/>
        <v>1.1978787289383768</v>
      </c>
      <c r="BY125" s="527">
        <f t="shared" si="60"/>
        <v>75.419782629325709</v>
      </c>
      <c r="BZ125" s="417">
        <f t="shared" si="61"/>
        <v>0.78895791779004321</v>
      </c>
      <c r="CA125" s="544">
        <f t="shared" si="26"/>
        <v>1.1978787289383768</v>
      </c>
      <c r="CB125" s="649">
        <f t="shared" si="27"/>
        <v>0.38517912289168765</v>
      </c>
      <c r="CC125" s="525">
        <f t="shared" si="62"/>
        <v>0.42236533788496167</v>
      </c>
      <c r="CD125" s="417">
        <f t="shared" si="28"/>
        <v>0.38517912289168765</v>
      </c>
      <c r="CE125" s="525">
        <f t="shared" si="63"/>
        <v>0.42236533788496167</v>
      </c>
      <c r="CG125" s="527">
        <f t="shared" si="64"/>
        <v>2078.7792558531842</v>
      </c>
      <c r="CH125" s="528">
        <f t="shared" si="65"/>
        <v>915.3886744041215</v>
      </c>
      <c r="CI125" s="528">
        <f t="shared" si="66"/>
        <v>3486.2541365707011</v>
      </c>
      <c r="CJ125" s="528">
        <f t="shared" si="67"/>
        <v>4413.1595535720826</v>
      </c>
      <c r="CK125" s="528">
        <f t="shared" si="68"/>
        <v>53.116654716522888</v>
      </c>
      <c r="CL125" s="528">
        <f t="shared" si="69"/>
        <v>10946.698275116612</v>
      </c>
      <c r="CM125" s="646">
        <f t="shared" si="70"/>
        <v>0</v>
      </c>
    </row>
    <row r="126" spans="1:91">
      <c r="A126" s="873">
        <f>'Input data'!A146</f>
        <v>2046</v>
      </c>
      <c r="B126" s="1551">
        <f>'Input data'!B146</f>
        <v>78.997842335977523</v>
      </c>
      <c r="C126" s="1550">
        <f>'Input data'!C146</f>
        <v>8042.25</v>
      </c>
      <c r="D126" s="1550">
        <f>'Input data'!D146</f>
        <v>1000767.4916723419</v>
      </c>
      <c r="E126" s="1454">
        <f t="shared" si="88"/>
        <v>1</v>
      </c>
      <c r="F126" s="1504">
        <f t="shared" si="89"/>
        <v>0.36725000000000002</v>
      </c>
      <c r="G126" s="1511">
        <f>B126*F126*'Input data'!$C$9</f>
        <v>887.97161010923969</v>
      </c>
      <c r="H126" s="1542">
        <f>'Input data'!I146</f>
        <v>424.26313389388866</v>
      </c>
      <c r="I126" s="1509">
        <f>'Input data'!K146</f>
        <v>33515.872160317136</v>
      </c>
      <c r="J126" s="1509">
        <f t="shared" si="91"/>
        <v>2228.8062963921584</v>
      </c>
      <c r="K126" s="1511">
        <f t="shared" si="73"/>
        <v>13346.637801012645</v>
      </c>
      <c r="L126" s="1504">
        <f t="shared" si="90"/>
        <v>0.7</v>
      </c>
      <c r="M126" s="1504">
        <f t="shared" si="87"/>
        <v>0.6</v>
      </c>
      <c r="N126" s="1504">
        <f t="shared" si="87"/>
        <v>0.9</v>
      </c>
      <c r="O126" s="1504">
        <f t="shared" si="87"/>
        <v>0.9</v>
      </c>
      <c r="P126" s="1504">
        <f t="shared" si="87"/>
        <v>0.23600000000000002</v>
      </c>
      <c r="Q126" s="1508">
        <f t="shared" si="31"/>
        <v>358.86694612863334</v>
      </c>
      <c r="R126" s="1509">
        <f t="shared" si="32"/>
        <v>250.42850878402839</v>
      </c>
      <c r="S126" s="1509">
        <f t="shared" si="33"/>
        <v>733.35838338779786</v>
      </c>
      <c r="T126" s="1509">
        <f t="shared" si="34"/>
        <v>493.79762680101885</v>
      </c>
      <c r="U126" s="1511">
        <f t="shared" si="35"/>
        <v>0</v>
      </c>
      <c r="V126" s="1509">
        <f t="shared" si="9"/>
        <v>1836.4514651014783</v>
      </c>
      <c r="W126" s="1454">
        <f t="shared" si="86"/>
        <v>0.5</v>
      </c>
      <c r="X126" s="530">
        <f t="shared" si="36"/>
        <v>3033.4854703020706</v>
      </c>
      <c r="Y126" s="528">
        <f t="shared" si="77"/>
        <v>4869.9369354035489</v>
      </c>
      <c r="Z126" s="528">
        <f t="shared" si="78"/>
        <v>10705.507162001253</v>
      </c>
      <c r="AA126" s="530">
        <f t="shared" si="79"/>
        <v>8476.7008656090948</v>
      </c>
      <c r="AB126" s="1091">
        <f t="shared" si="37"/>
        <v>0.79180750032065628</v>
      </c>
      <c r="AC126" s="135" t="str">
        <f t="shared" si="38"/>
        <v>Yes</v>
      </c>
      <c r="AD126" s="1091">
        <f t="shared" si="39"/>
        <v>0.79180750032065628</v>
      </c>
      <c r="AE126" s="649">
        <f t="shared" si="10"/>
        <v>0.3872251791757082</v>
      </c>
      <c r="AF126" s="530">
        <f t="shared" si="11"/>
        <v>259.97776585418012</v>
      </c>
      <c r="AG126" s="527">
        <f t="shared" si="40"/>
        <v>2228.8062963921584</v>
      </c>
      <c r="AH126" s="528">
        <f t="shared" si="80"/>
        <v>11023.640109874847</v>
      </c>
      <c r="AI126" s="528">
        <f t="shared" si="81"/>
        <v>6437.6604656145792</v>
      </c>
      <c r="AJ126" s="528">
        <f t="shared" si="12"/>
        <v>847.57568592661755</v>
      </c>
      <c r="AK126" s="528">
        <f t="shared" si="41"/>
        <v>20537.682557808203</v>
      </c>
      <c r="AL126" s="716">
        <f t="shared" si="13"/>
        <v>0</v>
      </c>
      <c r="AM126" s="417">
        <f t="shared" si="42"/>
        <v>0.10852277466645284</v>
      </c>
      <c r="AN126" s="417">
        <f t="shared" si="43"/>
        <v>0.53675189880095697</v>
      </c>
      <c r="AO126" s="417">
        <f t="shared" si="44"/>
        <v>0.31345603124862065</v>
      </c>
      <c r="AP126" s="417">
        <f t="shared" si="45"/>
        <v>4.126929528396954E-2</v>
      </c>
      <c r="AQ126" s="417">
        <f t="shared" si="46"/>
        <v>1</v>
      </c>
      <c r="AR126" s="1086">
        <f t="shared" si="14"/>
        <v>499.86033807766393</v>
      </c>
      <c r="AS126" s="938">
        <f t="shared" si="15"/>
        <v>633.95813920589171</v>
      </c>
      <c r="AT126" s="938">
        <f t="shared" si="16"/>
        <v>116.59963606184674</v>
      </c>
      <c r="AU126" s="938">
        <f t="shared" si="17"/>
        <v>0</v>
      </c>
      <c r="AV126" s="938">
        <f t="shared" si="18"/>
        <v>0</v>
      </c>
      <c r="AW126" s="938">
        <f t="shared" si="19"/>
        <v>0</v>
      </c>
      <c r="AX126" s="938">
        <f t="shared" si="20"/>
        <v>814.29294387872937</v>
      </c>
      <c r="AY126" s="938">
        <f t="shared" si="21"/>
        <v>65.59085659254967</v>
      </c>
      <c r="AZ126" s="938">
        <f t="shared" si="22"/>
        <v>18.43760702066054</v>
      </c>
      <c r="BA126" s="938">
        <f t="shared" si="23"/>
        <v>47.620747555834804</v>
      </c>
      <c r="BB126" s="938">
        <f t="shared" si="24"/>
        <v>32.446027998980817</v>
      </c>
      <c r="BC126" s="530">
        <f t="shared" si="47"/>
        <v>2228.8062963921575</v>
      </c>
      <c r="BD126" s="724">
        <f t="shared" si="48"/>
        <v>0</v>
      </c>
      <c r="BE126" s="436">
        <f t="shared" si="49"/>
        <v>0.22427266958407485</v>
      </c>
      <c r="BF126" s="624">
        <f t="shared" si="50"/>
        <v>0.28443841900128364</v>
      </c>
      <c r="BG126" s="624">
        <f t="shared" si="51"/>
        <v>5.2314836085392627E-2</v>
      </c>
      <c r="BH126" s="624">
        <f t="shared" si="52"/>
        <v>0</v>
      </c>
      <c r="BI126" s="624">
        <f t="shared" si="53"/>
        <v>0</v>
      </c>
      <c r="BJ126" s="624">
        <f t="shared" si="54"/>
        <v>0</v>
      </c>
      <c r="BK126" s="624">
        <f t="shared" si="55"/>
        <v>0.43897407532924893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76.614854947901634</v>
      </c>
      <c r="BW126" s="114">
        <f t="shared" si="59"/>
        <v>0.79224984532387766</v>
      </c>
      <c r="BX126" s="1686">
        <f t="shared" si="25"/>
        <v>1.0007674916723419</v>
      </c>
      <c r="BY126" s="527">
        <f t="shared" si="60"/>
        <v>76.614854947901634</v>
      </c>
      <c r="BZ126" s="417">
        <f t="shared" si="61"/>
        <v>0.79224984532387766</v>
      </c>
      <c r="CA126" s="544">
        <f t="shared" si="26"/>
        <v>1.0007674916723419</v>
      </c>
      <c r="CB126" s="649">
        <f t="shared" si="27"/>
        <v>0.3872251791757082</v>
      </c>
      <c r="CC126" s="525">
        <f t="shared" si="62"/>
        <v>0.4263641724859798</v>
      </c>
      <c r="CD126" s="417">
        <f t="shared" si="28"/>
        <v>0.3872251791757082</v>
      </c>
      <c r="CE126" s="525">
        <f t="shared" si="63"/>
        <v>0.4263641724859798</v>
      </c>
      <c r="CG126" s="527">
        <f t="shared" si="64"/>
        <v>2093.390519083694</v>
      </c>
      <c r="CH126" s="528">
        <f t="shared" si="65"/>
        <v>921.82273172035013</v>
      </c>
      <c r="CI126" s="528">
        <f t="shared" si="66"/>
        <v>3510.7582183458403</v>
      </c>
      <c r="CJ126" s="528">
        <f t="shared" si="67"/>
        <v>4444.1786412091769</v>
      </c>
      <c r="CK126" s="528">
        <f t="shared" si="68"/>
        <v>53.489999515785236</v>
      </c>
      <c r="CL126" s="528">
        <f t="shared" si="69"/>
        <v>11023.640109874847</v>
      </c>
      <c r="CM126" s="646">
        <f t="shared" si="70"/>
        <v>0</v>
      </c>
    </row>
    <row r="127" spans="1:91" s="1" customFormat="1">
      <c r="A127" s="873">
        <f>'Input data'!A147</f>
        <v>2047</v>
      </c>
      <c r="B127" s="1551">
        <f>'Input data'!B147</f>
        <v>79.535560193629763</v>
      </c>
      <c r="C127" s="1550">
        <f>'Input data'!C147</f>
        <v>8187.4100000000008</v>
      </c>
      <c r="D127" s="1550">
        <f>'Input data'!D147</f>
        <v>803656.25440630724</v>
      </c>
      <c r="E127" s="1454">
        <f t="shared" si="88"/>
        <v>1</v>
      </c>
      <c r="F127" s="1504">
        <f t="shared" si="89"/>
        <v>0.36725000000000002</v>
      </c>
      <c r="G127" s="1511">
        <f>B127*F127*'Input data'!$C$9</f>
        <v>894.01580293432005</v>
      </c>
      <c r="H127" s="1542">
        <f>'Input data'!I147</f>
        <v>424.26313389388866</v>
      </c>
      <c r="I127" s="1509">
        <f>'Input data'!K147</f>
        <v>33744.006023755384</v>
      </c>
      <c r="J127" s="1509">
        <f t="shared" si="91"/>
        <v>2228.8062963921584</v>
      </c>
      <c r="K127" s="1511">
        <f t="shared" si="73"/>
        <v>13452.655815991067</v>
      </c>
      <c r="L127" s="1504">
        <f t="shared" si="90"/>
        <v>0.7</v>
      </c>
      <c r="M127" s="1504">
        <f t="shared" si="90"/>
        <v>0.6</v>
      </c>
      <c r="N127" s="1504">
        <f t="shared" si="90"/>
        <v>0.9</v>
      </c>
      <c r="O127" s="1504">
        <f t="shared" si="90"/>
        <v>0.9</v>
      </c>
      <c r="P127" s="1504">
        <f t="shared" si="90"/>
        <v>0.23600000000000002</v>
      </c>
      <c r="Q127" s="1508">
        <f t="shared" si="31"/>
        <v>361.30966050852498</v>
      </c>
      <c r="R127" s="1509">
        <f t="shared" si="32"/>
        <v>252.13311079917821</v>
      </c>
      <c r="S127" s="1509">
        <f t="shared" si="33"/>
        <v>738.35016401301391</v>
      </c>
      <c r="T127" s="1509">
        <f t="shared" si="34"/>
        <v>497.15877938627546</v>
      </c>
      <c r="U127" s="1511">
        <f t="shared" si="35"/>
        <v>0</v>
      </c>
      <c r="V127" s="1509">
        <f t="shared" si="9"/>
        <v>1848.9517147069926</v>
      </c>
      <c r="W127" s="1454">
        <f t="shared" si="86"/>
        <v>0.5</v>
      </c>
      <c r="X127" s="530">
        <f t="shared" si="36"/>
        <v>3033.4854703020706</v>
      </c>
      <c r="Y127" s="528">
        <f t="shared" si="77"/>
        <v>4882.4371850090629</v>
      </c>
      <c r="Z127" s="528">
        <f t="shared" si="78"/>
        <v>10799.024927374163</v>
      </c>
      <c r="AA127" s="530">
        <f t="shared" si="79"/>
        <v>8570.2186309820045</v>
      </c>
      <c r="AB127" s="1091">
        <f t="shared" si="37"/>
        <v>0.79361041284918088</v>
      </c>
      <c r="AC127" s="135" t="str">
        <f t="shared" si="38"/>
        <v>Yes</v>
      </c>
      <c r="AD127" s="1091">
        <f t="shared" si="39"/>
        <v>0.79361041284918088</v>
      </c>
      <c r="AE127" s="649">
        <f t="shared" si="10"/>
        <v>0.38919234989754214</v>
      </c>
      <c r="AF127" s="530">
        <f t="shared" si="11"/>
        <v>259.14316783883055</v>
      </c>
      <c r="AG127" s="527">
        <f t="shared" si="40"/>
        <v>2228.8062963921584</v>
      </c>
      <c r="AH127" s="528">
        <f t="shared" si="80"/>
        <v>11098.675173721291</v>
      </c>
      <c r="AI127" s="528">
        <f t="shared" si="81"/>
        <v>6437.6604656145792</v>
      </c>
      <c r="AJ127" s="528">
        <f t="shared" si="12"/>
        <v>845.95508868518004</v>
      </c>
      <c r="AK127" s="528">
        <f t="shared" si="41"/>
        <v>20611.097024413208</v>
      </c>
      <c r="AL127" s="716">
        <f t="shared" si="13"/>
        <v>0</v>
      </c>
      <c r="AM127" s="417">
        <f t="shared" si="42"/>
        <v>0.10813622844782139</v>
      </c>
      <c r="AN127" s="417">
        <f t="shared" si="43"/>
        <v>0.53848056513320242</v>
      </c>
      <c r="AO127" s="417">
        <f t="shared" si="44"/>
        <v>0.31233953525081026</v>
      </c>
      <c r="AP127" s="417">
        <f t="shared" si="45"/>
        <v>4.1043671168165985E-2</v>
      </c>
      <c r="AQ127" s="417">
        <f t="shared" si="46"/>
        <v>1</v>
      </c>
      <c r="AR127" s="1086">
        <f t="shared" si="14"/>
        <v>500.78335792999684</v>
      </c>
      <c r="AS127" s="938">
        <f t="shared" si="15"/>
        <v>635.12877808931569</v>
      </c>
      <c r="AT127" s="938">
        <f t="shared" si="16"/>
        <v>116.37669308260362</v>
      </c>
      <c r="AU127" s="938">
        <f t="shared" si="17"/>
        <v>0</v>
      </c>
      <c r="AV127" s="938">
        <f t="shared" si="18"/>
        <v>0</v>
      </c>
      <c r="AW127" s="938">
        <f t="shared" si="19"/>
        <v>0</v>
      </c>
      <c r="AX127" s="938">
        <f t="shared" si="20"/>
        <v>812.73598451747864</v>
      </c>
      <c r="AY127" s="938">
        <f t="shared" si="21"/>
        <v>65.465444357368312</v>
      </c>
      <c r="AZ127" s="938">
        <f t="shared" si="22"/>
        <v>18.402353608401857</v>
      </c>
      <c r="BA127" s="938">
        <f t="shared" si="23"/>
        <v>47.529694858824108</v>
      </c>
      <c r="BB127" s="938">
        <f t="shared" si="24"/>
        <v>32.383989948168548</v>
      </c>
      <c r="BC127" s="530">
        <f t="shared" si="47"/>
        <v>2228.8062963921579</v>
      </c>
      <c r="BD127" s="724">
        <f t="shared" si="48"/>
        <v>0</v>
      </c>
      <c r="BE127" s="436">
        <f t="shared" si="49"/>
        <v>0.2246868015137212</v>
      </c>
      <c r="BF127" s="624">
        <f t="shared" si="50"/>
        <v>0.28496365032592536</v>
      </c>
      <c r="BG127" s="624">
        <f t="shared" si="51"/>
        <v>5.2214808110954462E-2</v>
      </c>
      <c r="BH127" s="624">
        <f t="shared" si="52"/>
        <v>0</v>
      </c>
      <c r="BI127" s="624">
        <f t="shared" si="53"/>
        <v>0</v>
      </c>
      <c r="BJ127" s="624">
        <f t="shared" si="54"/>
        <v>0</v>
      </c>
      <c r="BK127" s="624">
        <f t="shared" si="55"/>
        <v>0.43813474004939879</v>
      </c>
      <c r="BL127" s="624">
        <f t="shared" si="56"/>
        <v>0.99999999999999978</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77.353739495252753</v>
      </c>
      <c r="BW127" s="114">
        <f t="shared" si="59"/>
        <v>0.79423427917286327</v>
      </c>
      <c r="BX127" s="1686">
        <f t="shared" si="25"/>
        <v>0.80365625440630728</v>
      </c>
      <c r="BY127" s="527">
        <f t="shared" si="60"/>
        <v>77.353739495252753</v>
      </c>
      <c r="BZ127" s="417">
        <f t="shared" si="61"/>
        <v>0.79423427917286327</v>
      </c>
      <c r="CA127" s="544">
        <f t="shared" si="26"/>
        <v>0.80365625440630728</v>
      </c>
      <c r="CB127" s="649">
        <f t="shared" si="27"/>
        <v>0.38919234989754214</v>
      </c>
      <c r="CC127" s="525">
        <f t="shared" si="62"/>
        <v>0.42861248580170164</v>
      </c>
      <c r="CD127" s="417">
        <f t="shared" si="28"/>
        <v>0.38919234989754214</v>
      </c>
      <c r="CE127" s="525">
        <f t="shared" si="63"/>
        <v>0.42861248580170164</v>
      </c>
      <c r="CG127" s="527">
        <f t="shared" si="64"/>
        <v>2107.6396862997281</v>
      </c>
      <c r="CH127" s="528">
        <f t="shared" si="65"/>
        <v>928.09734036507325</v>
      </c>
      <c r="CI127" s="528">
        <f t="shared" si="66"/>
        <v>3534.6550404878321</v>
      </c>
      <c r="CJ127" s="528">
        <f t="shared" si="67"/>
        <v>4474.4290144764791</v>
      </c>
      <c r="CK127" s="528">
        <f t="shared" si="68"/>
        <v>53.854092092176373</v>
      </c>
      <c r="CL127" s="528">
        <f t="shared" si="69"/>
        <v>11098.675173721291</v>
      </c>
      <c r="CM127" s="646">
        <f t="shared" si="70"/>
        <v>0</v>
      </c>
    </row>
    <row r="128" spans="1:91">
      <c r="A128" s="127">
        <f>'Input data'!A148</f>
        <v>2048</v>
      </c>
      <c r="B128" s="662">
        <f>'Input data'!B148</f>
        <v>80.059278886956378</v>
      </c>
      <c r="C128" s="236">
        <f>'Input data'!C148</f>
        <v>8322.6399999999976</v>
      </c>
      <c r="D128" s="236">
        <f>'Input data'!D148</f>
        <v>606545.01714027242</v>
      </c>
      <c r="E128" s="649">
        <f t="shared" si="88"/>
        <v>1</v>
      </c>
      <c r="F128" s="417">
        <f t="shared" si="89"/>
        <v>0.36725000000000002</v>
      </c>
      <c r="G128" s="530">
        <f>B128*F128*'Input data'!$C$9</f>
        <v>899.90263879725035</v>
      </c>
      <c r="H128" s="529">
        <f>'Input data'!I148</f>
        <v>424.26313389388866</v>
      </c>
      <c r="I128" s="528">
        <f>'Input data'!K148</f>
        <v>33966.200557864948</v>
      </c>
      <c r="J128" s="528">
        <f t="shared" si="91"/>
        <v>2228.8062963921584</v>
      </c>
      <c r="K128" s="530">
        <f t="shared" si="73"/>
        <v>13555.91371506105</v>
      </c>
      <c r="L128" s="417">
        <f t="shared" ref="L128:P130" si="93">L127</f>
        <v>0.7</v>
      </c>
      <c r="M128" s="417">
        <f t="shared" si="93"/>
        <v>0.6</v>
      </c>
      <c r="N128" s="417">
        <f t="shared" si="93"/>
        <v>0.9</v>
      </c>
      <c r="O128" s="417">
        <f t="shared" si="93"/>
        <v>0.9</v>
      </c>
      <c r="P128" s="417">
        <f t="shared" si="93"/>
        <v>0.23600000000000002</v>
      </c>
      <c r="Q128" s="527">
        <f t="shared" si="31"/>
        <v>363.68878027366054</v>
      </c>
      <c r="R128" s="528">
        <f t="shared" si="32"/>
        <v>253.79333451559705</v>
      </c>
      <c r="S128" s="528">
        <f t="shared" si="33"/>
        <v>743.21198660121172</v>
      </c>
      <c r="T128" s="528">
        <f t="shared" si="34"/>
        <v>500.43242636483592</v>
      </c>
      <c r="U128" s="530">
        <f t="shared" si="35"/>
        <v>0</v>
      </c>
      <c r="V128" s="528">
        <f t="shared" si="9"/>
        <v>1861.1265277553052</v>
      </c>
      <c r="W128" s="649">
        <f t="shared" si="86"/>
        <v>0.5</v>
      </c>
      <c r="X128" s="530">
        <f t="shared" si="36"/>
        <v>3033.4854703020706</v>
      </c>
      <c r="Y128" s="528">
        <f t="shared" si="77"/>
        <v>4894.6119980573758</v>
      </c>
      <c r="Z128" s="528">
        <f t="shared" si="78"/>
        <v>10890.108013395831</v>
      </c>
      <c r="AA128" s="530">
        <f t="shared" si="79"/>
        <v>8661.3017170036728</v>
      </c>
      <c r="AB128" s="1091">
        <f t="shared" si="37"/>
        <v>0.79533662167073804</v>
      </c>
      <c r="AC128" s="135" t="str">
        <f t="shared" si="38"/>
        <v>Yes</v>
      </c>
      <c r="AD128" s="1091">
        <f t="shared" si="39"/>
        <v>0.79533662167073804</v>
      </c>
      <c r="AE128" s="649">
        <f t="shared" si="10"/>
        <v>0.39108211677109073</v>
      </c>
      <c r="AF128" s="530">
        <f t="shared" si="11"/>
        <v>258.34140942272995</v>
      </c>
      <c r="AG128" s="527">
        <f t="shared" si="40"/>
        <v>2228.8062963921584</v>
      </c>
      <c r="AH128" s="528">
        <f t="shared" si="80"/>
        <v>11171.756744348151</v>
      </c>
      <c r="AI128" s="528">
        <f t="shared" si="81"/>
        <v>6437.6604656145792</v>
      </c>
      <c r="AJ128" s="528">
        <f t="shared" si="12"/>
        <v>844.40343866883097</v>
      </c>
      <c r="AK128" s="528">
        <f t="shared" si="41"/>
        <v>20682.62694502372</v>
      </c>
      <c r="AL128" s="716">
        <f t="shared" si="13"/>
        <v>0</v>
      </c>
      <c r="AM128" s="417">
        <f t="shared" si="42"/>
        <v>0.10776224424085615</v>
      </c>
      <c r="AN128" s="417">
        <f t="shared" si="43"/>
        <v>0.54015173092101332</v>
      </c>
      <c r="AO128" s="417">
        <f t="shared" si="44"/>
        <v>0.31125932323425159</v>
      </c>
      <c r="AP128" s="417">
        <f t="shared" si="45"/>
        <v>4.0826701603879002E-2</v>
      </c>
      <c r="AQ128" s="417">
        <f t="shared" si="46"/>
        <v>1</v>
      </c>
      <c r="AR128" s="1086">
        <f t="shared" si="14"/>
        <v>501.66710852042269</v>
      </c>
      <c r="AS128" s="938">
        <f t="shared" si="15"/>
        <v>636.24961292486773</v>
      </c>
      <c r="AT128" s="938">
        <f t="shared" si="16"/>
        <v>116.16323506321294</v>
      </c>
      <c r="AU128" s="938">
        <f t="shared" si="17"/>
        <v>0</v>
      </c>
      <c r="AV128" s="938">
        <f t="shared" si="18"/>
        <v>0</v>
      </c>
      <c r="AW128" s="938">
        <f t="shared" si="19"/>
        <v>0</v>
      </c>
      <c r="AX128" s="938">
        <f t="shared" si="20"/>
        <v>811.24526495029215</v>
      </c>
      <c r="AY128" s="938">
        <f t="shared" si="21"/>
        <v>65.345367701803454</v>
      </c>
      <c r="AZ128" s="938">
        <f t="shared" si="22"/>
        <v>18.368600028975255</v>
      </c>
      <c r="BA128" s="938">
        <f t="shared" si="23"/>
        <v>47.44251593787299</v>
      </c>
      <c r="BB128" s="938">
        <f t="shared" si="24"/>
        <v>32.32459126471052</v>
      </c>
      <c r="BC128" s="530">
        <f t="shared" si="47"/>
        <v>2228.8062963921575</v>
      </c>
      <c r="BD128" s="724">
        <f t="shared" si="48"/>
        <v>0</v>
      </c>
      <c r="BE128" s="436">
        <f t="shared" si="49"/>
        <v>0.22508331447756938</v>
      </c>
      <c r="BF128" s="624">
        <f t="shared" si="50"/>
        <v>0.28546653603535938</v>
      </c>
      <c r="BG128" s="624">
        <f t="shared" si="51"/>
        <v>5.2119035759747363E-2</v>
      </c>
      <c r="BH128" s="624">
        <f t="shared" si="52"/>
        <v>0</v>
      </c>
      <c r="BI128" s="624">
        <f t="shared" si="53"/>
        <v>0</v>
      </c>
      <c r="BJ128" s="624">
        <f t="shared" si="54"/>
        <v>0</v>
      </c>
      <c r="BK128" s="624">
        <f t="shared" si="55"/>
        <v>0.43733111372732392</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78.039822964946168</v>
      </c>
      <c r="BW128" s="114">
        <f t="shared" si="59"/>
        <v>0.79604325892609074</v>
      </c>
      <c r="BX128" s="1686">
        <f t="shared" si="25"/>
        <v>0.60654501714027242</v>
      </c>
      <c r="BY128" s="527">
        <f t="shared" si="60"/>
        <v>78.039822964946168</v>
      </c>
      <c r="BZ128" s="417">
        <f t="shared" si="61"/>
        <v>0.79604325892609074</v>
      </c>
      <c r="CA128" s="544">
        <f t="shared" si="26"/>
        <v>0.60654501714027242</v>
      </c>
      <c r="CB128" s="649">
        <f t="shared" si="27"/>
        <v>0.39108211677109073</v>
      </c>
      <c r="CC128" s="525">
        <f t="shared" si="62"/>
        <v>0.43062211484013102</v>
      </c>
      <c r="CD128" s="417">
        <f t="shared" si="28"/>
        <v>0.39108211677109073</v>
      </c>
      <c r="CE128" s="525">
        <f t="shared" si="63"/>
        <v>0.43062211484013102</v>
      </c>
      <c r="CG128" s="527">
        <f t="shared" si="64"/>
        <v>2121.5178849296863</v>
      </c>
      <c r="CH128" s="528">
        <f t="shared" si="65"/>
        <v>934.20859330894632</v>
      </c>
      <c r="CI128" s="528">
        <f t="shared" si="66"/>
        <v>3557.9297230909083</v>
      </c>
      <c r="CJ128" s="528">
        <f t="shared" si="67"/>
        <v>4503.8918372835287</v>
      </c>
      <c r="CK128" s="528">
        <f t="shared" si="68"/>
        <v>54.208705735082042</v>
      </c>
      <c r="CL128" s="528">
        <f t="shared" si="69"/>
        <v>11171.756744348151</v>
      </c>
      <c r="CM128" s="646">
        <f t="shared" si="70"/>
        <v>0</v>
      </c>
    </row>
    <row r="129" spans="1:91">
      <c r="A129" s="127">
        <f>'Input data'!A149</f>
        <v>2049</v>
      </c>
      <c r="B129" s="662">
        <f>'Input data'!B149</f>
        <v>80.568670564877792</v>
      </c>
      <c r="C129" s="236">
        <f>'Input data'!C149</f>
        <v>8457.3799999999992</v>
      </c>
      <c r="D129" s="236">
        <f>'Input data'!D149</f>
        <v>409433.77987423755</v>
      </c>
      <c r="E129" s="649">
        <f t="shared" si="88"/>
        <v>1</v>
      </c>
      <c r="F129" s="417">
        <f t="shared" si="89"/>
        <v>0.36725000000000002</v>
      </c>
      <c r="G129" s="530">
        <f>B129*F129*'Input data'!$C$9</f>
        <v>905.62843250306298</v>
      </c>
      <c r="H129" s="529">
        <f>'Input data'!I149</f>
        <v>424.26313389388866</v>
      </c>
      <c r="I129" s="528">
        <f>'Input data'!K149</f>
        <v>34182.31666751935</v>
      </c>
      <c r="J129" s="528">
        <f t="shared" si="91"/>
        <v>2228.8062963921584</v>
      </c>
      <c r="K129" s="530">
        <f t="shared" si="73"/>
        <v>13656.346858151272</v>
      </c>
      <c r="L129" s="417">
        <f t="shared" si="93"/>
        <v>0.7</v>
      </c>
      <c r="M129" s="417">
        <f t="shared" si="93"/>
        <v>0.6</v>
      </c>
      <c r="N129" s="417">
        <f t="shared" si="93"/>
        <v>0.9</v>
      </c>
      <c r="O129" s="417">
        <f t="shared" si="93"/>
        <v>0.9</v>
      </c>
      <c r="P129" s="417">
        <f t="shared" si="93"/>
        <v>0.23600000000000002</v>
      </c>
      <c r="Q129" s="527">
        <f t="shared" si="31"/>
        <v>366.00281608063301</v>
      </c>
      <c r="R129" s="528">
        <f t="shared" si="32"/>
        <v>255.40814062316531</v>
      </c>
      <c r="S129" s="528">
        <f t="shared" si="33"/>
        <v>747.94080762195381</v>
      </c>
      <c r="T129" s="528">
        <f t="shared" si="34"/>
        <v>503.61651841383173</v>
      </c>
      <c r="U129" s="530">
        <f t="shared" si="35"/>
        <v>0</v>
      </c>
      <c r="V129" s="528">
        <f t="shared" si="9"/>
        <v>1872.9682827395839</v>
      </c>
      <c r="W129" s="649">
        <f t="shared" si="86"/>
        <v>0.5</v>
      </c>
      <c r="X129" s="530">
        <f t="shared" si="36"/>
        <v>3033.4854703020706</v>
      </c>
      <c r="Y129" s="528">
        <f t="shared" si="77"/>
        <v>4906.4537530416546</v>
      </c>
      <c r="Z129" s="528">
        <f t="shared" si="78"/>
        <v>10978.699401501775</v>
      </c>
      <c r="AA129" s="530">
        <f t="shared" si="79"/>
        <v>8749.893105109617</v>
      </c>
      <c r="AB129" s="1091">
        <f t="shared" si="37"/>
        <v>0.79698812993392643</v>
      </c>
      <c r="AC129" s="135" t="str">
        <f t="shared" si="38"/>
        <v>Yes</v>
      </c>
      <c r="AD129" s="1091">
        <f t="shared" si="39"/>
        <v>0.79698812993392643</v>
      </c>
      <c r="AE129" s="649">
        <f t="shared" si="10"/>
        <v>0.39289589493308541</v>
      </c>
      <c r="AF129" s="530">
        <f t="shared" si="11"/>
        <v>257.57189021553381</v>
      </c>
      <c r="AG129" s="527">
        <f t="shared" si="40"/>
        <v>2228.8062963921584</v>
      </c>
      <c r="AH129" s="528">
        <f t="shared" si="80"/>
        <v>11242.839072248817</v>
      </c>
      <c r="AI129" s="528">
        <f t="shared" si="81"/>
        <v>6437.6604656145792</v>
      </c>
      <c r="AJ129" s="528">
        <f t="shared" si="12"/>
        <v>842.91893529266065</v>
      </c>
      <c r="AK129" s="528">
        <f t="shared" si="41"/>
        <v>20752.224769548215</v>
      </c>
      <c r="AL129" s="716">
        <f t="shared" si="13"/>
        <v>0</v>
      </c>
      <c r="AM129" s="417">
        <f t="shared" si="42"/>
        <v>0.10740083635093937</v>
      </c>
      <c r="AN129" s="417">
        <f t="shared" si="43"/>
        <v>0.54176548283856985</v>
      </c>
      <c r="AO129" s="417">
        <f t="shared" si="44"/>
        <v>0.31021543651845912</v>
      </c>
      <c r="AP129" s="417">
        <f t="shared" si="45"/>
        <v>4.0618244292031702E-2</v>
      </c>
      <c r="AQ129" s="417">
        <f t="shared" si="46"/>
        <v>1</v>
      </c>
      <c r="AR129" s="1086">
        <f t="shared" si="14"/>
        <v>502.51261538173554</v>
      </c>
      <c r="AS129" s="938">
        <f t="shared" si="15"/>
        <v>637.3219443655762</v>
      </c>
      <c r="AT129" s="938">
        <f t="shared" si="16"/>
        <v>115.95901430007854</v>
      </c>
      <c r="AU129" s="938">
        <f t="shared" si="17"/>
        <v>0</v>
      </c>
      <c r="AV129" s="938">
        <f t="shared" si="18"/>
        <v>0</v>
      </c>
      <c r="AW129" s="938">
        <f t="shared" si="19"/>
        <v>0</v>
      </c>
      <c r="AX129" s="938">
        <f t="shared" si="20"/>
        <v>809.8190552979255</v>
      </c>
      <c r="AY129" s="938">
        <f t="shared" si="21"/>
        <v>65.230487285016736</v>
      </c>
      <c r="AZ129" s="938">
        <f t="shared" si="22"/>
        <v>18.336307113634323</v>
      </c>
      <c r="BA129" s="938">
        <f t="shared" si="23"/>
        <v>47.359109627738988</v>
      </c>
      <c r="BB129" s="938">
        <f t="shared" si="24"/>
        <v>32.267763020451547</v>
      </c>
      <c r="BC129" s="530">
        <f t="shared" si="47"/>
        <v>2228.8062963921575</v>
      </c>
      <c r="BD129" s="724">
        <f t="shared" si="48"/>
        <v>0</v>
      </c>
      <c r="BE129" s="436">
        <f t="shared" si="49"/>
        <v>0.22546266860209851</v>
      </c>
      <c r="BF129" s="624">
        <f t="shared" si="50"/>
        <v>0.28594765969444286</v>
      </c>
      <c r="BG129" s="624">
        <f t="shared" si="51"/>
        <v>5.2027407894434448E-2</v>
      </c>
      <c r="BH129" s="624">
        <f t="shared" si="52"/>
        <v>0</v>
      </c>
      <c r="BI129" s="624">
        <f t="shared" si="53"/>
        <v>0</v>
      </c>
      <c r="BJ129" s="624">
        <f t="shared" si="54"/>
        <v>0</v>
      </c>
      <c r="BK129" s="624">
        <f t="shared" si="55"/>
        <v>0.43656226380902413</v>
      </c>
      <c r="BL129" s="624">
        <f t="shared" si="56"/>
        <v>1</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78.721461841019334</v>
      </c>
      <c r="BW129" s="114">
        <f t="shared" si="59"/>
        <v>0.797809293759564</v>
      </c>
      <c r="BX129" s="1686">
        <f t="shared" si="25"/>
        <v>0.40943377987423757</v>
      </c>
      <c r="BY129" s="527">
        <f t="shared" si="60"/>
        <v>78.721461841019334</v>
      </c>
      <c r="BZ129" s="417">
        <f t="shared" si="61"/>
        <v>0.797809293759564</v>
      </c>
      <c r="CA129" s="544">
        <f t="shared" si="26"/>
        <v>0.40943377987423757</v>
      </c>
      <c r="CB129" s="649">
        <f t="shared" si="27"/>
        <v>0.39289589493308541</v>
      </c>
      <c r="CC129" s="525">
        <f t="shared" si="62"/>
        <v>0.43256734345557357</v>
      </c>
      <c r="CD129" s="417">
        <f t="shared" si="28"/>
        <v>0.39289589493308541</v>
      </c>
      <c r="CE129" s="525">
        <f t="shared" si="63"/>
        <v>0.43256734345557357</v>
      </c>
      <c r="CG129" s="527">
        <f t="shared" si="64"/>
        <v>2135.016427137024</v>
      </c>
      <c r="CH129" s="528">
        <f t="shared" si="65"/>
        <v>940.15266487054726</v>
      </c>
      <c r="CI129" s="528">
        <f t="shared" si="66"/>
        <v>3580.567696062546</v>
      </c>
      <c r="CJ129" s="528">
        <f t="shared" si="67"/>
        <v>4532.5486657244883</v>
      </c>
      <c r="CK129" s="528">
        <f t="shared" si="68"/>
        <v>54.553618454210223</v>
      </c>
      <c r="CL129" s="528">
        <f t="shared" si="69"/>
        <v>11242.839072248815</v>
      </c>
      <c r="CM129" s="646">
        <f t="shared" si="70"/>
        <v>0</v>
      </c>
    </row>
    <row r="130" spans="1:91" ht="15.75" thickBot="1">
      <c r="A130" s="172">
        <f>'Input data'!A150</f>
        <v>2050</v>
      </c>
      <c r="B130" s="664">
        <f>'Input data'!B150</f>
        <v>81.063414687793369</v>
      </c>
      <c r="C130" s="239">
        <f>'Input data'!C150</f>
        <v>8589.119999999999</v>
      </c>
      <c r="D130" s="239">
        <f>'Input data'!D150</f>
        <v>212322.54260820278</v>
      </c>
      <c r="E130" s="650">
        <f t="shared" si="88"/>
        <v>1</v>
      </c>
      <c r="F130" s="651">
        <f t="shared" si="89"/>
        <v>0.36725000000000002</v>
      </c>
      <c r="G130" s="659">
        <f>B130*F130*'Input data'!$C$9</f>
        <v>911.18958104113335</v>
      </c>
      <c r="H130" s="654">
        <f>'Input data'!I150</f>
        <v>424.26313389388866</v>
      </c>
      <c r="I130" s="667">
        <f>'Input data'!K150</f>
        <v>34392.218359583101</v>
      </c>
      <c r="J130" s="667">
        <f t="shared" si="91"/>
        <v>2228.8062963921584</v>
      </c>
      <c r="K130" s="659">
        <f t="shared" si="73"/>
        <v>13753.892046742858</v>
      </c>
      <c r="L130" s="651">
        <f t="shared" si="93"/>
        <v>0.7</v>
      </c>
      <c r="M130" s="651">
        <f t="shared" si="93"/>
        <v>0.6</v>
      </c>
      <c r="N130" s="651">
        <f t="shared" si="93"/>
        <v>0.9</v>
      </c>
      <c r="O130" s="651">
        <f t="shared" si="93"/>
        <v>0.9</v>
      </c>
      <c r="P130" s="651">
        <f t="shared" si="93"/>
        <v>0.23600000000000002</v>
      </c>
      <c r="Q130" s="670">
        <f t="shared" si="31"/>
        <v>368.25031180020824</v>
      </c>
      <c r="R130" s="667">
        <f t="shared" si="32"/>
        <v>256.97651298964672</v>
      </c>
      <c r="S130" s="667">
        <f t="shared" si="33"/>
        <v>752.53365141924269</v>
      </c>
      <c r="T130" s="667">
        <f t="shared" si="34"/>
        <v>506.70905191278962</v>
      </c>
      <c r="U130" s="659">
        <f t="shared" si="35"/>
        <v>0</v>
      </c>
      <c r="V130" s="667">
        <f t="shared" si="9"/>
        <v>1884.4695281218874</v>
      </c>
      <c r="W130" s="650">
        <f t="shared" si="86"/>
        <v>0.5</v>
      </c>
      <c r="X130" s="659">
        <f t="shared" si="36"/>
        <v>3033.4854703020706</v>
      </c>
      <c r="Y130" s="667">
        <f t="shared" si="77"/>
        <v>4917.9549984239584</v>
      </c>
      <c r="Z130" s="667">
        <f t="shared" si="78"/>
        <v>11064.743344711058</v>
      </c>
      <c r="AA130" s="659">
        <f t="shared" si="79"/>
        <v>8835.9370483188995</v>
      </c>
      <c r="AB130" s="1094">
        <f t="shared" si="37"/>
        <v>0.79856683278085006</v>
      </c>
      <c r="AC130" s="1105" t="str">
        <f t="shared" si="38"/>
        <v>Yes</v>
      </c>
      <c r="AD130" s="1094">
        <f t="shared" si="39"/>
        <v>0.79856683278085006</v>
      </c>
      <c r="AE130" s="650">
        <f t="shared" si="10"/>
        <v>0.39463503494975127</v>
      </c>
      <c r="AF130" s="659">
        <f t="shared" si="11"/>
        <v>256.83403722178292</v>
      </c>
      <c r="AG130" s="670">
        <f t="shared" si="40"/>
        <v>2228.8062963921584</v>
      </c>
      <c r="AH130" s="667">
        <f t="shared" si="80"/>
        <v>11311.877428186461</v>
      </c>
      <c r="AI130" s="667">
        <f t="shared" si="81"/>
        <v>6437.6604656145792</v>
      </c>
      <c r="AJ130" s="667">
        <f t="shared" si="12"/>
        <v>841.49987505635079</v>
      </c>
      <c r="AK130" s="667">
        <f t="shared" si="41"/>
        <v>20819.844065249548</v>
      </c>
      <c r="AL130" s="717">
        <f t="shared" si="13"/>
        <v>0</v>
      </c>
      <c r="AM130" s="651">
        <f t="shared" si="42"/>
        <v>0.10705201678778489</v>
      </c>
      <c r="AN130" s="651">
        <f t="shared" si="43"/>
        <v>0.54332190926766555</v>
      </c>
      <c r="AO130" s="651">
        <f t="shared" si="44"/>
        <v>0.30920790979216284</v>
      </c>
      <c r="AP130" s="651">
        <f t="shared" si="45"/>
        <v>4.0418164152386728E-2</v>
      </c>
      <c r="AQ130" s="651">
        <f t="shared" si="46"/>
        <v>1</v>
      </c>
      <c r="AR130" s="1474">
        <f t="shared" si="14"/>
        <v>503.32084875168056</v>
      </c>
      <c r="AS130" s="1475">
        <f t="shared" si="15"/>
        <v>638.3470029353856</v>
      </c>
      <c r="AT130" s="1475">
        <f t="shared" si="16"/>
        <v>115.76379644537731</v>
      </c>
      <c r="AU130" s="1475">
        <f t="shared" si="17"/>
        <v>0</v>
      </c>
      <c r="AV130" s="1475">
        <f t="shared" si="18"/>
        <v>0</v>
      </c>
      <c r="AW130" s="1475">
        <f t="shared" si="19"/>
        <v>0</v>
      </c>
      <c r="AX130" s="1475">
        <f t="shared" si="20"/>
        <v>808.45571895339299</v>
      </c>
      <c r="AY130" s="1475">
        <f t="shared" si="21"/>
        <v>65.120671279199854</v>
      </c>
      <c r="AZ130" s="1475">
        <f t="shared" si="22"/>
        <v>18.305437805547538</v>
      </c>
      <c r="BA130" s="1475">
        <f t="shared" si="23"/>
        <v>47.279380217844682</v>
      </c>
      <c r="BB130" s="1475">
        <f t="shared" si="24"/>
        <v>32.213440003729787</v>
      </c>
      <c r="BC130" s="659">
        <f t="shared" si="47"/>
        <v>2228.8062963921589</v>
      </c>
      <c r="BD130" s="725">
        <f t="shared" si="48"/>
        <v>0</v>
      </c>
      <c r="BE130" s="683">
        <f t="shared" si="49"/>
        <v>0.22582529920452143</v>
      </c>
      <c r="BF130" s="683">
        <f>AS130/BC130</f>
        <v>0.28640757340317041</v>
      </c>
      <c r="BG130" s="683">
        <f t="shared" si="51"/>
        <v>5.1939819370022386E-2</v>
      </c>
      <c r="BH130" s="683">
        <f t="shared" si="52"/>
        <v>0</v>
      </c>
      <c r="BI130" s="683">
        <f t="shared" si="53"/>
        <v>0</v>
      </c>
      <c r="BJ130" s="683">
        <f t="shared" si="54"/>
        <v>0</v>
      </c>
      <c r="BK130" s="683">
        <f t="shared" si="55"/>
        <v>0.43582730802228559</v>
      </c>
      <c r="BL130" s="683">
        <f t="shared" si="56"/>
        <v>0.99999999999999978</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79.385739550304635</v>
      </c>
      <c r="BW130" s="651">
        <f t="shared" si="59"/>
        <v>0.79950116915105129</v>
      </c>
      <c r="BX130" s="1687">
        <f t="shared" si="25"/>
        <v>0.2123225426082028</v>
      </c>
      <c r="BY130" s="670">
        <f t="shared" si="60"/>
        <v>79.385739550304635</v>
      </c>
      <c r="BZ130" s="651">
        <f t="shared" si="61"/>
        <v>0.79950116915105129</v>
      </c>
      <c r="CA130" s="675">
        <f t="shared" si="26"/>
        <v>0.2123225426082028</v>
      </c>
      <c r="CB130" s="650">
        <f t="shared" si="27"/>
        <v>0.39463503494975127</v>
      </c>
      <c r="CC130" s="652">
        <f t="shared" si="62"/>
        <v>0.43441051931889274</v>
      </c>
      <c r="CD130" s="651">
        <f t="shared" si="28"/>
        <v>0.39463503494975127</v>
      </c>
      <c r="CE130" s="652">
        <f t="shared" si="63"/>
        <v>0.43441051931889274</v>
      </c>
      <c r="CG130" s="670">
        <f t="shared" si="64"/>
        <v>2148.1268188345475</v>
      </c>
      <c r="CH130" s="667">
        <f t="shared" si="65"/>
        <v>945.9258146858167</v>
      </c>
      <c r="CI130" s="667">
        <f t="shared" si="66"/>
        <v>3602.554714241056</v>
      </c>
      <c r="CJ130" s="667">
        <f t="shared" si="67"/>
        <v>4560.3814672151166</v>
      </c>
      <c r="CK130" s="667">
        <f t="shared" si="68"/>
        <v>54.888613209923193</v>
      </c>
      <c r="CL130" s="667">
        <f t="shared" si="69"/>
        <v>11311.877428186459</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20" t="s">
        <v>602</v>
      </c>
      <c r="B134" s="1899"/>
      <c r="C134" s="1899"/>
      <c r="D134" s="1900"/>
      <c r="E134" s="1827" t="s">
        <v>603</v>
      </c>
      <c r="F134" s="1828"/>
      <c r="G134" s="1828"/>
      <c r="H134" s="1828"/>
      <c r="I134" s="1829"/>
      <c r="J134" s="1830" t="s">
        <v>604</v>
      </c>
      <c r="K134" s="1831"/>
      <c r="L134" s="1832"/>
      <c r="M134" s="1833" t="s">
        <v>757</v>
      </c>
      <c r="N134" s="1835" t="s">
        <v>607</v>
      </c>
      <c r="O134" s="1836"/>
      <c r="P134" s="1814" t="s">
        <v>594</v>
      </c>
      <c r="Q134" s="1816" t="s">
        <v>765</v>
      </c>
      <c r="R134" s="1816" t="s">
        <v>768</v>
      </c>
      <c r="S134" s="1816" t="s">
        <v>767</v>
      </c>
      <c r="T134" s="1848" t="s">
        <v>769</v>
      </c>
      <c r="U134" s="1881" t="s">
        <v>770</v>
      </c>
      <c r="V134" s="1818" t="s">
        <v>760</v>
      </c>
      <c r="W134" s="1820" t="s">
        <v>761</v>
      </c>
      <c r="X134" s="1883" t="s">
        <v>592</v>
      </c>
      <c r="Y134" s="1884"/>
      <c r="Z134" s="1884"/>
      <c r="AA134" s="1884"/>
      <c r="AB134" s="1884"/>
      <c r="AC134" s="1884"/>
      <c r="AD134" s="1884"/>
      <c r="AE134" s="1885"/>
      <c r="AF134" s="1885"/>
      <c r="AG134" s="1885"/>
      <c r="AH134" s="1885"/>
      <c r="AI134" s="1885"/>
      <c r="AJ134" s="1886"/>
      <c r="AK134" s="1926" t="s">
        <v>728</v>
      </c>
      <c r="AL134" s="1927"/>
      <c r="AM134" s="1927"/>
      <c r="AN134" s="1927"/>
      <c r="AO134" s="1928"/>
    </row>
    <row r="135" spans="1:91" ht="51.6" customHeight="1">
      <c r="A135" s="1823" t="s">
        <v>217</v>
      </c>
      <c r="B135" s="703" t="s">
        <v>218</v>
      </c>
      <c r="C135" s="703" t="s">
        <v>390</v>
      </c>
      <c r="D135" s="513" t="s">
        <v>629</v>
      </c>
      <c r="E135" s="704" t="s">
        <v>779</v>
      </c>
      <c r="F135" s="704" t="s">
        <v>780</v>
      </c>
      <c r="G135" s="704" t="s">
        <v>764</v>
      </c>
      <c r="H135" s="705" t="s">
        <v>597</v>
      </c>
      <c r="I135" s="705" t="s">
        <v>626</v>
      </c>
      <c r="J135" s="1461" t="s">
        <v>326</v>
      </c>
      <c r="K135" s="1461" t="s">
        <v>758</v>
      </c>
      <c r="L135" s="706" t="s">
        <v>759</v>
      </c>
      <c r="M135" s="1834"/>
      <c r="N135" s="508" t="s">
        <v>605</v>
      </c>
      <c r="O135" s="559" t="s">
        <v>606</v>
      </c>
      <c r="P135" s="1815"/>
      <c r="Q135" s="1817"/>
      <c r="R135" s="1817"/>
      <c r="S135" s="1817"/>
      <c r="T135" s="1849"/>
      <c r="U135" s="1882"/>
      <c r="V135" s="1819"/>
      <c r="W135" s="1821"/>
      <c r="X135" s="1464" t="s">
        <v>473</v>
      </c>
      <c r="Y135" s="1465" t="s">
        <v>489</v>
      </c>
      <c r="Z135" s="1636" t="s">
        <v>807</v>
      </c>
      <c r="AA135" s="1465" t="s">
        <v>377</v>
      </c>
      <c r="AB135" s="1465" t="s">
        <v>477</v>
      </c>
      <c r="AC135" s="1465" t="s">
        <v>225</v>
      </c>
      <c r="AD135" s="713" t="s">
        <v>617</v>
      </c>
      <c r="AE135" s="1092" t="s">
        <v>473</v>
      </c>
      <c r="AF135" s="1465" t="s">
        <v>489</v>
      </c>
      <c r="AG135" s="1636" t="s">
        <v>807</v>
      </c>
      <c r="AH135" s="1465" t="s">
        <v>377</v>
      </c>
      <c r="AI135" s="1465" t="s">
        <v>477</v>
      </c>
      <c r="AJ135" s="1466" t="s">
        <v>225</v>
      </c>
      <c r="AK135" s="189" t="s">
        <v>724</v>
      </c>
      <c r="AL135" s="712" t="s">
        <v>493</v>
      </c>
      <c r="AM135" s="712" t="s">
        <v>725</v>
      </c>
      <c r="AN135" s="712" t="s">
        <v>225</v>
      </c>
      <c r="AO135" s="1183" t="s">
        <v>617</v>
      </c>
    </row>
    <row r="136" spans="1:91" ht="30" customHeight="1" thickBot="1">
      <c r="A136" s="1850"/>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688" t="s">
        <v>229</v>
      </c>
      <c r="O136" s="690" t="s">
        <v>228</v>
      </c>
      <c r="P136" s="1115" t="s">
        <v>228</v>
      </c>
      <c r="Q136" s="1116" t="s">
        <v>228</v>
      </c>
      <c r="R136" s="1116" t="s">
        <v>228</v>
      </c>
      <c r="S136" s="1117" t="s">
        <v>28</v>
      </c>
      <c r="T136" s="1849"/>
      <c r="U136" s="1117" t="s">
        <v>28</v>
      </c>
      <c r="V136" s="1116" t="s">
        <v>228</v>
      </c>
      <c r="W136" s="1496" t="s">
        <v>28</v>
      </c>
      <c r="X136" s="191" t="s">
        <v>228</v>
      </c>
      <c r="Y136" s="1095" t="s">
        <v>228</v>
      </c>
      <c r="Z136" s="1095" t="s">
        <v>228</v>
      </c>
      <c r="AA136" s="1095" t="s">
        <v>228</v>
      </c>
      <c r="AB136" s="1095" t="s">
        <v>228</v>
      </c>
      <c r="AC136" s="1095" t="s">
        <v>228</v>
      </c>
      <c r="AD136" s="1096" t="s">
        <v>762</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3117.5115237718705</v>
      </c>
      <c r="D137" s="739">
        <f>'Input data'!D117</f>
        <v>49995051</v>
      </c>
      <c r="E137" s="956">
        <f>'Input data'!J117*C137</f>
        <v>37506.923384615395</v>
      </c>
      <c r="F137" s="957">
        <f>'Input data'!L117</f>
        <v>87501.974384615402</v>
      </c>
      <c r="G137" s="957">
        <f>F137*B11</f>
        <v>68439.708347615408</v>
      </c>
      <c r="H137" s="677">
        <f t="shared" ref="H137" si="94">E137*$B$12+I137*$E$80-G137</f>
        <v>0</v>
      </c>
      <c r="I137" s="1467">
        <f>D137/1000</f>
        <v>49995.050999999999</v>
      </c>
      <c r="J137" s="649">
        <f>H17</f>
        <v>6.154773859516615E-2</v>
      </c>
      <c r="K137" s="1501">
        <f>(I137)*J137-(I137)*$J$137</f>
        <v>0</v>
      </c>
      <c r="L137" s="1501">
        <f>(E137)*$C$12*$G$12-(E137)*$C$12*$G$12</f>
        <v>0</v>
      </c>
      <c r="M137" s="1503">
        <f>L137+K137</f>
        <v>0</v>
      </c>
      <c r="N137" s="708">
        <v>0</v>
      </c>
      <c r="O137" s="1467">
        <f>N137*$E$137*($C$85)*$B$12</f>
        <v>0</v>
      </c>
      <c r="P137" s="1480">
        <f>O137+M137</f>
        <v>0</v>
      </c>
      <c r="Q137" s="1484">
        <f>E137*$B$12+(1-$J$137)*I137-P137</f>
        <v>68439.708347615408</v>
      </c>
      <c r="R137" s="1484">
        <f>Q137-G137</f>
        <v>0</v>
      </c>
      <c r="S137" s="1505">
        <f>R137/(Q137-I137*(1-J137))</f>
        <v>0</v>
      </c>
      <c r="T137" s="1489" t="str">
        <f>IF(AND(S137&gt;=0,S137&lt;=1),"Yes","No")</f>
        <v>Yes</v>
      </c>
      <c r="U137" s="1505">
        <f>IF(S137&lt;=0,0,IF(S137&gt;=1,1,S137))</f>
        <v>0</v>
      </c>
      <c r="V137" s="1533">
        <f t="shared" ref="V137:V170" si="95">AC137</f>
        <v>87501.974384615402</v>
      </c>
      <c r="W137" s="1534">
        <f>(1-V137/F137)</f>
        <v>0</v>
      </c>
      <c r="X137" s="956">
        <f>(E137*$B$12-O137-L137)*(1-U137)+I137*(1-J137)</f>
        <v>68439.708347615408</v>
      </c>
      <c r="Y137" s="1501">
        <f>I137*J137+E137*$G$12*$C$12</f>
        <v>6080.5670370000007</v>
      </c>
      <c r="Z137" s="1501">
        <f>($C$12*$H$12*E137+O137)</f>
        <v>1694.9190000000001</v>
      </c>
      <c r="AA137" s="1501">
        <f>$F$137*$D$11</f>
        <v>0</v>
      </c>
      <c r="AB137" s="1501">
        <f>E137*$E$12</f>
        <v>11286.78</v>
      </c>
      <c r="AC137" s="1501">
        <f>SUM(X137:AB137)</f>
        <v>87501.974384615402</v>
      </c>
      <c r="AD137" s="1553">
        <f>X137-G137</f>
        <v>0</v>
      </c>
      <c r="AE137" s="1536">
        <f>X137/AC137</f>
        <v>0.7821504466492184</v>
      </c>
      <c r="AF137" s="1536">
        <f>Y137/AC137</f>
        <v>6.9490626694579893E-2</v>
      </c>
      <c r="AG137" s="1536">
        <f>Z137/AC137</f>
        <v>1.9370065783315637E-2</v>
      </c>
      <c r="AH137" s="1536">
        <f>AA137/AC137</f>
        <v>0</v>
      </c>
      <c r="AI137" s="1536">
        <f>AB137/AC137</f>
        <v>0.12898886087288611</v>
      </c>
      <c r="AJ137" s="1537">
        <f>SUM(AE137:AI137)</f>
        <v>1</v>
      </c>
      <c r="AK137" s="1637">
        <f>I137*(1-$J$137)-K137</f>
        <v>46917.968670000002</v>
      </c>
      <c r="AL137" s="1638">
        <f>(E137*$C$86*$B$12-L137)*(1-U137)</f>
        <v>20017.905677615392</v>
      </c>
      <c r="AM137" s="1638">
        <f>(E137*($C$85)*$B$12-O137)*(1-U137)</f>
        <v>1503.8340000000005</v>
      </c>
      <c r="AN137" s="1638">
        <f>SUM(AK137:AM137)</f>
        <v>68439.708347615393</v>
      </c>
      <c r="AO137" s="1538">
        <f>AN137-X137</f>
        <v>0</v>
      </c>
    </row>
    <row r="138" spans="1:91">
      <c r="A138" s="127">
        <f>'Input data'!A118</f>
        <v>2018</v>
      </c>
      <c r="B138" s="662">
        <f>'Input data'!B118</f>
        <v>57.436000617299655</v>
      </c>
      <c r="C138" s="236">
        <f>'Input data'!C118</f>
        <v>3154.0370052724184</v>
      </c>
      <c r="D138" s="237">
        <f>'Input data'!D118</f>
        <v>50359792.847133137</v>
      </c>
      <c r="E138" s="1508">
        <f>'Input data'!J118*C138</f>
        <v>37946.363119089809</v>
      </c>
      <c r="F138" s="1509">
        <f>'Input data'!L118</f>
        <v>88306.155966222956</v>
      </c>
      <c r="G138" s="1509">
        <f>G137*0.94</f>
        <v>64333.325846758482</v>
      </c>
      <c r="H138" s="528">
        <f>E138*$B$12+I138*$E$80-G138</f>
        <v>4700.8289604658348</v>
      </c>
      <c r="I138" s="530">
        <f t="shared" ref="I138:I170" si="96">D138/1000</f>
        <v>50359.79284713314</v>
      </c>
      <c r="J138" s="1454">
        <f>($J$150-$J$137)/($A$150-$A$137)+J137</f>
        <v>8.7582527933999524E-2</v>
      </c>
      <c r="K138" s="1512">
        <f>(I138)*J138-(I138)*$J$137</f>
        <v>1311.106597922399</v>
      </c>
      <c r="L138" s="1512">
        <f t="shared" ref="L138:L170" si="97">(E138)*$C$12*$G$12-(E138)*$C$12*$G$12</f>
        <v>0</v>
      </c>
      <c r="M138" s="1511">
        <f>L138+K138</f>
        <v>1311.106597922399</v>
      </c>
      <c r="N138" s="1454">
        <v>0.05</v>
      </c>
      <c r="O138" s="530">
        <f t="shared" ref="O138:O170" si="98">N138*$E$137*($C$85)*$B$12</f>
        <v>75.191700000000026</v>
      </c>
      <c r="P138" s="1481">
        <f>O138+M138</f>
        <v>1386.2982979223991</v>
      </c>
      <c r="Q138" s="1364">
        <f t="shared" ref="Q138:Q170" si="99">E138*$B$12+(1-$J$137)*I138-P138</f>
        <v>67647.856509301913</v>
      </c>
      <c r="R138" s="1364">
        <f>Q138-G138</f>
        <v>3314.5306625434314</v>
      </c>
      <c r="S138" s="1514">
        <f t="shared" ref="S138:S170" si="100">R138/(Q138-I138*(1-J138))</f>
        <v>0.15275248812947445</v>
      </c>
      <c r="T138" s="135" t="str">
        <f t="shared" ref="T138:T170" si="101">IF(AND(S138&gt;=0,S138&lt;=1),"Yes","No")</f>
        <v>Yes</v>
      </c>
      <c r="U138" s="1514">
        <f t="shared" ref="U138:U170" si="102">IF(S138&lt;=0,0,IF(S138&gt;=1,1,S138))</f>
        <v>0.15275248812947445</v>
      </c>
      <c r="V138" s="1539">
        <f t="shared" si="95"/>
        <v>84991.625303679524</v>
      </c>
      <c r="W138" s="1540">
        <f t="shared" ref="W138:W170" si="103">(1-V138/F138)</f>
        <v>3.7534536819961217E-2</v>
      </c>
      <c r="X138" s="527">
        <f t="shared" ref="X138:X170" si="104">(E138*$B$12-O138-L138)*(1-U138)+I138*(1-J138)</f>
        <v>64333.325846758482</v>
      </c>
      <c r="Y138" s="1509">
        <f t="shared" ref="Y138:Y170" si="105">I138*J138+E138*$G$12*$C$12</f>
        <v>7449.3121878932852</v>
      </c>
      <c r="Z138" s="1509">
        <f t="shared" ref="Z138:Z170" si="106">($C$12*$H$12*E138+O138)</f>
        <v>1789.9687605419947</v>
      </c>
      <c r="AA138" s="1509">
        <f t="shared" ref="AA138:AA170" si="107">$F$137*$D$11</f>
        <v>0</v>
      </c>
      <c r="AB138" s="1509">
        <f t="shared" ref="AB138:AB170" si="108">E138*$E$12</f>
        <v>11419.018508485759</v>
      </c>
      <c r="AC138" s="1509">
        <f t="shared" ref="AC138:AC170" si="109">SUM(X138:AB138)</f>
        <v>84991.625303679524</v>
      </c>
      <c r="AD138" s="1535">
        <f t="shared" ref="AD138:AD170" si="110">X138-G138</f>
        <v>0</v>
      </c>
      <c r="AE138" s="1504">
        <f t="shared" ref="AE138:AE170" si="111">X138/AC138</f>
        <v>0.75693723489687537</v>
      </c>
      <c r="AF138" s="1504">
        <f t="shared" ref="AF138:AF170" si="112">Y138/AC138</f>
        <v>8.7647602469966931E-2</v>
      </c>
      <c r="AG138" s="1504">
        <f t="shared" ref="AG138:AG170" si="113">Z138/AC138</f>
        <v>2.1060531012865594E-2</v>
      </c>
      <c r="AH138" s="1504">
        <f>AA138/AC138</f>
        <v>0</v>
      </c>
      <c r="AI138" s="1504">
        <f t="shared" ref="AI138:AI169" si="114">AB138/AC138</f>
        <v>0.1343546316202921</v>
      </c>
      <c r="AJ138" s="1541">
        <f t="shared" ref="AJ138:AJ170" si="115">SUM(AE138:AI138)</f>
        <v>1</v>
      </c>
      <c r="AK138" s="1555">
        <f t="shared" ref="AK138:AK170" si="116">I138*(1-$J$137)-K138</f>
        <v>45949.154883348674</v>
      </c>
      <c r="AL138" s="1556">
        <f t="shared" ref="AL138:AL170" si="117">(E138*$C$86*$B$12-L138)*(1-U138)</f>
        <v>17158.829451148249</v>
      </c>
      <c r="AM138" s="1556">
        <f t="shared" ref="AM138:AM170" si="118">(E138*($C$85)*$B$12-O138)*(1-U138)</f>
        <v>1225.3415122615597</v>
      </c>
      <c r="AN138" s="1556">
        <f t="shared" ref="AN138:AN170" si="119">SUM(AK138:AM138)</f>
        <v>64333.325846758489</v>
      </c>
      <c r="AO138" s="1543">
        <f t="shared" ref="AO138:AO170" si="120">AN138-X138</f>
        <v>0</v>
      </c>
    </row>
    <row r="139" spans="1:91">
      <c r="A139" s="873">
        <f>'Input data'!A119</f>
        <v>2019</v>
      </c>
      <c r="B139" s="1551">
        <f>'Input data'!B119</f>
        <v>58.364834921819444</v>
      </c>
      <c r="C139" s="1550">
        <f>'Input data'!C119</f>
        <v>4436.7699999999986</v>
      </c>
      <c r="D139" s="1552">
        <f>'Input data'!D119</f>
        <v>53464172.913892828</v>
      </c>
      <c r="E139" s="1508">
        <f>'Input data'!J119*C139</f>
        <v>53378.982305676094</v>
      </c>
      <c r="F139" s="1509">
        <f>'Input data'!L119</f>
        <v>106843.15521956893</v>
      </c>
      <c r="G139" s="1509">
        <f>G137*0.89</f>
        <v>60911.340429377713</v>
      </c>
      <c r="H139" s="1509">
        <f t="shared" ref="H139:H170" si="121">E139*$B$12+I139*$E$80-G139</f>
        <v>19891.473637248593</v>
      </c>
      <c r="I139" s="1511">
        <f t="shared" si="96"/>
        <v>53464.172913892828</v>
      </c>
      <c r="J139" s="1454">
        <f t="shared" ref="J139:J149" si="122">($J$150-$J$137)/($A$150-$A$137)+J138</f>
        <v>0.11361731727283289</v>
      </c>
      <c r="K139" s="1512">
        <f t="shared" ref="K139:K170" si="123">(I139)*J139-(I139)*$J$137</f>
        <v>2783.8569579763216</v>
      </c>
      <c r="L139" s="1512">
        <f t="shared" si="97"/>
        <v>0</v>
      </c>
      <c r="M139" s="1511">
        <f t="shared" ref="M139:M170" si="124">L139+K139</f>
        <v>2783.8569579763216</v>
      </c>
      <c r="N139" s="1454">
        <v>0.1</v>
      </c>
      <c r="O139" s="530">
        <f t="shared" si="98"/>
        <v>150.38340000000005</v>
      </c>
      <c r="P139" s="1481">
        <f>O139+M139</f>
        <v>2934.2403579763218</v>
      </c>
      <c r="Q139" s="1364">
        <f t="shared" si="99"/>
        <v>77868.573708649987</v>
      </c>
      <c r="R139" s="1364">
        <f t="shared" ref="R139:R170" si="125">Q139-G139</f>
        <v>16957.233279272274</v>
      </c>
      <c r="S139" s="1514">
        <f t="shared" si="100"/>
        <v>0.55636054366934984</v>
      </c>
      <c r="T139" s="135" t="str">
        <f t="shared" si="101"/>
        <v>Yes</v>
      </c>
      <c r="U139" s="1514">
        <f t="shared" si="102"/>
        <v>0.55636054366934984</v>
      </c>
      <c r="V139" s="1539">
        <f t="shared" si="95"/>
        <v>89885.921940296656</v>
      </c>
      <c r="W139" s="1540">
        <f t="shared" si="103"/>
        <v>0.15871146115466328</v>
      </c>
      <c r="X139" s="527">
        <f t="shared" si="104"/>
        <v>60911.340429377713</v>
      </c>
      <c r="Y139" s="1509">
        <f t="shared" si="105"/>
        <v>10348.945579199766</v>
      </c>
      <c r="Z139" s="1509">
        <f t="shared" si="106"/>
        <v>2562.5527582487894</v>
      </c>
      <c r="AA139" s="1509">
        <f t="shared" si="107"/>
        <v>0</v>
      </c>
      <c r="AB139" s="1509">
        <f t="shared" si="108"/>
        <v>16063.083173470395</v>
      </c>
      <c r="AC139" s="1509">
        <f t="shared" si="109"/>
        <v>89885.921940296656</v>
      </c>
      <c r="AD139" s="1535">
        <f t="shared" si="110"/>
        <v>0</v>
      </c>
      <c r="AE139" s="1504">
        <f t="shared" si="111"/>
        <v>0.67765161790114115</v>
      </c>
      <c r="AF139" s="1504">
        <f t="shared" si="112"/>
        <v>0.1151342207523183</v>
      </c>
      <c r="AG139" s="1504">
        <f t="shared" si="113"/>
        <v>2.8508944481326771E-2</v>
      </c>
      <c r="AH139" s="1504">
        <f t="shared" ref="AH139:AH170" si="126">AA139/AC139</f>
        <v>0</v>
      </c>
      <c r="AI139" s="1504">
        <f t="shared" si="114"/>
        <v>0.17870521686521382</v>
      </c>
      <c r="AJ139" s="1541">
        <f t="shared" si="115"/>
        <v>1</v>
      </c>
      <c r="AK139" s="1555">
        <f t="shared" si="116"/>
        <v>47389.717017205468</v>
      </c>
      <c r="AL139" s="1556">
        <f t="shared" si="117"/>
        <v>12638.852664300288</v>
      </c>
      <c r="AM139" s="1556">
        <f t="shared" si="118"/>
        <v>882.77074787194999</v>
      </c>
      <c r="AN139" s="1556">
        <f t="shared" si="119"/>
        <v>60911.340429377713</v>
      </c>
      <c r="AO139" s="1543">
        <f t="shared" si="120"/>
        <v>0</v>
      </c>
    </row>
    <row r="140" spans="1:91">
      <c r="A140" s="873">
        <f>'Input data'!A120</f>
        <v>2020</v>
      </c>
      <c r="B140" s="1551">
        <f>'Input data'!B120</f>
        <v>59.233695328537607</v>
      </c>
      <c r="C140" s="1550">
        <f>'Input data'!C120</f>
        <v>4157.24</v>
      </c>
      <c r="D140" s="1552">
        <f>'Input data'!D120</f>
        <v>51247282.188414559</v>
      </c>
      <c r="E140" s="1508">
        <f>'Input data'!J120*C140</f>
        <v>50015.944121613007</v>
      </c>
      <c r="F140" s="1509">
        <f>'Input data'!L120</f>
        <v>101263.22631002756</v>
      </c>
      <c r="G140" s="1509">
        <f>G137*0.81</f>
        <v>55436.163761568481</v>
      </c>
      <c r="H140" s="1509">
        <f t="shared" si="121"/>
        <v>21356.468936474215</v>
      </c>
      <c r="I140" s="1511">
        <f t="shared" si="96"/>
        <v>51247.28218841456</v>
      </c>
      <c r="J140" s="1454">
        <f t="shared" si="122"/>
        <v>0.13965210661166627</v>
      </c>
      <c r="K140" s="1512">
        <f>(I140)*J140-(I140)*$J$137</f>
        <v>4002.6365878893621</v>
      </c>
      <c r="L140" s="1512">
        <f t="shared" si="97"/>
        <v>0</v>
      </c>
      <c r="M140" s="1511">
        <f t="shared" si="124"/>
        <v>4002.6365878893621</v>
      </c>
      <c r="N140" s="1454">
        <f>($N$142-$N$137)/($A$102-$A$97)+N139</f>
        <v>0.2</v>
      </c>
      <c r="O140" s="530">
        <f t="shared" si="98"/>
        <v>300.7668000000001</v>
      </c>
      <c r="P140" s="1481">
        <f t="shared" ref="P140:P170" si="127">O140+M140</f>
        <v>4303.4033878893624</v>
      </c>
      <c r="Q140" s="1364">
        <f t="shared" si="99"/>
        <v>72489.229310153329</v>
      </c>
      <c r="R140" s="1364">
        <f t="shared" si="125"/>
        <v>17053.065548584847</v>
      </c>
      <c r="S140" s="1514">
        <f t="shared" si="100"/>
        <v>0.60048673733609492</v>
      </c>
      <c r="T140" s="135" t="str">
        <f t="shared" si="101"/>
        <v>Yes</v>
      </c>
      <c r="U140" s="1514">
        <f t="shared" si="102"/>
        <v>0.60048673733609492</v>
      </c>
      <c r="V140" s="1539">
        <f t="shared" si="95"/>
        <v>84210.160761442719</v>
      </c>
      <c r="W140" s="1540">
        <f t="shared" si="103"/>
        <v>0.16840334018565795</v>
      </c>
      <c r="X140" s="527">
        <f t="shared" si="104"/>
        <v>55436.163761568481</v>
      </c>
      <c r="Y140" s="1509">
        <f t="shared" si="105"/>
        <v>11161.974751662076</v>
      </c>
      <c r="Z140" s="1509">
        <f t="shared" si="106"/>
        <v>2560.9621544777392</v>
      </c>
      <c r="AA140" s="1509">
        <f t="shared" si="107"/>
        <v>0</v>
      </c>
      <c r="AB140" s="1509">
        <f t="shared" si="108"/>
        <v>15051.060093734426</v>
      </c>
      <c r="AC140" s="1509">
        <f t="shared" si="109"/>
        <v>84210.160761442719</v>
      </c>
      <c r="AD140" s="1535">
        <f t="shared" si="110"/>
        <v>0</v>
      </c>
      <c r="AE140" s="1504">
        <f t="shared" si="111"/>
        <v>0.65830730235288926</v>
      </c>
      <c r="AF140" s="1504">
        <f t="shared" si="112"/>
        <v>0.13254902556572254</v>
      </c>
      <c r="AG140" s="1504">
        <f t="shared" si="113"/>
        <v>3.0411557599713385E-2</v>
      </c>
      <c r="AH140" s="1504">
        <f t="shared" si="126"/>
        <v>0</v>
      </c>
      <c r="AI140" s="1504">
        <f t="shared" si="114"/>
        <v>0.17873211448167489</v>
      </c>
      <c r="AJ140" s="1541">
        <f t="shared" si="115"/>
        <v>1</v>
      </c>
      <c r="AK140" s="1555">
        <f t="shared" si="116"/>
        <v>44090.491272679945</v>
      </c>
      <c r="AL140" s="1556">
        <f t="shared" si="117"/>
        <v>10664.656446608829</v>
      </c>
      <c r="AM140" s="1556">
        <f t="shared" si="118"/>
        <v>681.01604227970654</v>
      </c>
      <c r="AN140" s="1556">
        <f t="shared" si="119"/>
        <v>55436.163761568481</v>
      </c>
      <c r="AO140" s="1543">
        <f t="shared" si="120"/>
        <v>0</v>
      </c>
    </row>
    <row r="141" spans="1:91">
      <c r="A141" s="873">
        <f>'Input data'!A121</f>
        <v>2021</v>
      </c>
      <c r="B141" s="1551">
        <f>'Input data'!B121</f>
        <v>60.170135702880636</v>
      </c>
      <c r="C141" s="1550">
        <f>'Input data'!C121</f>
        <v>4296.6100000000006</v>
      </c>
      <c r="D141" s="1552">
        <f>'Input data'!D121</f>
        <v>50719928.257477686</v>
      </c>
      <c r="E141" s="1508">
        <f>'Input data'!J121*C141</f>
        <v>51692.710950621971</v>
      </c>
      <c r="F141" s="1509">
        <f>'Input data'!L121</f>
        <v>102412.63920809966</v>
      </c>
      <c r="G141" s="1509">
        <f>G137*0.65</f>
        <v>44485.810425950018</v>
      </c>
      <c r="H141" s="1509">
        <f t="shared" si="121"/>
        <v>32774.06652767257</v>
      </c>
      <c r="I141" s="1511">
        <f t="shared" si="96"/>
        <v>50719.928257477688</v>
      </c>
      <c r="J141" s="1454">
        <f t="shared" si="122"/>
        <v>0.16568689595049965</v>
      </c>
      <c r="K141" s="1512">
        <f t="shared" si="123"/>
        <v>5281.9305898566954</v>
      </c>
      <c r="L141" s="1512">
        <f t="shared" si="97"/>
        <v>0</v>
      </c>
      <c r="M141" s="1511">
        <f t="shared" si="124"/>
        <v>5281.9305898566954</v>
      </c>
      <c r="N141" s="1454">
        <v>0.4</v>
      </c>
      <c r="O141" s="530">
        <f t="shared" si="98"/>
        <v>601.53360000000021</v>
      </c>
      <c r="P141" s="1481">
        <f t="shared" si="127"/>
        <v>5883.4641898566952</v>
      </c>
      <c r="Q141" s="1364">
        <f t="shared" si="99"/>
        <v>71376.412763765897</v>
      </c>
      <c r="R141" s="1364">
        <f t="shared" si="125"/>
        <v>26890.602337815879</v>
      </c>
      <c r="S141" s="1514">
        <f t="shared" si="100"/>
        <v>0.92534407143296438</v>
      </c>
      <c r="T141" s="135" t="str">
        <f t="shared" si="101"/>
        <v>Yes</v>
      </c>
      <c r="U141" s="1514">
        <f t="shared" si="102"/>
        <v>0.92534407143296438</v>
      </c>
      <c r="V141" s="1539">
        <f t="shared" si="95"/>
        <v>75522.036870283788</v>
      </c>
      <c r="W141" s="1540">
        <f t="shared" si="103"/>
        <v>0.26257112936202054</v>
      </c>
      <c r="X141" s="527">
        <f t="shared" si="104"/>
        <v>44485.810425950018</v>
      </c>
      <c r="Y141" s="1509">
        <f t="shared" si="105"/>
        <v>12543.083682644075</v>
      </c>
      <c r="Z141" s="1509">
        <f t="shared" si="106"/>
        <v>2937.5012039878866</v>
      </c>
      <c r="AA141" s="1509">
        <f t="shared" si="107"/>
        <v>0</v>
      </c>
      <c r="AB141" s="1509">
        <f t="shared" si="108"/>
        <v>15555.641557701811</v>
      </c>
      <c r="AC141" s="1509">
        <f t="shared" si="109"/>
        <v>75522.036870283788</v>
      </c>
      <c r="AD141" s="1535">
        <f t="shared" si="110"/>
        <v>0</v>
      </c>
      <c r="AE141" s="1504">
        <f t="shared" si="111"/>
        <v>0.58904410248307504</v>
      </c>
      <c r="AF141" s="1504">
        <f t="shared" si="112"/>
        <v>0.16608508195015984</v>
      </c>
      <c r="AG141" s="1504">
        <f t="shared" si="113"/>
        <v>3.8895947801743241E-2</v>
      </c>
      <c r="AH141" s="1504">
        <f t="shared" si="126"/>
        <v>0</v>
      </c>
      <c r="AI141" s="1504">
        <f t="shared" si="114"/>
        <v>0.20597486776502189</v>
      </c>
      <c r="AJ141" s="1541">
        <f t="shared" si="115"/>
        <v>1</v>
      </c>
      <c r="AK141" s="1555">
        <f t="shared" si="116"/>
        <v>42316.300781664177</v>
      </c>
      <c r="AL141" s="1556">
        <f t="shared" si="117"/>
        <v>2059.6850063472216</v>
      </c>
      <c r="AM141" s="1556">
        <f t="shared" si="118"/>
        <v>109.8246379386195</v>
      </c>
      <c r="AN141" s="1556">
        <f t="shared" si="119"/>
        <v>44485.810425950018</v>
      </c>
      <c r="AO141" s="1543">
        <f t="shared" si="120"/>
        <v>0</v>
      </c>
    </row>
    <row r="142" spans="1:91">
      <c r="A142" s="873">
        <f>'Input data'!A122</f>
        <v>2022</v>
      </c>
      <c r="B142" s="1551">
        <f>'Input data'!B122</f>
        <v>61.14166465104848</v>
      </c>
      <c r="C142" s="1550">
        <f>'Input data'!C122</f>
        <v>4408.5100000000011</v>
      </c>
      <c r="D142" s="1552">
        <f>'Input data'!D122</f>
        <v>50359792.847133137</v>
      </c>
      <c r="E142" s="1508">
        <f>'Input data'!J122*C142</f>
        <v>53038.984956262379</v>
      </c>
      <c r="F142" s="1509">
        <f>'Input data'!L122</f>
        <v>103398.77780339553</v>
      </c>
      <c r="G142" s="1557">
        <f>G137*(1-E4)</f>
        <v>34219.854173807704</v>
      </c>
      <c r="H142" s="1509">
        <f t="shared" si="121"/>
        <v>43474.554499121747</v>
      </c>
      <c r="I142" s="1511">
        <f t="shared" si="96"/>
        <v>50359.79284713314</v>
      </c>
      <c r="J142" s="1454">
        <f t="shared" si="122"/>
        <v>0.19172168528933303</v>
      </c>
      <c r="K142" s="1512">
        <f t="shared" si="123"/>
        <v>6555.5329896119965</v>
      </c>
      <c r="L142" s="1512">
        <f t="shared" si="97"/>
        <v>0</v>
      </c>
      <c r="M142" s="1511">
        <f t="shared" si="124"/>
        <v>6555.5329896119965</v>
      </c>
      <c r="N142" s="1454">
        <f>$E$26</f>
        <v>0.5</v>
      </c>
      <c r="O142" s="530">
        <f t="shared" si="98"/>
        <v>751.91700000000026</v>
      </c>
      <c r="P142" s="1481">
        <f t="shared" si="127"/>
        <v>7307.4499896119969</v>
      </c>
      <c r="Q142" s="1364">
        <f t="shared" si="99"/>
        <v>70386.958683317454</v>
      </c>
      <c r="R142" s="1364">
        <f t="shared" si="125"/>
        <v>36167.104509509751</v>
      </c>
      <c r="S142" s="1514">
        <f t="shared" si="100"/>
        <v>1.2184766534043596</v>
      </c>
      <c r="T142" s="135" t="str">
        <f t="shared" si="101"/>
        <v>No</v>
      </c>
      <c r="U142" s="1514">
        <f t="shared" si="102"/>
        <v>1</v>
      </c>
      <c r="V142" s="1539">
        <f t="shared" si="95"/>
        <v>73716.547611737158</v>
      </c>
      <c r="W142" s="1540">
        <f t="shared" si="103"/>
        <v>0.28706558067926824</v>
      </c>
      <c r="X142" s="527">
        <f t="shared" si="104"/>
        <v>40704.728491659072</v>
      </c>
      <c r="Y142" s="1509">
        <f t="shared" si="105"/>
        <v>13902.327682230418</v>
      </c>
      <c r="Z142" s="1509">
        <f t="shared" si="106"/>
        <v>3148.72204906348</v>
      </c>
      <c r="AA142" s="1509">
        <f t="shared" si="107"/>
        <v>0</v>
      </c>
      <c r="AB142" s="1509">
        <f t="shared" si="108"/>
        <v>15960.769388784185</v>
      </c>
      <c r="AC142" s="1509">
        <f t="shared" si="109"/>
        <v>73716.547611737158</v>
      </c>
      <c r="AD142" s="1554">
        <f t="shared" si="110"/>
        <v>6484.8743178513687</v>
      </c>
      <c r="AE142" s="1504">
        <f t="shared" si="111"/>
        <v>0.55217898572854573</v>
      </c>
      <c r="AF142" s="1504">
        <f t="shared" si="112"/>
        <v>0.18859168168663515</v>
      </c>
      <c r="AG142" s="1504">
        <f t="shared" si="113"/>
        <v>4.2713910934186777E-2</v>
      </c>
      <c r="AH142" s="1504">
        <f t="shared" si="126"/>
        <v>0</v>
      </c>
      <c r="AI142" s="1504">
        <f t="shared" si="114"/>
        <v>0.21651542165063234</v>
      </c>
      <c r="AJ142" s="1541">
        <f t="shared" si="115"/>
        <v>0.99999999999999989</v>
      </c>
      <c r="AK142" s="1555">
        <f t="shared" si="116"/>
        <v>40704.72849165908</v>
      </c>
      <c r="AL142" s="1556">
        <f t="shared" si="117"/>
        <v>0</v>
      </c>
      <c r="AM142" s="1556">
        <f t="shared" si="118"/>
        <v>0</v>
      </c>
      <c r="AN142" s="1556">
        <f t="shared" si="119"/>
        <v>40704.72849165908</v>
      </c>
      <c r="AO142" s="1543">
        <f t="shared" si="120"/>
        <v>0</v>
      </c>
    </row>
    <row r="143" spans="1:91">
      <c r="A143" s="873">
        <f>'Input data'!A123</f>
        <v>2023</v>
      </c>
      <c r="B143" s="1551">
        <f>'Input data'!B123</f>
        <v>62.126086164056694</v>
      </c>
      <c r="C143" s="1550">
        <f>'Input data'!C123</f>
        <v>4511.7199999999984</v>
      </c>
      <c r="D143" s="1552">
        <f>'Input data'!D123</f>
        <v>48748213.106871188</v>
      </c>
      <c r="E143" s="1508">
        <f>'Input data'!J123*C143</f>
        <v>54280.70917540574</v>
      </c>
      <c r="F143" s="1509">
        <f>'Input data'!L123</f>
        <v>103028.92228227694</v>
      </c>
      <c r="G143" s="1557">
        <f>($G$147-$G$142)/($A$147-$A$142)+G142</f>
        <v>32166.662923379241</v>
      </c>
      <c r="H143" s="1509">
        <f t="shared" si="121"/>
        <v>44727.865295564559</v>
      </c>
      <c r="I143" s="1511">
        <f t="shared" si="96"/>
        <v>48748.21310687119</v>
      </c>
      <c r="J143" s="1454">
        <f t="shared" si="122"/>
        <v>0.21775647462816641</v>
      </c>
      <c r="K143" s="1512">
        <f t="shared" si="123"/>
        <v>7614.8967532916849</v>
      </c>
      <c r="L143" s="1512">
        <f t="shared" si="97"/>
        <v>0</v>
      </c>
      <c r="M143" s="1511">
        <f t="shared" si="124"/>
        <v>7614.8967532916849</v>
      </c>
      <c r="N143" s="1454">
        <f>($N$147-$N$142)/($A$107-$A$102)+N142</f>
        <v>0.5</v>
      </c>
      <c r="O143" s="530">
        <f t="shared" si="98"/>
        <v>751.91700000000026</v>
      </c>
      <c r="P143" s="1481">
        <f t="shared" si="127"/>
        <v>8366.8137532916844</v>
      </c>
      <c r="Q143" s="1364">
        <f t="shared" si="99"/>
        <v>68527.714465652112</v>
      </c>
      <c r="R143" s="1364">
        <f t="shared" si="125"/>
        <v>36361.051542272871</v>
      </c>
      <c r="S143" s="1514">
        <f t="shared" si="100"/>
        <v>1.1962941968409282</v>
      </c>
      <c r="T143" s="135" t="str">
        <f t="shared" si="101"/>
        <v>No</v>
      </c>
      <c r="U143" s="1514">
        <f t="shared" si="102"/>
        <v>1</v>
      </c>
      <c r="V143" s="1539">
        <f t="shared" si="95"/>
        <v>72634.181892921173</v>
      </c>
      <c r="W143" s="1540">
        <f t="shared" si="103"/>
        <v>0.29501172793092756</v>
      </c>
      <c r="X143" s="527">
        <f t="shared" si="104"/>
        <v>38132.974076296348</v>
      </c>
      <c r="Y143" s="1509">
        <f t="shared" si="105"/>
        <v>14961.937324690805</v>
      </c>
      <c r="Z143" s="1509">
        <f t="shared" si="106"/>
        <v>3204.8349418807438</v>
      </c>
      <c r="AA143" s="1509">
        <f t="shared" si="107"/>
        <v>0</v>
      </c>
      <c r="AB143" s="1509">
        <f t="shared" si="108"/>
        <v>16334.435550053271</v>
      </c>
      <c r="AC143" s="1509">
        <f t="shared" si="109"/>
        <v>72634.181892921173</v>
      </c>
      <c r="AD143" s="1554">
        <f t="shared" si="110"/>
        <v>5966.3111529171074</v>
      </c>
      <c r="AE143" s="1504">
        <f t="shared" si="111"/>
        <v>0.52500039351324668</v>
      </c>
      <c r="AF143" s="1504">
        <f t="shared" si="112"/>
        <v>0.20599030559396958</v>
      </c>
      <c r="AG143" s="1504">
        <f t="shared" si="113"/>
        <v>4.4122957791489663E-2</v>
      </c>
      <c r="AH143" s="1504">
        <f t="shared" si="126"/>
        <v>0</v>
      </c>
      <c r="AI143" s="1504">
        <f t="shared" si="114"/>
        <v>0.22488634310129405</v>
      </c>
      <c r="AJ143" s="1541">
        <f t="shared" si="115"/>
        <v>1</v>
      </c>
      <c r="AK143" s="1555">
        <f t="shared" si="116"/>
        <v>38132.974076296341</v>
      </c>
      <c r="AL143" s="1556">
        <f t="shared" si="117"/>
        <v>0</v>
      </c>
      <c r="AM143" s="1556">
        <f t="shared" si="118"/>
        <v>0</v>
      </c>
      <c r="AN143" s="1556">
        <f>SUM(AK143:AM143)</f>
        <v>38132.974076296341</v>
      </c>
      <c r="AO143" s="1543">
        <f t="shared" si="120"/>
        <v>0</v>
      </c>
    </row>
    <row r="144" spans="1:91">
      <c r="A144" s="873">
        <f>'Input data'!A124</f>
        <v>2024</v>
      </c>
      <c r="B144" s="1551">
        <f>'Input data'!B124</f>
        <v>63.126357518916684</v>
      </c>
      <c r="C144" s="1550">
        <f>'Input data'!C124</f>
        <v>4622.4800000000005</v>
      </c>
      <c r="D144" s="1552">
        <f>'Input data'!D124</f>
        <v>46900203.343432628</v>
      </c>
      <c r="E144" s="1508">
        <f>'Input data'!J124*C144</f>
        <v>55613.267789031597</v>
      </c>
      <c r="F144" s="1509">
        <f>'Input data'!L124</f>
        <v>102513.47113246423</v>
      </c>
      <c r="G144" s="1557">
        <f t="shared" ref="G144:G146" si="128">($G$147-$G$142)/($A$147-$A$142)+G143</f>
        <v>30113.471672950778</v>
      </c>
      <c r="H144" s="1509">
        <f t="shared" si="121"/>
        <v>45811.419224364581</v>
      </c>
      <c r="I144" s="1511">
        <f t="shared" si="96"/>
        <v>46900.203343432629</v>
      </c>
      <c r="J144" s="1454">
        <f t="shared" si="122"/>
        <v>0.24379126396699979</v>
      </c>
      <c r="K144" s="1512">
        <f t="shared" si="123"/>
        <v>8547.2583979630217</v>
      </c>
      <c r="L144" s="1512">
        <f t="shared" si="97"/>
        <v>0</v>
      </c>
      <c r="M144" s="1511">
        <f t="shared" si="124"/>
        <v>8547.2583979630217</v>
      </c>
      <c r="N144" s="1454">
        <f>($N$147-$N$142)/($A$107-$A$102)+N143</f>
        <v>0.5</v>
      </c>
      <c r="O144" s="530">
        <f t="shared" si="98"/>
        <v>751.91700000000026</v>
      </c>
      <c r="P144" s="1481">
        <f t="shared" si="127"/>
        <v>9299.1753979630212</v>
      </c>
      <c r="Q144" s="1364">
        <f t="shared" si="99"/>
        <v>66625.715499352344</v>
      </c>
      <c r="R144" s="1364">
        <f t="shared" si="125"/>
        <v>36512.243826401565</v>
      </c>
      <c r="S144" s="1514">
        <f t="shared" si="100"/>
        <v>1.1717901058941513</v>
      </c>
      <c r="T144" s="135" t="str">
        <f t="shared" si="101"/>
        <v>No</v>
      </c>
      <c r="U144" s="1514">
        <f t="shared" si="102"/>
        <v>1</v>
      </c>
      <c r="V144" s="1539">
        <f t="shared" si="95"/>
        <v>71354.099123139778</v>
      </c>
      <c r="W144" s="1540">
        <f t="shared" si="103"/>
        <v>0.30395392590951709</v>
      </c>
      <c r="X144" s="527">
        <f t="shared" si="104"/>
        <v>35466.343490027881</v>
      </c>
      <c r="Y144" s="1509">
        <f t="shared" si="105"/>
        <v>15887.266964348062</v>
      </c>
      <c r="Z144" s="1509">
        <f t="shared" si="106"/>
        <v>3265.0525952906887</v>
      </c>
      <c r="AA144" s="1509">
        <f t="shared" si="107"/>
        <v>0</v>
      </c>
      <c r="AB144" s="1509">
        <f t="shared" si="108"/>
        <v>16735.436073473149</v>
      </c>
      <c r="AC144" s="1509">
        <f t="shared" si="109"/>
        <v>71354.099123139778</v>
      </c>
      <c r="AD144" s="1554">
        <f t="shared" si="110"/>
        <v>5352.8718170771026</v>
      </c>
      <c r="AE144" s="1504">
        <f t="shared" si="111"/>
        <v>0.4970470362021055</v>
      </c>
      <c r="AF144" s="1504">
        <f t="shared" si="112"/>
        <v>0.22265387916860269</v>
      </c>
      <c r="AG144" s="1504">
        <f t="shared" si="113"/>
        <v>4.5758444650194574E-2</v>
      </c>
      <c r="AH144" s="1504">
        <f t="shared" si="126"/>
        <v>0</v>
      </c>
      <c r="AI144" s="1504">
        <f t="shared" si="114"/>
        <v>0.2345406399790973</v>
      </c>
      <c r="AJ144" s="1541">
        <f t="shared" si="115"/>
        <v>1</v>
      </c>
      <c r="AK144" s="1555">
        <f t="shared" si="116"/>
        <v>35466.343490027881</v>
      </c>
      <c r="AL144" s="1556">
        <f t="shared" si="117"/>
        <v>0</v>
      </c>
      <c r="AM144" s="1556">
        <f t="shared" si="118"/>
        <v>0</v>
      </c>
      <c r="AN144" s="1556">
        <f t="shared" si="119"/>
        <v>35466.343490027881</v>
      </c>
      <c r="AO144" s="1543">
        <f t="shared" si="120"/>
        <v>0</v>
      </c>
    </row>
    <row r="145" spans="1:41">
      <c r="A145" s="873">
        <f>'Input data'!A125</f>
        <v>2025</v>
      </c>
      <c r="B145" s="1551">
        <f>'Input data'!B125</f>
        <v>64.142733908636146</v>
      </c>
      <c r="C145" s="1550">
        <f>'Input data'!C125</f>
        <v>4727.3100000000004</v>
      </c>
      <c r="D145" s="1552">
        <f>'Input data'!D125</f>
        <v>41859241.005426526</v>
      </c>
      <c r="E145" s="1508">
        <f>'Input data'!J125*C145</f>
        <v>56874.48230209043</v>
      </c>
      <c r="F145" s="1509">
        <f>'Input data'!L125</f>
        <v>98733.72330751695</v>
      </c>
      <c r="G145" s="1557">
        <f t="shared" si="128"/>
        <v>28060.280422522315</v>
      </c>
      <c r="H145" s="1509">
        <f t="shared" si="121"/>
        <v>43857.601836146532</v>
      </c>
      <c r="I145" s="1511">
        <f t="shared" si="96"/>
        <v>41859.241005426527</v>
      </c>
      <c r="J145" s="1454">
        <f t="shared" si="122"/>
        <v>0.26982605330583315</v>
      </c>
      <c r="K145" s="1512">
        <f t="shared" si="123"/>
        <v>8718.3721716778837</v>
      </c>
      <c r="L145" s="1512">
        <f t="shared" si="97"/>
        <v>0</v>
      </c>
      <c r="M145" s="1511">
        <f t="shared" si="124"/>
        <v>8718.3721716778837</v>
      </c>
      <c r="N145" s="1454">
        <f>($N$147-$N$142)/($A$107-$A$102)+N144</f>
        <v>0.5</v>
      </c>
      <c r="O145" s="530">
        <f t="shared" si="98"/>
        <v>751.91700000000026</v>
      </c>
      <c r="P145" s="1481">
        <f t="shared" si="127"/>
        <v>9470.2891716778831</v>
      </c>
      <c r="Q145" s="1364">
        <f t="shared" si="99"/>
        <v>62447.593086990964</v>
      </c>
      <c r="R145" s="1364">
        <f t="shared" si="125"/>
        <v>34387.312664468649</v>
      </c>
      <c r="S145" s="1514">
        <f t="shared" si="100"/>
        <v>1.0785447295983877</v>
      </c>
      <c r="T145" s="135" t="str">
        <f t="shared" si="101"/>
        <v>No</v>
      </c>
      <c r="U145" s="1514">
        <f t="shared" si="102"/>
        <v>1</v>
      </c>
      <c r="V145" s="1539">
        <f t="shared" si="95"/>
        <v>66850.657431080588</v>
      </c>
      <c r="W145" s="1540">
        <f t="shared" si="103"/>
        <v>0.3229197158617535</v>
      </c>
      <c r="X145" s="527">
        <f t="shared" si="104"/>
        <v>30564.527210554592</v>
      </c>
      <c r="Y145" s="1509">
        <f t="shared" si="105"/>
        <v>15849.116619683167</v>
      </c>
      <c r="Z145" s="1509">
        <f t="shared" si="106"/>
        <v>3322.0462446854558</v>
      </c>
      <c r="AA145" s="1509">
        <f t="shared" si="107"/>
        <v>0</v>
      </c>
      <c r="AB145" s="1509">
        <f t="shared" si="108"/>
        <v>17114.967356157376</v>
      </c>
      <c r="AC145" s="1509">
        <f t="shared" si="109"/>
        <v>66850.657431080588</v>
      </c>
      <c r="AD145" s="1554">
        <f t="shared" si="110"/>
        <v>2504.2467880322765</v>
      </c>
      <c r="AE145" s="1504">
        <f t="shared" si="111"/>
        <v>0.4572060827085353</v>
      </c>
      <c r="AF145" s="1504">
        <f t="shared" si="112"/>
        <v>0.23708243461962583</v>
      </c>
      <c r="AG145" s="1504">
        <f t="shared" si="113"/>
        <v>4.9693546366545549E-2</v>
      </c>
      <c r="AH145" s="1504">
        <f t="shared" si="126"/>
        <v>0</v>
      </c>
      <c r="AI145" s="1504">
        <f t="shared" si="114"/>
        <v>0.25601793630529335</v>
      </c>
      <c r="AJ145" s="1541">
        <f t="shared" si="115"/>
        <v>1</v>
      </c>
      <c r="AK145" s="1555">
        <f t="shared" si="116"/>
        <v>30564.527210554596</v>
      </c>
      <c r="AL145" s="1556">
        <f t="shared" si="117"/>
        <v>0</v>
      </c>
      <c r="AM145" s="1556">
        <f t="shared" si="118"/>
        <v>0</v>
      </c>
      <c r="AN145" s="1556">
        <f t="shared" si="119"/>
        <v>30564.527210554596</v>
      </c>
      <c r="AO145" s="1543">
        <f t="shared" si="120"/>
        <v>0</v>
      </c>
    </row>
    <row r="146" spans="1:41">
      <c r="A146" s="873">
        <f>'Input data'!A126</f>
        <v>2026</v>
      </c>
      <c r="B146" s="1551">
        <f>'Input data'!B126</f>
        <v>65.115730264701668</v>
      </c>
      <c r="C146" s="1550">
        <f>'Input data'!C126</f>
        <v>4818.42</v>
      </c>
      <c r="D146" s="1552">
        <f>'Input data'!D126</f>
        <v>37757514.205797322</v>
      </c>
      <c r="E146" s="1508">
        <f>'Input data'!J126*C146</f>
        <v>57970.630869149376</v>
      </c>
      <c r="F146" s="1509">
        <f>'Input data'!L126</f>
        <v>95728.145074946689</v>
      </c>
      <c r="G146" s="1557">
        <f t="shared" si="128"/>
        <v>26007.089172093853</v>
      </c>
      <c r="H146" s="1509">
        <f t="shared" si="121"/>
        <v>42690.496147868806</v>
      </c>
      <c r="I146" s="1511">
        <f t="shared" si="96"/>
        <v>37757.514205797321</v>
      </c>
      <c r="J146" s="1454">
        <f t="shared" si="122"/>
        <v>0.2958608426446665</v>
      </c>
      <c r="K146" s="1512">
        <f t="shared" si="123"/>
        <v>8847.0803547534761</v>
      </c>
      <c r="L146" s="1512">
        <f t="shared" si="97"/>
        <v>0</v>
      </c>
      <c r="M146" s="1511">
        <f t="shared" si="124"/>
        <v>8847.0803547534761</v>
      </c>
      <c r="N146" s="1454">
        <f>($N$147-$N$142)/($A$107-$A$102)+N145</f>
        <v>0.5</v>
      </c>
      <c r="O146" s="530">
        <f t="shared" si="98"/>
        <v>751.91700000000026</v>
      </c>
      <c r="P146" s="1481">
        <f t="shared" si="127"/>
        <v>9598.9973547534755</v>
      </c>
      <c r="Q146" s="1364">
        <f t="shared" si="99"/>
        <v>59098.587965209183</v>
      </c>
      <c r="R146" s="1364">
        <f t="shared" si="125"/>
        <v>33091.49879311533</v>
      </c>
      <c r="S146" s="1514">
        <f t="shared" si="100"/>
        <v>1.0178227819034407</v>
      </c>
      <c r="T146" s="135" t="str">
        <f t="shared" si="101"/>
        <v>No</v>
      </c>
      <c r="U146" s="1514">
        <f t="shared" si="102"/>
        <v>1</v>
      </c>
      <c r="V146" s="1539">
        <f t="shared" si="95"/>
        <v>63216.101346439682</v>
      </c>
      <c r="W146" s="1540">
        <f t="shared" si="103"/>
        <v>0.33962889078288261</v>
      </c>
      <c r="X146" s="527">
        <f t="shared" si="104"/>
        <v>26586.544236702161</v>
      </c>
      <c r="Y146" s="1509">
        <f t="shared" si="105"/>
        <v>15813.150333642216</v>
      </c>
      <c r="Z146" s="1509">
        <f t="shared" si="106"/>
        <v>3371.5806470164412</v>
      </c>
      <c r="AA146" s="1509">
        <f t="shared" si="107"/>
        <v>0</v>
      </c>
      <c r="AB146" s="1509">
        <f t="shared" si="108"/>
        <v>17444.826129078869</v>
      </c>
      <c r="AC146" s="1509">
        <f t="shared" si="109"/>
        <v>63216.101346439682</v>
      </c>
      <c r="AD146" s="1554">
        <f t="shared" si="110"/>
        <v>579.45506460830802</v>
      </c>
      <c r="AE146" s="1504">
        <f t="shared" si="111"/>
        <v>0.42056602147926525</v>
      </c>
      <c r="AF146" s="1504">
        <f t="shared" si="112"/>
        <v>0.2501443460896503</v>
      </c>
      <c r="AG146" s="1504">
        <f t="shared" si="113"/>
        <v>5.3334207190971102E-2</v>
      </c>
      <c r="AH146" s="1504">
        <f t="shared" si="126"/>
        <v>0</v>
      </c>
      <c r="AI146" s="1504">
        <f t="shared" si="114"/>
        <v>0.27595542524011341</v>
      </c>
      <c r="AJ146" s="1541">
        <f t="shared" si="115"/>
        <v>1</v>
      </c>
      <c r="AK146" s="1555">
        <f t="shared" si="116"/>
        <v>26586.544236702161</v>
      </c>
      <c r="AL146" s="1556">
        <f t="shared" si="117"/>
        <v>0</v>
      </c>
      <c r="AM146" s="1556">
        <f t="shared" si="118"/>
        <v>0</v>
      </c>
      <c r="AN146" s="1556">
        <f t="shared" si="119"/>
        <v>26586.544236702161</v>
      </c>
      <c r="AO146" s="1543">
        <f t="shared" si="120"/>
        <v>0</v>
      </c>
    </row>
    <row r="147" spans="1:41">
      <c r="A147" s="873">
        <f>'Input data'!A127</f>
        <v>2027</v>
      </c>
      <c r="B147" s="1551">
        <f>'Input data'!B127</f>
        <v>66.042835586617315</v>
      </c>
      <c r="C147" s="1550">
        <f>'Input data'!C127</f>
        <v>4908.8799999999992</v>
      </c>
      <c r="D147" s="1552">
        <f>'Input data'!D127</f>
        <v>35019614.880897872</v>
      </c>
      <c r="E147" s="1508">
        <f>'Input data'!J127*C147</f>
        <v>59058.959256550894</v>
      </c>
      <c r="F147" s="1509">
        <f>'Input data'!L127</f>
        <v>94078.57413744877</v>
      </c>
      <c r="G147" s="1557">
        <f>G137*(1-E5)</f>
        <v>23953.89792166539</v>
      </c>
      <c r="H147" s="1509">
        <f t="shared" si="121"/>
        <v>42798.790162652185</v>
      </c>
      <c r="I147" s="1511">
        <f t="shared" si="96"/>
        <v>35019.614880897869</v>
      </c>
      <c r="J147" s="1454">
        <f t="shared" si="122"/>
        <v>0.32189563198349985</v>
      </c>
      <c r="K147" s="1512">
        <f t="shared" si="123"/>
        <v>9117.2829615125029</v>
      </c>
      <c r="L147" s="1512">
        <f t="shared" si="97"/>
        <v>0</v>
      </c>
      <c r="M147" s="1511">
        <f t="shared" si="124"/>
        <v>9117.2829615125029</v>
      </c>
      <c r="N147" s="1454">
        <f>$C$27</f>
        <v>0.5</v>
      </c>
      <c r="O147" s="530">
        <f t="shared" si="98"/>
        <v>751.91700000000026</v>
      </c>
      <c r="P147" s="1481">
        <f t="shared" si="127"/>
        <v>9869.1999615125023</v>
      </c>
      <c r="Q147" s="1364">
        <f t="shared" si="99"/>
        <v>56883.488122805073</v>
      </c>
      <c r="R147" s="1364">
        <f t="shared" si="125"/>
        <v>32929.590201139683</v>
      </c>
      <c r="S147" s="1514">
        <f t="shared" si="100"/>
        <v>0.99375480541317152</v>
      </c>
      <c r="T147" s="135" t="str">
        <f t="shared" si="101"/>
        <v>Yes</v>
      </c>
      <c r="U147" s="1514">
        <f t="shared" si="102"/>
        <v>0.99375480541317152</v>
      </c>
      <c r="V147" s="1539">
        <f t="shared" si="95"/>
        <v>61148.983936309101</v>
      </c>
      <c r="W147" s="1540">
        <f t="shared" si="103"/>
        <v>0.35002220753292401</v>
      </c>
      <c r="X147" s="527">
        <f t="shared" si="104"/>
        <v>23953.897921665393</v>
      </c>
      <c r="Y147" s="1509">
        <f t="shared" si="105"/>
        <v>16001.992742737406</v>
      </c>
      <c r="Z147" s="1509">
        <f t="shared" si="106"/>
        <v>3420.7616593626267</v>
      </c>
      <c r="AA147" s="1509">
        <f t="shared" si="107"/>
        <v>0</v>
      </c>
      <c r="AB147" s="1509">
        <f t="shared" si="108"/>
        <v>17772.331612543669</v>
      </c>
      <c r="AC147" s="1509">
        <f t="shared" si="109"/>
        <v>61148.983936309101</v>
      </c>
      <c r="AD147" s="1554">
        <f t="shared" si="110"/>
        <v>0</v>
      </c>
      <c r="AE147" s="1504">
        <f t="shared" si="111"/>
        <v>0.39173010538678837</v>
      </c>
      <c r="AF147" s="1504">
        <f t="shared" si="112"/>
        <v>0.26168861218372147</v>
      </c>
      <c r="AG147" s="1504">
        <f t="shared" si="113"/>
        <v>5.5941430898109226E-2</v>
      </c>
      <c r="AH147" s="1504">
        <f t="shared" si="126"/>
        <v>0</v>
      </c>
      <c r="AI147" s="1504">
        <f t="shared" si="114"/>
        <v>0.29063985153138083</v>
      </c>
      <c r="AJ147" s="1541">
        <f t="shared" si="115"/>
        <v>0.99999999999999989</v>
      </c>
      <c r="AK147" s="1555">
        <f t="shared" si="116"/>
        <v>23746.953816992478</v>
      </c>
      <c r="AL147" s="1556">
        <f t="shared" si="117"/>
        <v>196.85160556739265</v>
      </c>
      <c r="AM147" s="1556">
        <f t="shared" si="118"/>
        <v>10.092499105524491</v>
      </c>
      <c r="AN147" s="1556">
        <f t="shared" si="119"/>
        <v>23953.897921665397</v>
      </c>
      <c r="AO147" s="1543">
        <f t="shared" si="120"/>
        <v>0</v>
      </c>
    </row>
    <row r="148" spans="1:41">
      <c r="A148" s="873">
        <f>'Input data'!A128</f>
        <v>2028</v>
      </c>
      <c r="B148" s="1551">
        <f>'Input data'!B128</f>
        <v>66.921626677758155</v>
      </c>
      <c r="C148" s="1550">
        <f>'Input data'!C128</f>
        <v>5001.3400000000011</v>
      </c>
      <c r="D148" s="1552">
        <f>'Input data'!D128</f>
        <v>32897025.730580334</v>
      </c>
      <c r="E148" s="1508">
        <f>'Input data'!J128*C148</f>
        <v>60171.349735206066</v>
      </c>
      <c r="F148" s="1509">
        <f>'Input data'!L128</f>
        <v>93068.375465786405</v>
      </c>
      <c r="G148" s="1557">
        <f>($G$152-$G$147)/($A$152-$A$147)+G147</f>
        <v>21900.706671236927</v>
      </c>
      <c r="H148" s="1509">
        <f t="shared" si="121"/>
        <v>43498.330401514526</v>
      </c>
      <c r="I148" s="1511">
        <f t="shared" si="96"/>
        <v>32897.025730580332</v>
      </c>
      <c r="J148" s="1454">
        <f t="shared" si="122"/>
        <v>0.34793042132233321</v>
      </c>
      <c r="K148" s="1512">
        <f t="shared" si="123"/>
        <v>9421.1384824682391</v>
      </c>
      <c r="L148" s="1512">
        <f t="shared" si="97"/>
        <v>0</v>
      </c>
      <c r="M148" s="1511">
        <f t="shared" si="124"/>
        <v>9421.1384824682391</v>
      </c>
      <c r="N148" s="1454">
        <f>N147</f>
        <v>0.5</v>
      </c>
      <c r="O148" s="530">
        <f t="shared" si="98"/>
        <v>751.91700000000026</v>
      </c>
      <c r="P148" s="1481">
        <f t="shared" si="127"/>
        <v>10173.055482468239</v>
      </c>
      <c r="Q148" s="1364">
        <f t="shared" si="99"/>
        <v>55225.981590283212</v>
      </c>
      <c r="R148" s="1364">
        <f t="shared" si="125"/>
        <v>33325.274919046286</v>
      </c>
      <c r="S148" s="1514">
        <f t="shared" si="100"/>
        <v>0.98668958694111608</v>
      </c>
      <c r="T148" s="135" t="str">
        <f t="shared" si="101"/>
        <v>Yes</v>
      </c>
      <c r="U148" s="1514">
        <f t="shared" si="102"/>
        <v>0.98668958694111608</v>
      </c>
      <c r="V148" s="1539">
        <f t="shared" si="95"/>
        <v>59743.100546740112</v>
      </c>
      <c r="W148" s="1540">
        <f t="shared" si="103"/>
        <v>0.35807302697893617</v>
      </c>
      <c r="X148" s="527">
        <f t="shared" si="104"/>
        <v>21900.706671236927</v>
      </c>
      <c r="Y148" s="1509">
        <f t="shared" si="105"/>
        <v>16264.285863350544</v>
      </c>
      <c r="Z148" s="1509">
        <f t="shared" si="106"/>
        <v>3471.0300255081979</v>
      </c>
      <c r="AA148" s="1509">
        <f t="shared" si="107"/>
        <v>0</v>
      </c>
      <c r="AB148" s="1509">
        <f t="shared" si="108"/>
        <v>18107.077986644446</v>
      </c>
      <c r="AC148" s="1509">
        <f t="shared" si="109"/>
        <v>59743.100546740112</v>
      </c>
      <c r="AD148" s="1554">
        <f t="shared" si="110"/>
        <v>0</v>
      </c>
      <c r="AE148" s="1504">
        <f t="shared" si="111"/>
        <v>0.36658135367619349</v>
      </c>
      <c r="AF148" s="1504">
        <f t="shared" si="112"/>
        <v>0.27223705690711775</v>
      </c>
      <c r="AG148" s="1504">
        <f t="shared" si="113"/>
        <v>5.8099261567327462E-2</v>
      </c>
      <c r="AH148" s="1504">
        <f t="shared" si="126"/>
        <v>0</v>
      </c>
      <c r="AI148" s="1504">
        <f t="shared" si="114"/>
        <v>0.30308232784936134</v>
      </c>
      <c r="AJ148" s="1541">
        <f t="shared" si="115"/>
        <v>1</v>
      </c>
      <c r="AK148" s="1555">
        <f t="shared" si="116"/>
        <v>21451.149707887878</v>
      </c>
      <c r="AL148" s="1556">
        <f t="shared" si="117"/>
        <v>427.45311251863677</v>
      </c>
      <c r="AM148" s="1556">
        <f t="shared" si="118"/>
        <v>22.103850830406991</v>
      </c>
      <c r="AN148" s="1556">
        <f t="shared" si="119"/>
        <v>21900.706671236923</v>
      </c>
      <c r="AO148" s="1543">
        <f t="shared" si="120"/>
        <v>0</v>
      </c>
    </row>
    <row r="149" spans="1:41">
      <c r="A149" s="873">
        <f>'Input data'!A129</f>
        <v>2029</v>
      </c>
      <c r="B149" s="1551">
        <f>'Input data'!B129</f>
        <v>67.749778587208695</v>
      </c>
      <c r="C149" s="1550">
        <f>'Input data'!C129</f>
        <v>5124.16</v>
      </c>
      <c r="D149" s="1552">
        <f>'Input data'!D129</f>
        <v>31986451.408819646</v>
      </c>
      <c r="E149" s="1508">
        <f>'Input data'!J129*C149</f>
        <v>61649.00275909125</v>
      </c>
      <c r="F149" s="1509">
        <f>'Input data'!L129</f>
        <v>93635.454167910895</v>
      </c>
      <c r="G149" s="1557">
        <f t="shared" ref="G149:G151" si="129">($G$152-$G$147)/($A$152-$A$147)+G148</f>
        <v>19847.515420808464</v>
      </c>
      <c r="H149" s="1509">
        <f t="shared" si="121"/>
        <v>45544.878946119388</v>
      </c>
      <c r="I149" s="1511">
        <f t="shared" si="96"/>
        <v>31986.451408819645</v>
      </c>
      <c r="J149" s="1454">
        <f t="shared" si="122"/>
        <v>0.37396521066116656</v>
      </c>
      <c r="K149" s="1512">
        <f t="shared" si="123"/>
        <v>9993.1262895053915</v>
      </c>
      <c r="L149" s="1512">
        <f t="shared" si="97"/>
        <v>0</v>
      </c>
      <c r="M149" s="1511">
        <f t="shared" si="124"/>
        <v>9993.1262895053915</v>
      </c>
      <c r="N149" s="1454">
        <f t="shared" ref="N149:N170" si="130">N148</f>
        <v>0.5</v>
      </c>
      <c r="O149" s="530">
        <f t="shared" si="98"/>
        <v>751.91700000000026</v>
      </c>
      <c r="P149" s="1481">
        <f t="shared" si="127"/>
        <v>10745.043289505391</v>
      </c>
      <c r="Q149" s="1364">
        <f t="shared" si="99"/>
        <v>54647.351077422463</v>
      </c>
      <c r="R149" s="1364">
        <f t="shared" si="125"/>
        <v>34799.835656613999</v>
      </c>
      <c r="S149" s="1514">
        <f t="shared" si="100"/>
        <v>1.0051155989507035</v>
      </c>
      <c r="T149" s="135" t="str">
        <f t="shared" si="101"/>
        <v>No</v>
      </c>
      <c r="U149" s="1514">
        <f t="shared" si="102"/>
        <v>1</v>
      </c>
      <c r="V149" s="1539">
        <f t="shared" si="95"/>
        <v>59012.734459905667</v>
      </c>
      <c r="W149" s="1540">
        <f t="shared" si="103"/>
        <v>0.36976079216659063</v>
      </c>
      <c r="X149" s="527">
        <f t="shared" si="104"/>
        <v>20024.631369417235</v>
      </c>
      <c r="Y149" s="1509">
        <f t="shared" si="105"/>
        <v>16898.557587560812</v>
      </c>
      <c r="Z149" s="1509">
        <f t="shared" si="106"/>
        <v>3537.8044223284328</v>
      </c>
      <c r="AA149" s="1509">
        <f t="shared" si="107"/>
        <v>0</v>
      </c>
      <c r="AB149" s="1509">
        <f t="shared" si="108"/>
        <v>18551.741080599193</v>
      </c>
      <c r="AC149" s="1509">
        <f t="shared" si="109"/>
        <v>59012.734459905667</v>
      </c>
      <c r="AD149" s="1554">
        <f t="shared" si="110"/>
        <v>177.11594860877085</v>
      </c>
      <c r="AE149" s="1504">
        <f t="shared" si="111"/>
        <v>0.33932729185803678</v>
      </c>
      <c r="AF149" s="1504">
        <f t="shared" si="112"/>
        <v>0.28635442404455941</v>
      </c>
      <c r="AG149" s="1504">
        <f t="shared" si="113"/>
        <v>5.9949847345780627E-2</v>
      </c>
      <c r="AH149" s="1504">
        <f t="shared" si="126"/>
        <v>0</v>
      </c>
      <c r="AI149" s="1504">
        <f t="shared" si="114"/>
        <v>0.31436843675162324</v>
      </c>
      <c r="AJ149" s="1541">
        <f t="shared" si="115"/>
        <v>1.0000000000000002</v>
      </c>
      <c r="AK149" s="1555">
        <f t="shared" si="116"/>
        <v>20024.631369417239</v>
      </c>
      <c r="AL149" s="1556">
        <f t="shared" si="117"/>
        <v>0</v>
      </c>
      <c r="AM149" s="1556">
        <f t="shared" si="118"/>
        <v>0</v>
      </c>
      <c r="AN149" s="1556">
        <f t="shared" si="119"/>
        <v>20024.631369417239</v>
      </c>
      <c r="AO149" s="1543">
        <f t="shared" si="120"/>
        <v>0</v>
      </c>
    </row>
    <row r="150" spans="1:41">
      <c r="A150" s="873">
        <f>'Input data'!A130</f>
        <v>2030</v>
      </c>
      <c r="B150" s="1551">
        <f>'Input data'!B130</f>
        <v>68.525074762177482</v>
      </c>
      <c r="C150" s="1550">
        <f>'Input data'!C130</f>
        <v>5234.6499999999996</v>
      </c>
      <c r="D150" s="1552">
        <f>'Input data'!D130</f>
        <v>29783743.542171866</v>
      </c>
      <c r="E150" s="1508">
        <f>'Input data'!J130*C150</f>
        <v>62978.312990397841</v>
      </c>
      <c r="F150" s="1509">
        <f>'Input data'!L130</f>
        <v>92762.05653256971</v>
      </c>
      <c r="G150" s="1557">
        <f t="shared" si="129"/>
        <v>17794.324170380001</v>
      </c>
      <c r="H150" s="1509">
        <f t="shared" si="121"/>
        <v>46293.701692944283</v>
      </c>
      <c r="I150" s="1511">
        <f t="shared" si="96"/>
        <v>29783.743542171866</v>
      </c>
      <c r="J150" s="1454">
        <f>$H$19</f>
        <v>0.4</v>
      </c>
      <c r="K150" s="1512">
        <f t="shared" si="123"/>
        <v>10080.375354949685</v>
      </c>
      <c r="L150" s="1512">
        <f t="shared" si="97"/>
        <v>0</v>
      </c>
      <c r="M150" s="1511">
        <f t="shared" si="124"/>
        <v>10080.375354949685</v>
      </c>
      <c r="N150" s="1454">
        <f t="shared" si="130"/>
        <v>0.5</v>
      </c>
      <c r="O150" s="530">
        <f t="shared" si="98"/>
        <v>751.91700000000026</v>
      </c>
      <c r="P150" s="1481">
        <f t="shared" si="127"/>
        <v>10832.292354949685</v>
      </c>
      <c r="Q150" s="1364">
        <f t="shared" si="99"/>
        <v>53255.7335083746</v>
      </c>
      <c r="R150" s="1364">
        <f t="shared" si="125"/>
        <v>35461.409337994599</v>
      </c>
      <c r="S150" s="1514">
        <f t="shared" si="100"/>
        <v>1.002145567591064</v>
      </c>
      <c r="T150" s="135" t="str">
        <f t="shared" si="101"/>
        <v>No</v>
      </c>
      <c r="U150" s="1514">
        <f t="shared" si="102"/>
        <v>1</v>
      </c>
      <c r="V150" s="1539">
        <f t="shared" si="95"/>
        <v>57376.569149498231</v>
      </c>
      <c r="W150" s="1540">
        <f t="shared" si="103"/>
        <v>0.38146510228185027</v>
      </c>
      <c r="X150" s="527">
        <f t="shared" si="104"/>
        <v>17870.246125303118</v>
      </c>
      <c r="Y150" s="1509">
        <f t="shared" si="105"/>
        <v>16956.68365743645</v>
      </c>
      <c r="Z150" s="1509">
        <f t="shared" si="106"/>
        <v>3597.8752829754594</v>
      </c>
      <c r="AA150" s="1509">
        <f t="shared" si="107"/>
        <v>0</v>
      </c>
      <c r="AB150" s="1509">
        <f t="shared" si="108"/>
        <v>18951.764083783208</v>
      </c>
      <c r="AC150" s="1509">
        <f t="shared" si="109"/>
        <v>57376.569149498231</v>
      </c>
      <c r="AD150" s="1554">
        <f t="shared" si="110"/>
        <v>75.921954923116573</v>
      </c>
      <c r="AE150" s="1504">
        <f t="shared" si="111"/>
        <v>0.311455466755795</v>
      </c>
      <c r="AF150" s="1504">
        <f t="shared" si="112"/>
        <v>0.29553324482080401</v>
      </c>
      <c r="AG150" s="1504">
        <f t="shared" si="113"/>
        <v>6.2706350977538766E-2</v>
      </c>
      <c r="AH150" s="1504">
        <f t="shared" si="126"/>
        <v>0</v>
      </c>
      <c r="AI150" s="1504">
        <f t="shared" si="114"/>
        <v>0.33030493744586231</v>
      </c>
      <c r="AJ150" s="1541">
        <f t="shared" si="115"/>
        <v>1</v>
      </c>
      <c r="AK150" s="1555">
        <f t="shared" si="116"/>
        <v>17870.246125303122</v>
      </c>
      <c r="AL150" s="1556">
        <f t="shared" si="117"/>
        <v>0</v>
      </c>
      <c r="AM150" s="1556">
        <f t="shared" si="118"/>
        <v>0</v>
      </c>
      <c r="AN150" s="1556">
        <f t="shared" si="119"/>
        <v>17870.246125303122</v>
      </c>
      <c r="AO150" s="1543">
        <f t="shared" si="120"/>
        <v>0</v>
      </c>
    </row>
    <row r="151" spans="1:41">
      <c r="A151" s="873">
        <f>'Input data'!A131</f>
        <v>2031</v>
      </c>
      <c r="B151" s="1551">
        <f>'Input data'!B131</f>
        <v>69.286388472916428</v>
      </c>
      <c r="C151" s="1550">
        <f>'Input data'!C131</f>
        <v>5365.4400000000005</v>
      </c>
      <c r="D151" s="1552">
        <f>'Input data'!D131</f>
        <v>28782558.928955987</v>
      </c>
      <c r="E151" s="1508">
        <f>'Input data'!J131*C151</f>
        <v>64551.853447928748</v>
      </c>
      <c r="F151" s="1509">
        <f>'Input data'!L131</f>
        <v>93334.412376884735</v>
      </c>
      <c r="G151" s="1557">
        <f t="shared" si="129"/>
        <v>15741.132919951538</v>
      </c>
      <c r="H151" s="1509">
        <f t="shared" si="121"/>
        <v>48310.237696745928</v>
      </c>
      <c r="I151" s="1511">
        <f t="shared" si="96"/>
        <v>28782.558928955987</v>
      </c>
      <c r="J151" s="1454">
        <f>J150</f>
        <v>0.4</v>
      </c>
      <c r="K151" s="1512">
        <f t="shared" si="123"/>
        <v>9741.5221585230465</v>
      </c>
      <c r="L151" s="1512">
        <f t="shared" si="97"/>
        <v>0</v>
      </c>
      <c r="M151" s="1511">
        <f t="shared" si="124"/>
        <v>9741.5221585230465</v>
      </c>
      <c r="N151" s="1454">
        <f t="shared" si="130"/>
        <v>0.5</v>
      </c>
      <c r="O151" s="530">
        <f t="shared" si="98"/>
        <v>751.91700000000026</v>
      </c>
      <c r="P151" s="1481">
        <f t="shared" si="127"/>
        <v>10493.439158523046</v>
      </c>
      <c r="Q151" s="1364">
        <f t="shared" si="99"/>
        <v>53557.931458174418</v>
      </c>
      <c r="R151" s="1364">
        <f t="shared" si="125"/>
        <v>37816.79853822288</v>
      </c>
      <c r="S151" s="1514">
        <f t="shared" si="100"/>
        <v>1.0421182141303931</v>
      </c>
      <c r="T151" s="135" t="str">
        <f t="shared" si="101"/>
        <v>No</v>
      </c>
      <c r="U151" s="1514">
        <f t="shared" si="102"/>
        <v>1</v>
      </c>
      <c r="V151" s="1539">
        <f t="shared" si="95"/>
        <v>57046.016276083916</v>
      </c>
      <c r="W151" s="1540">
        <f t="shared" si="103"/>
        <v>0.38879974895291702</v>
      </c>
      <c r="X151" s="527">
        <f t="shared" si="104"/>
        <v>17269.535357373592</v>
      </c>
      <c r="Y151" s="1509">
        <f t="shared" si="105"/>
        <v>16682.216007101786</v>
      </c>
      <c r="Z151" s="1509">
        <f t="shared" si="106"/>
        <v>3668.9827846862445</v>
      </c>
      <c r="AA151" s="1509">
        <f t="shared" si="107"/>
        <v>0</v>
      </c>
      <c r="AB151" s="1509">
        <f t="shared" si="108"/>
        <v>19425.282126922295</v>
      </c>
      <c r="AC151" s="1509">
        <f t="shared" si="109"/>
        <v>57046.016276083916</v>
      </c>
      <c r="AD151" s="1554">
        <f t="shared" si="110"/>
        <v>1528.4024374220535</v>
      </c>
      <c r="AE151" s="1504">
        <f t="shared" si="111"/>
        <v>0.30272990972401531</v>
      </c>
      <c r="AF151" s="1504">
        <f t="shared" si="112"/>
        <v>0.29243437309216053</v>
      </c>
      <c r="AG151" s="1504">
        <f t="shared" si="113"/>
        <v>6.4316196365572259E-2</v>
      </c>
      <c r="AH151" s="1504">
        <f t="shared" si="126"/>
        <v>0</v>
      </c>
      <c r="AI151" s="1504">
        <f t="shared" si="114"/>
        <v>0.34051952081825193</v>
      </c>
      <c r="AJ151" s="1541">
        <f t="shared" si="115"/>
        <v>1</v>
      </c>
      <c r="AK151" s="1555">
        <f t="shared" si="116"/>
        <v>17269.535357373592</v>
      </c>
      <c r="AL151" s="1556">
        <f t="shared" si="117"/>
        <v>0</v>
      </c>
      <c r="AM151" s="1556">
        <f t="shared" si="118"/>
        <v>0</v>
      </c>
      <c r="AN151" s="1556">
        <f t="shared" si="119"/>
        <v>17269.535357373592</v>
      </c>
      <c r="AO151" s="1543">
        <f t="shared" si="120"/>
        <v>0</v>
      </c>
    </row>
    <row r="152" spans="1:41">
      <c r="A152" s="873">
        <f>'Input data'!A132</f>
        <v>2032</v>
      </c>
      <c r="B152" s="1551">
        <f>'Input data'!B132</f>
        <v>70.033051881823098</v>
      </c>
      <c r="C152" s="1550">
        <f>'Input data'!C132</f>
        <v>5502.3</v>
      </c>
      <c r="D152" s="1552">
        <f>'Input data'!D132</f>
        <v>27987384.812012181</v>
      </c>
      <c r="E152" s="1508">
        <f>'Input data'!J132*C152</f>
        <v>66198.422352414404</v>
      </c>
      <c r="F152" s="1509">
        <f>'Input data'!L132</f>
        <v>94185.807164426587</v>
      </c>
      <c r="G152" s="1557">
        <f>G137*(1-E6)</f>
        <v>13687.941669523079</v>
      </c>
      <c r="H152" s="1509">
        <f t="shared" si="121"/>
        <v>50562.008959453378</v>
      </c>
      <c r="I152" s="1511">
        <f t="shared" si="96"/>
        <v>27987.38481201218</v>
      </c>
      <c r="J152" s="1454">
        <f t="shared" ref="J152:J170" si="131">J151</f>
        <v>0.4</v>
      </c>
      <c r="K152" s="1512">
        <f t="shared" si="123"/>
        <v>9472.3936804328241</v>
      </c>
      <c r="L152" s="1512">
        <f t="shared" si="97"/>
        <v>0</v>
      </c>
      <c r="M152" s="1511">
        <f t="shared" si="124"/>
        <v>9472.3936804328241</v>
      </c>
      <c r="N152" s="1454">
        <f t="shared" si="130"/>
        <v>0.5</v>
      </c>
      <c r="O152" s="530">
        <f t="shared" si="98"/>
        <v>751.91700000000026</v>
      </c>
      <c r="P152" s="1481">
        <f t="shared" si="127"/>
        <v>10224.310680432824</v>
      </c>
      <c r="Q152" s="1364">
        <f t="shared" si="99"/>
        <v>54025.639948543627</v>
      </c>
      <c r="R152" s="1364">
        <f t="shared" si="125"/>
        <v>40337.698279020551</v>
      </c>
      <c r="S152" s="1514">
        <f t="shared" si="100"/>
        <v>1.0833795768871288</v>
      </c>
      <c r="T152" s="135" t="str">
        <f t="shared" si="101"/>
        <v>No</v>
      </c>
      <c r="U152" s="1514">
        <f t="shared" si="102"/>
        <v>1</v>
      </c>
      <c r="V152" s="1539">
        <f t="shared" si="95"/>
        <v>56952.598103090262</v>
      </c>
      <c r="W152" s="1540">
        <f t="shared" si="103"/>
        <v>0.39531655758213946</v>
      </c>
      <c r="X152" s="527">
        <f t="shared" si="104"/>
        <v>16792.430887207309</v>
      </c>
      <c r="Y152" s="1509">
        <f t="shared" si="105"/>
        <v>16496.000537563257</v>
      </c>
      <c r="Z152" s="1509">
        <f t="shared" si="106"/>
        <v>3743.3904051781628</v>
      </c>
      <c r="AA152" s="1509">
        <f t="shared" si="107"/>
        <v>0</v>
      </c>
      <c r="AB152" s="1509">
        <f t="shared" si="108"/>
        <v>19920.776273141539</v>
      </c>
      <c r="AC152" s="1509">
        <f t="shared" si="109"/>
        <v>56952.598103090262</v>
      </c>
      <c r="AD152" s="1554">
        <f t="shared" si="110"/>
        <v>3104.4892176842295</v>
      </c>
      <c r="AE152" s="1504">
        <f t="shared" si="111"/>
        <v>0.29484925089477432</v>
      </c>
      <c r="AF152" s="1504">
        <f t="shared" si="112"/>
        <v>0.28964439001893716</v>
      </c>
      <c r="AG152" s="1504">
        <f t="shared" si="113"/>
        <v>6.5728176235300584E-2</v>
      </c>
      <c r="AH152" s="1504">
        <f t="shared" si="126"/>
        <v>0</v>
      </c>
      <c r="AI152" s="1504">
        <f t="shared" si="114"/>
        <v>0.349778182850988</v>
      </c>
      <c r="AJ152" s="1541">
        <f t="shared" si="115"/>
        <v>1</v>
      </c>
      <c r="AK152" s="1555">
        <f t="shared" si="116"/>
        <v>16792.430887207309</v>
      </c>
      <c r="AL152" s="1556">
        <f t="shared" si="117"/>
        <v>0</v>
      </c>
      <c r="AM152" s="1556">
        <f t="shared" si="118"/>
        <v>0</v>
      </c>
      <c r="AN152" s="1556">
        <f t="shared" si="119"/>
        <v>16792.430887207309</v>
      </c>
      <c r="AO152" s="1543">
        <f t="shared" si="120"/>
        <v>0</v>
      </c>
    </row>
    <row r="153" spans="1:41">
      <c r="A153" s="873">
        <f>'Input data'!A133</f>
        <v>2033</v>
      </c>
      <c r="B153" s="1551">
        <f>'Input data'!B133</f>
        <v>70.764404167450692</v>
      </c>
      <c r="C153" s="1550">
        <f>'Input data'!C133</f>
        <v>5663.260000000002</v>
      </c>
      <c r="D153" s="1552">
        <f>'Input data'!D133</f>
        <v>28989172.151095852</v>
      </c>
      <c r="E153" s="1508">
        <f>'Input data'!J133*C153</f>
        <v>68134.939456506283</v>
      </c>
      <c r="F153" s="1509">
        <f>'Input data'!L133</f>
        <v>97124.111607602128</v>
      </c>
      <c r="G153" s="1557">
        <f>G152</f>
        <v>13687.941669523079</v>
      </c>
      <c r="H153" s="1509">
        <f t="shared" si="121"/>
        <v>52613.325855088377</v>
      </c>
      <c r="I153" s="1511">
        <f t="shared" si="96"/>
        <v>28989.172151095852</v>
      </c>
      <c r="J153" s="1454">
        <f t="shared" si="131"/>
        <v>0.4</v>
      </c>
      <c r="K153" s="1512">
        <f t="shared" si="123"/>
        <v>9811.4508707924233</v>
      </c>
      <c r="L153" s="1512">
        <f t="shared" si="97"/>
        <v>0</v>
      </c>
      <c r="M153" s="1511">
        <f t="shared" si="124"/>
        <v>9811.4508707924233</v>
      </c>
      <c r="N153" s="1454">
        <f t="shared" si="130"/>
        <v>0.5</v>
      </c>
      <c r="O153" s="530">
        <f t="shared" si="98"/>
        <v>751.91700000000026</v>
      </c>
      <c r="P153" s="1481">
        <f t="shared" si="127"/>
        <v>10563.367870792423</v>
      </c>
      <c r="Q153" s="1364">
        <f t="shared" si="99"/>
        <v>55737.899653819026</v>
      </c>
      <c r="R153" s="1364">
        <f t="shared" si="125"/>
        <v>42049.95798429595</v>
      </c>
      <c r="S153" s="1514">
        <f t="shared" si="100"/>
        <v>1.0966389348273706</v>
      </c>
      <c r="T153" s="135" t="str">
        <f t="shared" si="101"/>
        <v>No</v>
      </c>
      <c r="U153" s="1514">
        <f t="shared" si="102"/>
        <v>1</v>
      </c>
      <c r="V153" s="1539">
        <f t="shared" si="95"/>
        <v>58779.715244440624</v>
      </c>
      <c r="W153" s="1540">
        <f t="shared" si="103"/>
        <v>0.39479791092534633</v>
      </c>
      <c r="X153" s="527">
        <f t="shared" si="104"/>
        <v>17393.503290657511</v>
      </c>
      <c r="Y153" s="1509">
        <f t="shared" si="105"/>
        <v>17051.788163306242</v>
      </c>
      <c r="Z153" s="1509">
        <f t="shared" si="106"/>
        <v>3830.9006389526726</v>
      </c>
      <c r="AA153" s="1509">
        <f t="shared" si="107"/>
        <v>0</v>
      </c>
      <c r="AB153" s="1509">
        <f t="shared" si="108"/>
        <v>20503.523151524198</v>
      </c>
      <c r="AC153" s="1509">
        <f t="shared" si="109"/>
        <v>58779.715244440624</v>
      </c>
      <c r="AD153" s="1554">
        <f t="shared" si="110"/>
        <v>3705.5616211344313</v>
      </c>
      <c r="AE153" s="1504">
        <f t="shared" si="111"/>
        <v>0.29590996176699896</v>
      </c>
      <c r="AF153" s="1504">
        <f t="shared" si="112"/>
        <v>0.29009647447924647</v>
      </c>
      <c r="AG153" s="1504">
        <f t="shared" si="113"/>
        <v>6.5173855011402063E-2</v>
      </c>
      <c r="AH153" s="1504">
        <f t="shared" si="126"/>
        <v>0</v>
      </c>
      <c r="AI153" s="1504">
        <f t="shared" si="114"/>
        <v>0.34881970874235252</v>
      </c>
      <c r="AJ153" s="1541">
        <f t="shared" si="115"/>
        <v>1</v>
      </c>
      <c r="AK153" s="1555">
        <f t="shared" si="116"/>
        <v>17393.503290657514</v>
      </c>
      <c r="AL153" s="1556">
        <f t="shared" si="117"/>
        <v>0</v>
      </c>
      <c r="AM153" s="1556">
        <f t="shared" si="118"/>
        <v>0</v>
      </c>
      <c r="AN153" s="1556">
        <f t="shared" si="119"/>
        <v>17393.503290657514</v>
      </c>
      <c r="AO153" s="1543">
        <f t="shared" si="120"/>
        <v>0</v>
      </c>
    </row>
    <row r="154" spans="1:41">
      <c r="A154" s="873">
        <f>'Input data'!A134</f>
        <v>2034</v>
      </c>
      <c r="B154" s="1551">
        <f>'Input data'!B134</f>
        <v>71.479792486390252</v>
      </c>
      <c r="C154" s="1550">
        <f>'Input data'!C134</f>
        <v>5838.79</v>
      </c>
      <c r="D154" s="1552">
        <f>'Input data'!D134</f>
        <v>30478258.098855209</v>
      </c>
      <c r="E154" s="1508">
        <f>'Input data'!J134*C154</f>
        <v>70246.748895380792</v>
      </c>
      <c r="F154" s="1509">
        <f>'Input data'!L134</f>
        <v>100725.006994236</v>
      </c>
      <c r="G154" s="1557">
        <f t="shared" ref="G154:G170" si="132">G153</f>
        <v>13687.941669523079</v>
      </c>
      <c r="H154" s="1509">
        <f t="shared" si="121"/>
        <v>55222.533221748541</v>
      </c>
      <c r="I154" s="1511">
        <f t="shared" si="96"/>
        <v>30478.258098855207</v>
      </c>
      <c r="J154" s="1454">
        <f t="shared" si="131"/>
        <v>0.4</v>
      </c>
      <c r="K154" s="1512">
        <f t="shared" si="123"/>
        <v>10315.435377237738</v>
      </c>
      <c r="L154" s="1512">
        <f t="shared" si="97"/>
        <v>0</v>
      </c>
      <c r="M154" s="1511">
        <f t="shared" si="124"/>
        <v>10315.435377237738</v>
      </c>
      <c r="N154" s="1454">
        <f t="shared" si="130"/>
        <v>0.5</v>
      </c>
      <c r="O154" s="530">
        <f t="shared" si="98"/>
        <v>751.91700000000026</v>
      </c>
      <c r="P154" s="1481">
        <f t="shared" si="127"/>
        <v>11067.352377237738</v>
      </c>
      <c r="Q154" s="1364">
        <f t="shared" si="99"/>
        <v>57843.122514033879</v>
      </c>
      <c r="R154" s="1364">
        <f t="shared" si="125"/>
        <v>44155.180844510804</v>
      </c>
      <c r="S154" s="1514">
        <f t="shared" si="100"/>
        <v>1.1162653882432207</v>
      </c>
      <c r="T154" s="135" t="str">
        <f t="shared" si="101"/>
        <v>No</v>
      </c>
      <c r="U154" s="1514">
        <f t="shared" si="102"/>
        <v>1</v>
      </c>
      <c r="V154" s="1539">
        <f t="shared" si="95"/>
        <v>61168.839339515267</v>
      </c>
      <c r="W154" s="1540">
        <f t="shared" si="103"/>
        <v>0.39271446917828801</v>
      </c>
      <c r="X154" s="527">
        <f t="shared" si="104"/>
        <v>18286.954859313122</v>
      </c>
      <c r="Y154" s="1509">
        <f t="shared" si="105"/>
        <v>17816.532316856574</v>
      </c>
      <c r="Z154" s="1509">
        <f t="shared" si="106"/>
        <v>3926.3322451557001</v>
      </c>
      <c r="AA154" s="1509">
        <f t="shared" si="107"/>
        <v>0</v>
      </c>
      <c r="AB154" s="1509">
        <f t="shared" si="108"/>
        <v>21139.019918189864</v>
      </c>
      <c r="AC154" s="1509">
        <f t="shared" si="109"/>
        <v>61168.839339515267</v>
      </c>
      <c r="AD154" s="1554">
        <f t="shared" si="110"/>
        <v>4599.0131897900428</v>
      </c>
      <c r="AE154" s="1504">
        <f t="shared" si="111"/>
        <v>0.29895867008056326</v>
      </c>
      <c r="AF154" s="1504">
        <f t="shared" si="112"/>
        <v>0.29126811149655141</v>
      </c>
      <c r="AG154" s="1504">
        <f t="shared" si="113"/>
        <v>6.418843789666738E-2</v>
      </c>
      <c r="AH154" s="1504">
        <f t="shared" si="126"/>
        <v>0</v>
      </c>
      <c r="AI154" s="1504">
        <f t="shared" si="114"/>
        <v>0.34558478052621783</v>
      </c>
      <c r="AJ154" s="1541">
        <f t="shared" si="115"/>
        <v>1</v>
      </c>
      <c r="AK154" s="1555">
        <f t="shared" si="116"/>
        <v>18286.954859313126</v>
      </c>
      <c r="AL154" s="1556">
        <f t="shared" si="117"/>
        <v>0</v>
      </c>
      <c r="AM154" s="1556">
        <f t="shared" si="118"/>
        <v>0</v>
      </c>
      <c r="AN154" s="1556">
        <f t="shared" si="119"/>
        <v>18286.954859313126</v>
      </c>
      <c r="AO154" s="1543">
        <f t="shared" si="120"/>
        <v>0</v>
      </c>
    </row>
    <row r="155" spans="1:41">
      <c r="A155" s="873">
        <f>'Input data'!A135</f>
        <v>2035</v>
      </c>
      <c r="B155" s="1551">
        <f>'Input data'!B135</f>
        <v>72.178572932855872</v>
      </c>
      <c r="C155" s="1550">
        <f>'Input data'!C135</f>
        <v>5978.8699999999981</v>
      </c>
      <c r="D155" s="1552">
        <f>'Input data'!D135</f>
        <v>23293526.984521989</v>
      </c>
      <c r="E155" s="1508">
        <f>'Input data'!J135*C155</f>
        <v>71932.057766784754</v>
      </c>
      <c r="F155" s="1509">
        <f>'Input data'!L135</f>
        <v>95225.584751306742</v>
      </c>
      <c r="G155" s="1557">
        <f t="shared" si="132"/>
        <v>13687.941669523079</v>
      </c>
      <c r="H155" s="1509">
        <f t="shared" si="121"/>
        <v>49447.048289288534</v>
      </c>
      <c r="I155" s="1511">
        <f t="shared" si="96"/>
        <v>23293.526984521988</v>
      </c>
      <c r="J155" s="1454">
        <f t="shared" si="131"/>
        <v>0.4</v>
      </c>
      <c r="K155" s="1512">
        <f t="shared" si="123"/>
        <v>7883.7468840059882</v>
      </c>
      <c r="L155" s="1512">
        <f t="shared" si="97"/>
        <v>0</v>
      </c>
      <c r="M155" s="1511">
        <f t="shared" si="124"/>
        <v>7883.7468840059882</v>
      </c>
      <c r="N155" s="1454">
        <f t="shared" si="130"/>
        <v>0.5</v>
      </c>
      <c r="O155" s="530">
        <f t="shared" si="98"/>
        <v>751.91700000000026</v>
      </c>
      <c r="P155" s="1481">
        <f t="shared" si="127"/>
        <v>8635.6638840059877</v>
      </c>
      <c r="Q155" s="1364">
        <f t="shared" si="99"/>
        <v>54499.326074805627</v>
      </c>
      <c r="R155" s="1364">
        <f t="shared" si="125"/>
        <v>40811.384405282544</v>
      </c>
      <c r="S155" s="1514">
        <f t="shared" si="100"/>
        <v>1.0071113448814732</v>
      </c>
      <c r="T155" s="135" t="str">
        <f t="shared" si="101"/>
        <v>No</v>
      </c>
      <c r="U155" s="1514">
        <f t="shared" si="102"/>
        <v>1</v>
      </c>
      <c r="V155" s="1539">
        <f t="shared" si="95"/>
        <v>54702.374867214312</v>
      </c>
      <c r="W155" s="1540">
        <f t="shared" si="103"/>
        <v>0.42554960402631026</v>
      </c>
      <c r="X155" s="527">
        <f t="shared" si="104"/>
        <v>13976.116190713192</v>
      </c>
      <c r="Y155" s="1509">
        <f t="shared" si="105"/>
        <v>15077.596272903485</v>
      </c>
      <c r="Z155" s="1509">
        <f t="shared" si="106"/>
        <v>4002.4905052646268</v>
      </c>
      <c r="AA155" s="1509">
        <f t="shared" si="107"/>
        <v>0</v>
      </c>
      <c r="AB155" s="1509">
        <f t="shared" si="108"/>
        <v>21646.171898333007</v>
      </c>
      <c r="AC155" s="1509">
        <f t="shared" si="109"/>
        <v>54702.374867214312</v>
      </c>
      <c r="AD155" s="1554">
        <f t="shared" si="110"/>
        <v>288.1745211901125</v>
      </c>
      <c r="AE155" s="1504">
        <f t="shared" si="111"/>
        <v>0.25549377380121263</v>
      </c>
      <c r="AF155" s="1504">
        <f t="shared" si="112"/>
        <v>0.27562964696693987</v>
      </c>
      <c r="AG155" s="1504">
        <f t="shared" si="113"/>
        <v>7.3168496157257443E-2</v>
      </c>
      <c r="AH155" s="1504">
        <f t="shared" si="126"/>
        <v>0</v>
      </c>
      <c r="AI155" s="1504">
        <f t="shared" si="114"/>
        <v>0.39570808307459004</v>
      </c>
      <c r="AJ155" s="1541">
        <f t="shared" si="115"/>
        <v>1</v>
      </c>
      <c r="AK155" s="1555">
        <f t="shared" si="116"/>
        <v>13976.11619071319</v>
      </c>
      <c r="AL155" s="1556">
        <f t="shared" si="117"/>
        <v>0</v>
      </c>
      <c r="AM155" s="1556">
        <f t="shared" si="118"/>
        <v>0</v>
      </c>
      <c r="AN155" s="1556">
        <f t="shared" si="119"/>
        <v>13976.11619071319</v>
      </c>
      <c r="AO155" s="1543">
        <f t="shared" si="120"/>
        <v>0</v>
      </c>
    </row>
    <row r="156" spans="1:41">
      <c r="A156" s="873">
        <f>'Input data'!A136</f>
        <v>2036</v>
      </c>
      <c r="B156" s="1551">
        <f>'Input data'!B136</f>
        <v>72.865243718484663</v>
      </c>
      <c r="C156" s="1550">
        <f>'Input data'!C136</f>
        <v>6119.1299999999983</v>
      </c>
      <c r="D156" s="1552">
        <f>'Input data'!D136</f>
        <v>16814169.506355952</v>
      </c>
      <c r="E156" s="1508">
        <f>'Input data'!J136*C156</f>
        <v>73619.532226401585</v>
      </c>
      <c r="F156" s="1509">
        <f>'Input data'!L136</f>
        <v>90433.70173275753</v>
      </c>
      <c r="G156" s="1557">
        <f t="shared" si="132"/>
        <v>13687.941669523079</v>
      </c>
      <c r="H156" s="1509">
        <f t="shared" si="121"/>
        <v>44334.765470759972</v>
      </c>
      <c r="I156" s="1511">
        <f t="shared" si="96"/>
        <v>16814.169506355953</v>
      </c>
      <c r="J156" s="1454">
        <f t="shared" si="131"/>
        <v>0.4</v>
      </c>
      <c r="K156" s="1512">
        <f>(I156)*J156-(I156)*$J$137</f>
        <v>5690.7936930703718</v>
      </c>
      <c r="L156" s="1512">
        <f t="shared" si="97"/>
        <v>0</v>
      </c>
      <c r="M156" s="1511">
        <f t="shared" si="124"/>
        <v>5690.7936930703718</v>
      </c>
      <c r="N156" s="1454">
        <f t="shared" si="130"/>
        <v>0.5</v>
      </c>
      <c r="O156" s="530">
        <f t="shared" si="98"/>
        <v>751.91700000000026</v>
      </c>
      <c r="P156" s="1481">
        <f t="shared" si="127"/>
        <v>6442.7106930703721</v>
      </c>
      <c r="Q156" s="1364">
        <f t="shared" si="99"/>
        <v>51579.996447212674</v>
      </c>
      <c r="R156" s="1364">
        <f t="shared" si="125"/>
        <v>37892.054777689598</v>
      </c>
      <c r="S156" s="1514">
        <f t="shared" si="100"/>
        <v>0.91324872752910058</v>
      </c>
      <c r="T156" s="135" t="str">
        <f t="shared" si="101"/>
        <v>Yes</v>
      </c>
      <c r="U156" s="1514">
        <f t="shared" si="102"/>
        <v>0.91324872752910058</v>
      </c>
      <c r="V156" s="1539">
        <f t="shared" si="95"/>
        <v>52541.646955067947</v>
      </c>
      <c r="W156" s="1540">
        <f t="shared" si="103"/>
        <v>0.41900369056731934</v>
      </c>
      <c r="X156" s="527">
        <f t="shared" si="104"/>
        <v>13687.941669523079</v>
      </c>
      <c r="Y156" s="1509">
        <f t="shared" si="105"/>
        <v>12620.983099695972</v>
      </c>
      <c r="Z156" s="1509">
        <f t="shared" si="106"/>
        <v>4078.7466272155002</v>
      </c>
      <c r="AA156" s="1509">
        <f t="shared" si="107"/>
        <v>0</v>
      </c>
      <c r="AB156" s="1509">
        <f t="shared" si="108"/>
        <v>22153.975558633399</v>
      </c>
      <c r="AC156" s="1509">
        <f t="shared" si="109"/>
        <v>52541.646955067947</v>
      </c>
      <c r="AD156" s="1554">
        <f t="shared" si="110"/>
        <v>0</v>
      </c>
      <c r="AE156" s="1504">
        <f t="shared" si="111"/>
        <v>0.26051603752026653</v>
      </c>
      <c r="AF156" s="1504">
        <f t="shared" si="112"/>
        <v>0.24020912611454798</v>
      </c>
      <c r="AG156" s="1504">
        <f t="shared" si="113"/>
        <v>7.7628830910144914E-2</v>
      </c>
      <c r="AH156" s="1504">
        <f t="shared" si="126"/>
        <v>0</v>
      </c>
      <c r="AI156" s="1504">
        <f t="shared" si="114"/>
        <v>0.42164600545504066</v>
      </c>
      <c r="AJ156" s="1541">
        <f t="shared" si="115"/>
        <v>1</v>
      </c>
      <c r="AK156" s="1555">
        <f t="shared" si="116"/>
        <v>10088.50170381357</v>
      </c>
      <c r="AL156" s="1556">
        <f t="shared" si="117"/>
        <v>3408.6005099278223</v>
      </c>
      <c r="AM156" s="1556">
        <f t="shared" si="118"/>
        <v>190.8394557816834</v>
      </c>
      <c r="AN156" s="1556">
        <f t="shared" si="119"/>
        <v>13687.941669523076</v>
      </c>
      <c r="AO156" s="1543">
        <f t="shared" si="120"/>
        <v>0</v>
      </c>
    </row>
    <row r="157" spans="1:41">
      <c r="A157" s="873">
        <f>'Input data'!A137</f>
        <v>2037</v>
      </c>
      <c r="B157" s="1551">
        <f>'Input data'!B137</f>
        <v>73.539326072165721</v>
      </c>
      <c r="C157" s="1550">
        <f>'Input data'!C137</f>
        <v>6283.2400000000007</v>
      </c>
      <c r="D157" s="1552">
        <f>'Input data'!D137</f>
        <v>17542322.49040458</v>
      </c>
      <c r="E157" s="1508">
        <f>'Input data'!J137*C157</f>
        <v>75593.947124217928</v>
      </c>
      <c r="F157" s="1509">
        <f>'Input data'!L137</f>
        <v>93136.269614622506</v>
      </c>
      <c r="G157" s="1557">
        <f t="shared" si="132"/>
        <v>13687.941669523079</v>
      </c>
      <c r="H157" s="1509">
        <f t="shared" si="121"/>
        <v>46151.035610975785</v>
      </c>
      <c r="I157" s="1511">
        <f t="shared" si="96"/>
        <v>17542.322490404578</v>
      </c>
      <c r="J157" s="1454">
        <f t="shared" si="131"/>
        <v>0.4</v>
      </c>
      <c r="K157" s="1512">
        <f t="shared" si="123"/>
        <v>5937.2387171703067</v>
      </c>
      <c r="L157" s="1512">
        <f t="shared" si="97"/>
        <v>0</v>
      </c>
      <c r="M157" s="1511">
        <f t="shared" si="124"/>
        <v>5937.2387171703067</v>
      </c>
      <c r="N157" s="1454">
        <f t="shared" si="130"/>
        <v>0.5</v>
      </c>
      <c r="O157" s="530">
        <f t="shared" si="98"/>
        <v>751.91700000000026</v>
      </c>
      <c r="P157" s="1481">
        <f t="shared" si="127"/>
        <v>6689.1557171703071</v>
      </c>
      <c r="Q157" s="1364">
        <f t="shared" si="99"/>
        <v>53149.821563328558</v>
      </c>
      <c r="R157" s="1364">
        <f t="shared" si="125"/>
        <v>39461.879893805482</v>
      </c>
      <c r="S157" s="1514">
        <f t="shared" si="100"/>
        <v>0.92580432586322414</v>
      </c>
      <c r="T157" s="135" t="str">
        <f t="shared" si="101"/>
        <v>Yes</v>
      </c>
      <c r="U157" s="1514">
        <f t="shared" si="102"/>
        <v>0.92580432586322414</v>
      </c>
      <c r="V157" s="1539">
        <f t="shared" si="95"/>
        <v>53674.389720817031</v>
      </c>
      <c r="W157" s="1540">
        <f t="shared" si="103"/>
        <v>0.4237004558706301</v>
      </c>
      <c r="X157" s="527">
        <f t="shared" si="104"/>
        <v>13687.941669523079</v>
      </c>
      <c r="Y157" s="1509">
        <f t="shared" si="105"/>
        <v>13070.351768302207</v>
      </c>
      <c r="Z157" s="1509">
        <f t="shared" si="106"/>
        <v>4167.9694432240412</v>
      </c>
      <c r="AA157" s="1509">
        <f t="shared" si="107"/>
        <v>0</v>
      </c>
      <c r="AB157" s="1509">
        <f t="shared" si="108"/>
        <v>22748.126839767705</v>
      </c>
      <c r="AC157" s="1509">
        <f t="shared" si="109"/>
        <v>53674.389720817031</v>
      </c>
      <c r="AD157" s="1554">
        <f t="shared" si="110"/>
        <v>0</v>
      </c>
      <c r="AE157" s="1504">
        <f t="shared" si="111"/>
        <v>0.25501811461145241</v>
      </c>
      <c r="AF157" s="1504">
        <f t="shared" si="112"/>
        <v>0.24351188409009544</v>
      </c>
      <c r="AG157" s="1504">
        <f t="shared" si="113"/>
        <v>7.765285203806499E-2</v>
      </c>
      <c r="AH157" s="1504">
        <f t="shared" si="126"/>
        <v>0</v>
      </c>
      <c r="AI157" s="1504">
        <f t="shared" si="114"/>
        <v>0.42381714926038722</v>
      </c>
      <c r="AJ157" s="1541">
        <f t="shared" si="115"/>
        <v>1</v>
      </c>
      <c r="AK157" s="1555">
        <f t="shared" si="116"/>
        <v>10525.393494242746</v>
      </c>
      <c r="AL157" s="1556">
        <f t="shared" si="117"/>
        <v>2993.4554897775324</v>
      </c>
      <c r="AM157" s="1556">
        <f t="shared" si="118"/>
        <v>169.09268550280007</v>
      </c>
      <c r="AN157" s="1556">
        <f t="shared" si="119"/>
        <v>13687.941669523078</v>
      </c>
      <c r="AO157" s="1543">
        <f t="shared" si="120"/>
        <v>0</v>
      </c>
    </row>
    <row r="158" spans="1:41">
      <c r="A158" s="873">
        <f>'Input data'!A138</f>
        <v>2038</v>
      </c>
      <c r="B158" s="1551">
        <f>'Input data'!B138</f>
        <v>74.200346452615136</v>
      </c>
      <c r="C158" s="1550">
        <f>'Input data'!C138</f>
        <v>6443.4999999999982</v>
      </c>
      <c r="D158" s="1552">
        <f>'Input data'!D138</f>
        <v>14615640.739395874</v>
      </c>
      <c r="E158" s="1508">
        <f>'Input data'!J138*C158</f>
        <v>77522.042496370981</v>
      </c>
      <c r="F158" s="1509">
        <f>'Input data'!L138</f>
        <v>92137.683235766861</v>
      </c>
      <c r="G158" s="1509">
        <f t="shared" si="132"/>
        <v>13687.941669523079</v>
      </c>
      <c r="H158" s="1509">
        <f t="shared" si="121"/>
        <v>44510.839355407574</v>
      </c>
      <c r="I158" s="1511">
        <f t="shared" si="96"/>
        <v>14615.640739395874</v>
      </c>
      <c r="J158" s="1454">
        <f t="shared" si="131"/>
        <v>0.4</v>
      </c>
      <c r="K158" s="1512">
        <f t="shared" si="123"/>
        <v>4946.6966601291524</v>
      </c>
      <c r="L158" s="1512">
        <f t="shared" si="97"/>
        <v>0</v>
      </c>
      <c r="M158" s="1511">
        <f t="shared" si="124"/>
        <v>4946.6966601291524</v>
      </c>
      <c r="N158" s="1454">
        <f t="shared" si="130"/>
        <v>0.5</v>
      </c>
      <c r="O158" s="530">
        <f t="shared" si="98"/>
        <v>751.91700000000026</v>
      </c>
      <c r="P158" s="1481">
        <f t="shared" si="127"/>
        <v>5698.6136601291528</v>
      </c>
      <c r="Q158" s="1364">
        <f t="shared" si="99"/>
        <v>52500.167364801498</v>
      </c>
      <c r="R158" s="1364">
        <f t="shared" si="125"/>
        <v>38812.225695278423</v>
      </c>
      <c r="S158" s="1514">
        <f t="shared" si="100"/>
        <v>0.88752643110111884</v>
      </c>
      <c r="T158" s="135" t="str">
        <f t="shared" si="101"/>
        <v>Yes</v>
      </c>
      <c r="U158" s="1514">
        <f t="shared" si="102"/>
        <v>0.88752643110111884</v>
      </c>
      <c r="V158" s="1539">
        <f t="shared" si="95"/>
        <v>53325.457540488445</v>
      </c>
      <c r="W158" s="1540">
        <f t="shared" si="103"/>
        <v>0.42124160638990238</v>
      </c>
      <c r="X158" s="527">
        <f t="shared" si="104"/>
        <v>13687.941669523076</v>
      </c>
      <c r="Y158" s="1509">
        <f t="shared" si="105"/>
        <v>12054.077361368847</v>
      </c>
      <c r="Z158" s="1509">
        <f t="shared" si="106"/>
        <v>4255.0991031687627</v>
      </c>
      <c r="AA158" s="1509">
        <f t="shared" si="107"/>
        <v>0</v>
      </c>
      <c r="AB158" s="1509">
        <f t="shared" si="108"/>
        <v>23328.33940642776</v>
      </c>
      <c r="AC158" s="1509">
        <f t="shared" si="109"/>
        <v>53325.457540488445</v>
      </c>
      <c r="AD158" s="1554">
        <f t="shared" si="110"/>
        <v>0</v>
      </c>
      <c r="AE158" s="1504">
        <f t="shared" si="111"/>
        <v>0.25668681153143835</v>
      </c>
      <c r="AF158" s="1504">
        <f t="shared" si="112"/>
        <v>0.22604733118729534</v>
      </c>
      <c r="AG158" s="1504">
        <f t="shared" si="113"/>
        <v>7.9794891585093133E-2</v>
      </c>
      <c r="AH158" s="1504">
        <f t="shared" si="126"/>
        <v>0</v>
      </c>
      <c r="AI158" s="1504">
        <f t="shared" si="114"/>
        <v>0.43747096569617316</v>
      </c>
      <c r="AJ158" s="1541">
        <f t="shared" si="115"/>
        <v>1</v>
      </c>
      <c r="AK158" s="1555">
        <f t="shared" si="116"/>
        <v>8769.3844436375221</v>
      </c>
      <c r="AL158" s="1556">
        <f t="shared" si="117"/>
        <v>4653.5338771562037</v>
      </c>
      <c r="AM158" s="1556">
        <f t="shared" si="118"/>
        <v>265.0233487293479</v>
      </c>
      <c r="AN158" s="1556">
        <f t="shared" si="119"/>
        <v>13687.941669523074</v>
      </c>
      <c r="AO158" s="1543">
        <f t="shared" si="120"/>
        <v>0</v>
      </c>
    </row>
    <row r="159" spans="1:41">
      <c r="A159" s="873">
        <f>'Input data'!A139</f>
        <v>2039</v>
      </c>
      <c r="B159" s="1551">
        <f>'Input data'!B139</f>
        <v>74.847837096563296</v>
      </c>
      <c r="C159" s="1550">
        <f>'Input data'!C139</f>
        <v>6615.260000000002</v>
      </c>
      <c r="D159" s="1552">
        <f>'Input data'!D139</f>
        <v>11688958.988387169</v>
      </c>
      <c r="E159" s="1508">
        <f>'Input data'!J139*C159</f>
        <v>79588.494893232477</v>
      </c>
      <c r="F159" s="1509">
        <f>'Input data'!L139</f>
        <v>91277.453881619644</v>
      </c>
      <c r="G159" s="1509">
        <f t="shared" si="132"/>
        <v>13687.941669523079</v>
      </c>
      <c r="H159" s="1509">
        <f t="shared" si="121"/>
        <v>42950.033345683027</v>
      </c>
      <c r="I159" s="1511">
        <f t="shared" si="96"/>
        <v>11688.958988387169</v>
      </c>
      <c r="J159" s="1454">
        <f t="shared" si="131"/>
        <v>0.4</v>
      </c>
      <c r="K159" s="1512">
        <f t="shared" si="123"/>
        <v>3956.1546030879963</v>
      </c>
      <c r="L159" s="1512">
        <f t="shared" si="97"/>
        <v>0</v>
      </c>
      <c r="M159" s="1511">
        <f t="shared" si="124"/>
        <v>3956.1546030879963</v>
      </c>
      <c r="N159" s="1454">
        <f t="shared" si="130"/>
        <v>0.5</v>
      </c>
      <c r="O159" s="530">
        <f t="shared" si="98"/>
        <v>751.91700000000026</v>
      </c>
      <c r="P159" s="1481">
        <f t="shared" si="127"/>
        <v>4708.0716030879967</v>
      </c>
      <c r="Q159" s="1364">
        <f t="shared" si="99"/>
        <v>51929.903412118103</v>
      </c>
      <c r="R159" s="1364">
        <f t="shared" si="125"/>
        <v>38241.961742595027</v>
      </c>
      <c r="S159" s="1514">
        <f t="shared" si="100"/>
        <v>0.85140066316669361</v>
      </c>
      <c r="T159" s="135" t="str">
        <f t="shared" si="101"/>
        <v>Yes</v>
      </c>
      <c r="U159" s="1514">
        <f t="shared" si="102"/>
        <v>0.85140066316669361</v>
      </c>
      <c r="V159" s="1539">
        <f t="shared" si="95"/>
        <v>53035.492139024624</v>
      </c>
      <c r="W159" s="1540">
        <f t="shared" si="103"/>
        <v>0.41896394034163265</v>
      </c>
      <c r="X159" s="527">
        <f t="shared" si="104"/>
        <v>13687.941669523076</v>
      </c>
      <c r="Y159" s="1509">
        <f t="shared" si="105"/>
        <v>11048.882327796944</v>
      </c>
      <c r="Z159" s="1509">
        <f t="shared" si="106"/>
        <v>4348.4810474599535</v>
      </c>
      <c r="AA159" s="1509">
        <f t="shared" si="107"/>
        <v>0</v>
      </c>
      <c r="AB159" s="1509">
        <f t="shared" si="108"/>
        <v>23950.187094244651</v>
      </c>
      <c r="AC159" s="1509">
        <f t="shared" si="109"/>
        <v>53035.492139024624</v>
      </c>
      <c r="AD159" s="1554">
        <f t="shared" si="110"/>
        <v>0</v>
      </c>
      <c r="AE159" s="1504">
        <f t="shared" si="111"/>
        <v>0.25809021689932055</v>
      </c>
      <c r="AF159" s="1504">
        <f t="shared" si="112"/>
        <v>0.20832996701216516</v>
      </c>
      <c r="AG159" s="1504">
        <f t="shared" si="113"/>
        <v>8.1991905270928006E-2</v>
      </c>
      <c r="AH159" s="1504">
        <f t="shared" si="126"/>
        <v>0</v>
      </c>
      <c r="AI159" s="1504">
        <f t="shared" si="114"/>
        <v>0.45158791081758631</v>
      </c>
      <c r="AJ159" s="1541">
        <f t="shared" si="115"/>
        <v>1</v>
      </c>
      <c r="AK159" s="1555">
        <f t="shared" si="116"/>
        <v>7013.3753930323019</v>
      </c>
      <c r="AL159" s="1556">
        <f t="shared" si="117"/>
        <v>6312.1071171452149</v>
      </c>
      <c r="AM159" s="1556">
        <f t="shared" si="118"/>
        <v>362.45915934556035</v>
      </c>
      <c r="AN159" s="1556">
        <f t="shared" si="119"/>
        <v>13687.941669523078</v>
      </c>
      <c r="AO159" s="1543">
        <f t="shared" si="120"/>
        <v>0</v>
      </c>
    </row>
    <row r="160" spans="1:41">
      <c r="A160" s="873">
        <f>'Input data'!A140</f>
        <v>2040</v>
      </c>
      <c r="B160" s="1551">
        <f>'Input data'!B140</f>
        <v>75.481336564720067</v>
      </c>
      <c r="C160" s="1550">
        <f>'Input data'!C140</f>
        <v>6787.6000000000013</v>
      </c>
      <c r="D160" s="1552">
        <f>'Input data'!D140</f>
        <v>8762277.2373784631</v>
      </c>
      <c r="E160" s="1508">
        <f>'Input data'!J140*C160</f>
        <v>81661.925296557456</v>
      </c>
      <c r="F160" s="1509">
        <f>'Input data'!L140</f>
        <v>90424.202533935924</v>
      </c>
      <c r="G160" s="1509">
        <f t="shared" si="132"/>
        <v>13687.941669523079</v>
      </c>
      <c r="H160" s="1509">
        <f t="shared" si="121"/>
        <v>41393.231365748812</v>
      </c>
      <c r="I160" s="1511">
        <f t="shared" si="96"/>
        <v>8762.2772373784628</v>
      </c>
      <c r="J160" s="1454">
        <f t="shared" si="131"/>
        <v>0.4</v>
      </c>
      <c r="K160" s="1512">
        <f t="shared" si="123"/>
        <v>2965.6125460468411</v>
      </c>
      <c r="L160" s="1512">
        <f t="shared" si="97"/>
        <v>0</v>
      </c>
      <c r="M160" s="1511">
        <f t="shared" si="124"/>
        <v>2965.6125460468411</v>
      </c>
      <c r="N160" s="1454">
        <f t="shared" si="130"/>
        <v>0.5</v>
      </c>
      <c r="O160" s="530">
        <f t="shared" si="98"/>
        <v>751.91700000000026</v>
      </c>
      <c r="P160" s="1481">
        <f t="shared" si="127"/>
        <v>3717.5295460468415</v>
      </c>
      <c r="Q160" s="1364">
        <f t="shared" si="99"/>
        <v>51363.643489225055</v>
      </c>
      <c r="R160" s="1364">
        <f t="shared" si="125"/>
        <v>37675.701819701979</v>
      </c>
      <c r="S160" s="1514">
        <f t="shared" si="100"/>
        <v>0.81714907711473095</v>
      </c>
      <c r="T160" s="135" t="str">
        <f t="shared" si="101"/>
        <v>Yes</v>
      </c>
      <c r="U160" s="1514">
        <f t="shared" si="102"/>
        <v>0.81714907711473095</v>
      </c>
      <c r="V160" s="1539">
        <f t="shared" si="95"/>
        <v>52748.500714233953</v>
      </c>
      <c r="W160" s="1540">
        <f t="shared" si="103"/>
        <v>0.41665506317915713</v>
      </c>
      <c r="X160" s="527">
        <f t="shared" si="104"/>
        <v>13687.941669523076</v>
      </c>
      <c r="Y160" s="1509">
        <f t="shared" si="105"/>
        <v>10044.246080011962</v>
      </c>
      <c r="Z160" s="1509">
        <f t="shared" si="106"/>
        <v>4442.1783243529617</v>
      </c>
      <c r="AA160" s="1509">
        <f t="shared" si="107"/>
        <v>0</v>
      </c>
      <c r="AB160" s="1509">
        <f t="shared" si="108"/>
        <v>24574.134640345954</v>
      </c>
      <c r="AC160" s="1509">
        <f t="shared" si="109"/>
        <v>52748.500714233953</v>
      </c>
      <c r="AD160" s="1554">
        <f t="shared" si="110"/>
        <v>0</v>
      </c>
      <c r="AE160" s="1504">
        <f t="shared" si="111"/>
        <v>0.25949442134247136</v>
      </c>
      <c r="AF160" s="1504">
        <f t="shared" si="112"/>
        <v>0.19041766010425329</v>
      </c>
      <c r="AG160" s="1504">
        <f t="shared" si="113"/>
        <v>8.4214304941453225E-2</v>
      </c>
      <c r="AH160" s="1504">
        <f t="shared" si="126"/>
        <v>0</v>
      </c>
      <c r="AI160" s="1504">
        <f t="shared" si="114"/>
        <v>0.46587361361182217</v>
      </c>
      <c r="AJ160" s="1541">
        <f t="shared" si="115"/>
        <v>1</v>
      </c>
      <c r="AK160" s="1555">
        <f t="shared" si="116"/>
        <v>5257.3663424270781</v>
      </c>
      <c r="AL160" s="1556">
        <f t="shared" si="117"/>
        <v>7969.3695979671247</v>
      </c>
      <c r="AM160" s="1556">
        <f t="shared" si="118"/>
        <v>461.20572912887332</v>
      </c>
      <c r="AN160" s="1556">
        <f t="shared" si="119"/>
        <v>13687.941669523076</v>
      </c>
      <c r="AO160" s="1543">
        <f t="shared" si="120"/>
        <v>0</v>
      </c>
    </row>
    <row r="161" spans="1:41">
      <c r="A161" s="873">
        <f>'Input data'!A141</f>
        <v>2041</v>
      </c>
      <c r="B161" s="1551">
        <f>'Input data'!B141</f>
        <v>76.101885632753024</v>
      </c>
      <c r="C161" s="1550">
        <f>'Input data'!C141</f>
        <v>6981.3799999999992</v>
      </c>
      <c r="D161" s="1552">
        <f>'Input data'!D141</f>
        <v>7249397.5356904445</v>
      </c>
      <c r="E161" s="1508">
        <f>'Input data'!J141*C161</f>
        <v>83993.301318121303</v>
      </c>
      <c r="F161" s="1509">
        <f>'Input data'!L141</f>
        <v>91242.698853811744</v>
      </c>
      <c r="G161" s="1509">
        <f t="shared" si="132"/>
        <v>13687.941669523079</v>
      </c>
      <c r="H161" s="1509">
        <f t="shared" si="121"/>
        <v>41311.226148429458</v>
      </c>
      <c r="I161" s="1511">
        <f t="shared" si="96"/>
        <v>7249.3975356904448</v>
      </c>
      <c r="J161" s="1454">
        <f t="shared" si="131"/>
        <v>0.4</v>
      </c>
      <c r="K161" s="1512">
        <f t="shared" si="123"/>
        <v>2453.5749897770611</v>
      </c>
      <c r="L161" s="1512">
        <f t="shared" si="97"/>
        <v>0</v>
      </c>
      <c r="M161" s="1511">
        <f t="shared" si="124"/>
        <v>2453.5749897770611</v>
      </c>
      <c r="N161" s="1454">
        <f t="shared" si="130"/>
        <v>0.5</v>
      </c>
      <c r="O161" s="530">
        <f t="shared" si="98"/>
        <v>751.91700000000026</v>
      </c>
      <c r="P161" s="1481">
        <f t="shared" si="127"/>
        <v>3205.4919897770615</v>
      </c>
      <c r="Q161" s="1364">
        <f t="shared" si="99"/>
        <v>51793.675828175481</v>
      </c>
      <c r="R161" s="1364">
        <f t="shared" si="125"/>
        <v>38105.734158652398</v>
      </c>
      <c r="S161" s="1514">
        <f t="shared" si="100"/>
        <v>0.80317224928119635</v>
      </c>
      <c r="T161" s="135" t="str">
        <f t="shared" si="101"/>
        <v>Yes</v>
      </c>
      <c r="U161" s="1514">
        <f t="shared" si="102"/>
        <v>0.80317224928119635</v>
      </c>
      <c r="V161" s="1539">
        <f t="shared" si="95"/>
        <v>53136.964695159368</v>
      </c>
      <c r="W161" s="1540">
        <f t="shared" si="103"/>
        <v>0.41763050235619459</v>
      </c>
      <c r="X161" s="527">
        <f t="shared" si="104"/>
        <v>13687.941669523083</v>
      </c>
      <c r="Y161" s="1509">
        <f t="shared" si="105"/>
        <v>9625.7864575960848</v>
      </c>
      <c r="Z161" s="1509">
        <f t="shared" si="106"/>
        <v>4547.532033975378</v>
      </c>
      <c r="AA161" s="1509">
        <f t="shared" si="107"/>
        <v>0</v>
      </c>
      <c r="AB161" s="1509">
        <f t="shared" si="108"/>
        <v>25275.704534064822</v>
      </c>
      <c r="AC161" s="1509">
        <f t="shared" si="109"/>
        <v>53136.964695159368</v>
      </c>
      <c r="AD161" s="1554">
        <f t="shared" si="110"/>
        <v>0</v>
      </c>
      <c r="AE161" s="1504">
        <f t="shared" si="111"/>
        <v>0.25759735709499448</v>
      </c>
      <c r="AF161" s="1504">
        <f t="shared" si="112"/>
        <v>0.18115047618579855</v>
      </c>
      <c r="AG161" s="1504">
        <f t="shared" si="113"/>
        <v>8.558132855468964E-2</v>
      </c>
      <c r="AH161" s="1504">
        <f t="shared" si="126"/>
        <v>0</v>
      </c>
      <c r="AI161" s="1504">
        <f t="shared" si="114"/>
        <v>0.47567083816451733</v>
      </c>
      <c r="AJ161" s="1541">
        <f t="shared" si="115"/>
        <v>1</v>
      </c>
      <c r="AK161" s="1555">
        <f t="shared" si="116"/>
        <v>4349.6385214142665</v>
      </c>
      <c r="AL161" s="1556">
        <f t="shared" si="117"/>
        <v>8823.4449025006761</v>
      </c>
      <c r="AM161" s="1556">
        <f t="shared" si="118"/>
        <v>514.85824560813717</v>
      </c>
      <c r="AN161" s="1556">
        <f t="shared" si="119"/>
        <v>13687.941669523079</v>
      </c>
      <c r="AO161" s="1543">
        <f t="shared" si="120"/>
        <v>0</v>
      </c>
    </row>
    <row r="162" spans="1:41">
      <c r="A162" s="873">
        <f>'Input data'!A142</f>
        <v>2042</v>
      </c>
      <c r="B162" s="1551">
        <f>'Input data'!B142</f>
        <v>76.709073592680113</v>
      </c>
      <c r="C162" s="1550">
        <f>'Input data'!C142</f>
        <v>7178.2100000000019</v>
      </c>
      <c r="D162" s="1552">
        <f>'Input data'!D142</f>
        <v>5736517.8340024278</v>
      </c>
      <c r="E162" s="1508">
        <f>'Input data'!J142*C162</f>
        <v>86361.372028846978</v>
      </c>
      <c r="F162" s="1509">
        <f>'Input data'!L142</f>
        <v>92097.889862849406</v>
      </c>
      <c r="G162" s="1509">
        <f t="shared" si="132"/>
        <v>13687.941669523079</v>
      </c>
      <c r="H162" s="1509">
        <f t="shared" si="121"/>
        <v>41250.276605007777</v>
      </c>
      <c r="I162" s="1511">
        <f t="shared" si="96"/>
        <v>5736.5178340024277</v>
      </c>
      <c r="J162" s="1454">
        <f t="shared" si="131"/>
        <v>0.4</v>
      </c>
      <c r="K162" s="1512">
        <f t="shared" si="123"/>
        <v>1941.5374335072811</v>
      </c>
      <c r="L162" s="1512">
        <f t="shared" si="97"/>
        <v>0</v>
      </c>
      <c r="M162" s="1511">
        <f t="shared" si="124"/>
        <v>1941.5374335072811</v>
      </c>
      <c r="N162" s="1454">
        <f t="shared" si="130"/>
        <v>0.5</v>
      </c>
      <c r="O162" s="530">
        <f t="shared" si="98"/>
        <v>751.91700000000026</v>
      </c>
      <c r="P162" s="1481">
        <f t="shared" si="127"/>
        <v>2693.4544335072815</v>
      </c>
      <c r="Q162" s="1364">
        <f t="shared" si="99"/>
        <v>52244.763841023581</v>
      </c>
      <c r="R162" s="1364">
        <f t="shared" si="125"/>
        <v>38556.822171500506</v>
      </c>
      <c r="S162" s="1514">
        <f t="shared" si="100"/>
        <v>0.79005262377594254</v>
      </c>
      <c r="T162" s="135" t="str">
        <f t="shared" si="101"/>
        <v>Yes</v>
      </c>
      <c r="U162" s="1514">
        <f t="shared" si="102"/>
        <v>0.79005262377594254</v>
      </c>
      <c r="V162" s="1539">
        <f t="shared" si="95"/>
        <v>53541.067691348915</v>
      </c>
      <c r="W162" s="1540">
        <f t="shared" si="103"/>
        <v>0.41865044062267498</v>
      </c>
      <c r="X162" s="527">
        <f t="shared" si="104"/>
        <v>13687.941669523074</v>
      </c>
      <c r="Y162" s="1509">
        <f t="shared" si="105"/>
        <v>9210.2652776804243</v>
      </c>
      <c r="Z162" s="1509">
        <f t="shared" si="106"/>
        <v>4654.5439581418577</v>
      </c>
      <c r="AA162" s="1509">
        <f t="shared" si="107"/>
        <v>0</v>
      </c>
      <c r="AB162" s="1509">
        <f t="shared" si="108"/>
        <v>25988.316786003554</v>
      </c>
      <c r="AC162" s="1509">
        <f t="shared" si="109"/>
        <v>53541.067691348915</v>
      </c>
      <c r="AD162" s="1554">
        <f t="shared" si="110"/>
        <v>0</v>
      </c>
      <c r="AE162" s="1504">
        <f t="shared" si="111"/>
        <v>0.25565313244088989</v>
      </c>
      <c r="AF162" s="1504">
        <f t="shared" si="112"/>
        <v>0.1720224432350759</v>
      </c>
      <c r="AG162" s="1504">
        <f t="shared" si="113"/>
        <v>8.6934089267217435E-2</v>
      </c>
      <c r="AH162" s="1504">
        <f t="shared" si="126"/>
        <v>0</v>
      </c>
      <c r="AI162" s="1504">
        <f t="shared" si="114"/>
        <v>0.48539033505681672</v>
      </c>
      <c r="AJ162" s="1541">
        <f t="shared" si="115"/>
        <v>1</v>
      </c>
      <c r="AK162" s="1555">
        <f t="shared" si="116"/>
        <v>3441.9107004014568</v>
      </c>
      <c r="AL162" s="1556">
        <f t="shared" si="117"/>
        <v>9676.9206996863068</v>
      </c>
      <c r="AM162" s="1556">
        <f t="shared" si="118"/>
        <v>569.11026943530908</v>
      </c>
      <c r="AN162" s="1556">
        <f t="shared" si="119"/>
        <v>13687.941669523072</v>
      </c>
      <c r="AO162" s="1543">
        <f t="shared" si="120"/>
        <v>0</v>
      </c>
    </row>
    <row r="163" spans="1:41">
      <c r="A163" s="873">
        <f>'Input data'!A143</f>
        <v>2043</v>
      </c>
      <c r="B163" s="1551">
        <f>'Input data'!B143</f>
        <v>77.302495984815266</v>
      </c>
      <c r="C163" s="1550">
        <f>'Input data'!C143</f>
        <v>7380.12</v>
      </c>
      <c r="D163" s="1552">
        <f>'Input data'!D143</f>
        <v>4223638.132314411</v>
      </c>
      <c r="E163" s="1508">
        <f>'Input data'!J143*C163</f>
        <v>88790.560451356811</v>
      </c>
      <c r="F163" s="1509">
        <f>'Input data'!L143</f>
        <v>93014.198583671227</v>
      </c>
      <c r="G163" s="1509">
        <f t="shared" si="132"/>
        <v>13687.941669523079</v>
      </c>
      <c r="H163" s="1509">
        <f t="shared" si="121"/>
        <v>41224.396839750043</v>
      </c>
      <c r="I163" s="1511">
        <f t="shared" si="96"/>
        <v>4223.6381323144105</v>
      </c>
      <c r="J163" s="1454">
        <f t="shared" si="131"/>
        <v>0.4</v>
      </c>
      <c r="K163" s="1512">
        <f t="shared" si="123"/>
        <v>1429.4998772375013</v>
      </c>
      <c r="L163" s="1512">
        <f t="shared" si="97"/>
        <v>0</v>
      </c>
      <c r="M163" s="1511">
        <f t="shared" si="124"/>
        <v>1429.4998772375013</v>
      </c>
      <c r="N163" s="1454">
        <f t="shared" si="130"/>
        <v>0.5</v>
      </c>
      <c r="O163" s="530">
        <f t="shared" si="98"/>
        <v>751.91700000000026</v>
      </c>
      <c r="P163" s="1481">
        <f t="shared" si="127"/>
        <v>2181.4168772375015</v>
      </c>
      <c r="Q163" s="1364">
        <f t="shared" si="99"/>
        <v>52730.921632035621</v>
      </c>
      <c r="R163" s="1364">
        <f t="shared" si="125"/>
        <v>39042.979962512545</v>
      </c>
      <c r="S163" s="1514">
        <f t="shared" si="100"/>
        <v>0.77779913461915351</v>
      </c>
      <c r="T163" s="135" t="str">
        <f t="shared" si="101"/>
        <v>Yes</v>
      </c>
      <c r="U163" s="1514">
        <f t="shared" si="102"/>
        <v>0.77779913461915351</v>
      </c>
      <c r="V163" s="1539">
        <f t="shared" si="95"/>
        <v>53971.218621158681</v>
      </c>
      <c r="W163" s="1540">
        <f t="shared" si="103"/>
        <v>0.41975290393317</v>
      </c>
      <c r="X163" s="527">
        <f t="shared" si="104"/>
        <v>13687.941669523076</v>
      </c>
      <c r="Y163" s="1509">
        <f t="shared" si="105"/>
        <v>8799.6382905192077</v>
      </c>
      <c r="Z163" s="1509">
        <f t="shared" si="106"/>
        <v>4764.3177609587738</v>
      </c>
      <c r="AA163" s="1509">
        <f t="shared" si="107"/>
        <v>0</v>
      </c>
      <c r="AB163" s="1509">
        <f t="shared" si="108"/>
        <v>26719.320900157629</v>
      </c>
      <c r="AC163" s="1509">
        <f t="shared" si="109"/>
        <v>53971.218621158681</v>
      </c>
      <c r="AD163" s="1554">
        <f t="shared" si="110"/>
        <v>0</v>
      </c>
      <c r="AE163" s="1504">
        <f t="shared" si="111"/>
        <v>0.25361557547186647</v>
      </c>
      <c r="AF163" s="1504">
        <f t="shared" si="112"/>
        <v>0.1630431647705918</v>
      </c>
      <c r="AG163" s="1504">
        <f t="shared" si="113"/>
        <v>8.8275156327320498E-2</v>
      </c>
      <c r="AH163" s="1504">
        <f t="shared" si="126"/>
        <v>0</v>
      </c>
      <c r="AI163" s="1504">
        <f t="shared" si="114"/>
        <v>0.49506610343022128</v>
      </c>
      <c r="AJ163" s="1541">
        <f t="shared" si="115"/>
        <v>1</v>
      </c>
      <c r="AK163" s="1555">
        <f t="shared" si="116"/>
        <v>2534.1828793886461</v>
      </c>
      <c r="AL163" s="1556">
        <f t="shared" si="117"/>
        <v>10529.790741278357</v>
      </c>
      <c r="AM163" s="1556">
        <f t="shared" si="118"/>
        <v>623.96804885607298</v>
      </c>
      <c r="AN163" s="1556">
        <f t="shared" si="119"/>
        <v>13687.941669523076</v>
      </c>
      <c r="AO163" s="1543">
        <f t="shared" si="120"/>
        <v>0</v>
      </c>
    </row>
    <row r="164" spans="1:41">
      <c r="A164" s="873">
        <f>'Input data'!A144</f>
        <v>2044</v>
      </c>
      <c r="B164" s="1551">
        <f>'Input data'!B144</f>
        <v>77.881755043150378</v>
      </c>
      <c r="C164" s="1550">
        <f>'Input data'!C144</f>
        <v>7589.87</v>
      </c>
      <c r="D164" s="1552">
        <f>'Input data'!D144</f>
        <v>2710758.4306263938</v>
      </c>
      <c r="E164" s="1508">
        <f>'Input data'!J144*C164</f>
        <v>91314.072271580881</v>
      </c>
      <c r="F164" s="1509">
        <f>'Input data'!L144</f>
        <v>94024.830702207269</v>
      </c>
      <c r="G164" s="1509">
        <f t="shared" si="132"/>
        <v>13687.941669523079</v>
      </c>
      <c r="H164" s="1509">
        <f t="shared" si="121"/>
        <v>41252.640511658756</v>
      </c>
      <c r="I164" s="1511">
        <f t="shared" si="96"/>
        <v>2710.7584306263939</v>
      </c>
      <c r="J164" s="1454">
        <f t="shared" si="131"/>
        <v>0.4</v>
      </c>
      <c r="K164" s="1512">
        <f t="shared" si="123"/>
        <v>917.46232096772155</v>
      </c>
      <c r="L164" s="1512">
        <f t="shared" si="97"/>
        <v>0</v>
      </c>
      <c r="M164" s="1511">
        <f t="shared" si="124"/>
        <v>917.46232096772155</v>
      </c>
      <c r="N164" s="1454">
        <f t="shared" si="130"/>
        <v>0.5</v>
      </c>
      <c r="O164" s="530">
        <f t="shared" si="98"/>
        <v>751.91700000000026</v>
      </c>
      <c r="P164" s="1481">
        <f t="shared" si="127"/>
        <v>1669.3793209677219</v>
      </c>
      <c r="Q164" s="1364">
        <f t="shared" si="99"/>
        <v>53271.202860214107</v>
      </c>
      <c r="R164" s="1364">
        <f t="shared" si="125"/>
        <v>39583.261190691032</v>
      </c>
      <c r="S164" s="1514">
        <f t="shared" si="100"/>
        <v>0.76645279288752932</v>
      </c>
      <c r="T164" s="135" t="str">
        <f t="shared" si="101"/>
        <v>Yes</v>
      </c>
      <c r="U164" s="1514">
        <f t="shared" si="102"/>
        <v>0.76645279288752932</v>
      </c>
      <c r="V164" s="1539">
        <f t="shared" si="95"/>
        <v>54441.569511516253</v>
      </c>
      <c r="W164" s="1540">
        <f t="shared" si="103"/>
        <v>0.42098731680845014</v>
      </c>
      <c r="X164" s="527">
        <f t="shared" si="104"/>
        <v>13687.941669523074</v>
      </c>
      <c r="Y164" s="1509">
        <f t="shared" si="105"/>
        <v>8396.5645457191931</v>
      </c>
      <c r="Z164" s="1509">
        <f t="shared" si="106"/>
        <v>4878.3539906692804</v>
      </c>
      <c r="AA164" s="1509">
        <f t="shared" si="107"/>
        <v>0</v>
      </c>
      <c r="AB164" s="1509">
        <f t="shared" si="108"/>
        <v>27478.709305604705</v>
      </c>
      <c r="AC164" s="1509">
        <f t="shared" si="109"/>
        <v>54441.569511516253</v>
      </c>
      <c r="AD164" s="1554">
        <f t="shared" si="110"/>
        <v>0</v>
      </c>
      <c r="AE164" s="1504">
        <f t="shared" si="111"/>
        <v>0.25142444996240615</v>
      </c>
      <c r="AF164" s="1504">
        <f t="shared" si="112"/>
        <v>0.15423075824334992</v>
      </c>
      <c r="AG164" s="1504">
        <f t="shared" si="113"/>
        <v>8.9607151932630122E-2</v>
      </c>
      <c r="AH164" s="1504">
        <f t="shared" si="126"/>
        <v>0</v>
      </c>
      <c r="AI164" s="1504">
        <f t="shared" si="114"/>
        <v>0.5047376398616138</v>
      </c>
      <c r="AJ164" s="1541">
        <f t="shared" si="115"/>
        <v>1</v>
      </c>
      <c r="AK164" s="1555">
        <f t="shared" si="116"/>
        <v>1626.455058375836</v>
      </c>
      <c r="AL164" s="1556">
        <f t="shared" si="117"/>
        <v>11382.026345084732</v>
      </c>
      <c r="AM164" s="1556">
        <f t="shared" si="118"/>
        <v>679.46026606250325</v>
      </c>
      <c r="AN164" s="1556">
        <f t="shared" si="119"/>
        <v>13687.941669523072</v>
      </c>
      <c r="AO164" s="1543">
        <f t="shared" si="120"/>
        <v>0</v>
      </c>
    </row>
    <row r="165" spans="1:41">
      <c r="A165" s="873">
        <f>'Input data'!A145</f>
        <v>2045</v>
      </c>
      <c r="B165" s="1551">
        <f>'Input data'!B145</f>
        <v>78.446460136387472</v>
      </c>
      <c r="C165" s="1550">
        <f>'Input data'!C145</f>
        <v>7808.4800000000005</v>
      </c>
      <c r="D165" s="1552">
        <f>'Input data'!D145</f>
        <v>1197878.7289383768</v>
      </c>
      <c r="E165" s="1508">
        <f>'Input data'!J145*C165</f>
        <v>93944.179156058526</v>
      </c>
      <c r="F165" s="1509">
        <f>'Input data'!L145</f>
        <v>95142.057884996902</v>
      </c>
      <c r="G165" s="1509">
        <f t="shared" si="132"/>
        <v>13687.941669523079</v>
      </c>
      <c r="H165" s="1509">
        <f t="shared" si="121"/>
        <v>41342.049190365244</v>
      </c>
      <c r="I165" s="1511">
        <f t="shared" si="96"/>
        <v>1197.8787289383768</v>
      </c>
      <c r="J165" s="1454">
        <f t="shared" si="131"/>
        <v>0.4</v>
      </c>
      <c r="K165" s="1512">
        <f t="shared" si="123"/>
        <v>405.42476469794167</v>
      </c>
      <c r="L165" s="1512">
        <f t="shared" si="97"/>
        <v>0</v>
      </c>
      <c r="M165" s="1511">
        <f t="shared" si="124"/>
        <v>405.42476469794167</v>
      </c>
      <c r="N165" s="1454">
        <f t="shared" si="130"/>
        <v>0.5</v>
      </c>
      <c r="O165" s="530">
        <f t="shared" si="98"/>
        <v>751.91700000000026</v>
      </c>
      <c r="P165" s="1481">
        <f t="shared" si="127"/>
        <v>1157.3417646979419</v>
      </c>
      <c r="Q165" s="1364">
        <f t="shared" si="99"/>
        <v>53872.649095190383</v>
      </c>
      <c r="R165" s="1364">
        <f t="shared" si="125"/>
        <v>40184.707425667308</v>
      </c>
      <c r="S165" s="1514">
        <f t="shared" si="100"/>
        <v>0.75600644357251268</v>
      </c>
      <c r="T165" s="135" t="str">
        <f t="shared" si="101"/>
        <v>Yes</v>
      </c>
      <c r="U165" s="1514">
        <f t="shared" si="102"/>
        <v>0.75600644357251268</v>
      </c>
      <c r="V165" s="1539">
        <f t="shared" si="95"/>
        <v>54957.350459329609</v>
      </c>
      <c r="W165" s="1540">
        <f t="shared" si="103"/>
        <v>0.42236533788496167</v>
      </c>
      <c r="X165" s="527">
        <f t="shared" si="104"/>
        <v>13687.941669523078</v>
      </c>
      <c r="Y165" s="1509">
        <f t="shared" si="105"/>
        <v>8002.0267355263504</v>
      </c>
      <c r="Z165" s="1509">
        <f t="shared" si="106"/>
        <v>4997.2071977110627</v>
      </c>
      <c r="AA165" s="1509">
        <f t="shared" si="107"/>
        <v>0</v>
      </c>
      <c r="AB165" s="1509">
        <f t="shared" si="108"/>
        <v>28270.174856569116</v>
      </c>
      <c r="AC165" s="1509">
        <f t="shared" si="109"/>
        <v>54957.350459329609</v>
      </c>
      <c r="AD165" s="1554">
        <f t="shared" si="110"/>
        <v>0</v>
      </c>
      <c r="AE165" s="1504">
        <f t="shared" si="111"/>
        <v>0.24906480307220488</v>
      </c>
      <c r="AF165" s="1504">
        <f t="shared" si="112"/>
        <v>0.14560430349436396</v>
      </c>
      <c r="AG165" s="1504">
        <f t="shared" si="113"/>
        <v>9.0928823095450598E-2</v>
      </c>
      <c r="AH165" s="1504">
        <f t="shared" si="126"/>
        <v>0</v>
      </c>
      <c r="AI165" s="1504">
        <f t="shared" si="114"/>
        <v>0.51440207033798058</v>
      </c>
      <c r="AJ165" s="1541">
        <f t="shared" si="115"/>
        <v>1</v>
      </c>
      <c r="AK165" s="1555">
        <f t="shared" si="116"/>
        <v>718.72723736302589</v>
      </c>
      <c r="AL165" s="1556">
        <f t="shared" si="117"/>
        <v>12233.632515151823</v>
      </c>
      <c r="AM165" s="1556">
        <f t="shared" si="118"/>
        <v>735.58191700822488</v>
      </c>
      <c r="AN165" s="1556">
        <f t="shared" si="119"/>
        <v>13687.941669523074</v>
      </c>
      <c r="AO165" s="1543">
        <f t="shared" si="120"/>
        <v>0</v>
      </c>
    </row>
    <row r="166" spans="1:41">
      <c r="A166" s="873">
        <f>'Input data'!A146</f>
        <v>2046</v>
      </c>
      <c r="B166" s="1551">
        <f>'Input data'!B146</f>
        <v>78.997842335977523</v>
      </c>
      <c r="C166" s="1550">
        <f>'Input data'!C146</f>
        <v>8042.25</v>
      </c>
      <c r="D166" s="1552">
        <f>'Input data'!D146</f>
        <v>1000767.4916723419</v>
      </c>
      <c r="E166" s="1508">
        <f>'Input data'!J146*C166</f>
        <v>96756.67669223866</v>
      </c>
      <c r="F166" s="1509">
        <f>'Input data'!L146</f>
        <v>97757.444183911008</v>
      </c>
      <c r="G166" s="1509">
        <f t="shared" si="132"/>
        <v>13687.941669523079</v>
      </c>
      <c r="H166" s="1509">
        <f t="shared" si="121"/>
        <v>42770.900814514534</v>
      </c>
      <c r="I166" s="1511">
        <f t="shared" si="96"/>
        <v>1000.767491672342</v>
      </c>
      <c r="J166" s="1454">
        <f t="shared" si="131"/>
        <v>0.4</v>
      </c>
      <c r="K166" s="1512">
        <f t="shared" si="123"/>
        <v>338.71202069694738</v>
      </c>
      <c r="L166" s="1512">
        <f t="shared" si="97"/>
        <v>0</v>
      </c>
      <c r="M166" s="1511">
        <f t="shared" si="124"/>
        <v>338.71202069694738</v>
      </c>
      <c r="N166" s="1454">
        <f t="shared" si="130"/>
        <v>0.5</v>
      </c>
      <c r="O166" s="530">
        <f t="shared" si="98"/>
        <v>751.91700000000026</v>
      </c>
      <c r="P166" s="1481">
        <f t="shared" si="127"/>
        <v>1090.6290206969477</v>
      </c>
      <c r="Q166" s="1364">
        <f t="shared" si="99"/>
        <v>55368.21346334066</v>
      </c>
      <c r="R166" s="1364">
        <f t="shared" si="125"/>
        <v>41680.271793817577</v>
      </c>
      <c r="S166" s="1514">
        <f t="shared" si="100"/>
        <v>0.76103673301904662</v>
      </c>
      <c r="T166" s="135" t="str">
        <f t="shared" si="101"/>
        <v>Yes</v>
      </c>
      <c r="U166" s="1514">
        <f t="shared" si="102"/>
        <v>0.76103673301904662</v>
      </c>
      <c r="V166" s="1539">
        <f t="shared" si="95"/>
        <v>56077.17239009343</v>
      </c>
      <c r="W166" s="1540">
        <f t="shared" si="103"/>
        <v>0.4263641724859798</v>
      </c>
      <c r="X166" s="527">
        <f t="shared" si="104"/>
        <v>13687.941669523083</v>
      </c>
      <c r="Y166" s="1509">
        <f t="shared" si="105"/>
        <v>8148.4018154640071</v>
      </c>
      <c r="Z166" s="1509">
        <f t="shared" si="106"/>
        <v>5124.3025465521841</v>
      </c>
      <c r="AA166" s="1509">
        <f t="shared" si="107"/>
        <v>0</v>
      </c>
      <c r="AB166" s="1509">
        <f t="shared" si="108"/>
        <v>29116.526358554158</v>
      </c>
      <c r="AC166" s="1509">
        <f t="shared" si="109"/>
        <v>56077.17239009343</v>
      </c>
      <c r="AD166" s="1535">
        <f t="shared" si="110"/>
        <v>0</v>
      </c>
      <c r="AE166" s="1504">
        <f t="shared" si="111"/>
        <v>0.24409115306857357</v>
      </c>
      <c r="AF166" s="1504">
        <f t="shared" si="112"/>
        <v>0.14530693093404795</v>
      </c>
      <c r="AG166" s="1504">
        <f t="shared" si="113"/>
        <v>9.137947453744015E-2</v>
      </c>
      <c r="AH166" s="1504">
        <f t="shared" si="126"/>
        <v>0</v>
      </c>
      <c r="AI166" s="1504">
        <f t="shared" si="114"/>
        <v>0.51922244145993834</v>
      </c>
      <c r="AJ166" s="1541">
        <f t="shared" si="115"/>
        <v>1</v>
      </c>
      <c r="AK166" s="1555">
        <f t="shared" si="116"/>
        <v>600.46049500340519</v>
      </c>
      <c r="AL166" s="1556">
        <f t="shared" si="117"/>
        <v>12340.117288175104</v>
      </c>
      <c r="AM166" s="1556">
        <f t="shared" si="118"/>
        <v>747.36388634457148</v>
      </c>
      <c r="AN166" s="1556">
        <f t="shared" si="119"/>
        <v>13687.941669523081</v>
      </c>
      <c r="AO166" s="1543">
        <f t="shared" si="120"/>
        <v>0</v>
      </c>
    </row>
    <row r="167" spans="1:41">
      <c r="A167" s="873">
        <f>'Input data'!A147</f>
        <v>2047</v>
      </c>
      <c r="B167" s="1551">
        <f>'Input data'!B147</f>
        <v>79.535560193629763</v>
      </c>
      <c r="C167" s="1550">
        <f>'Input data'!C147</f>
        <v>8187.4100000000008</v>
      </c>
      <c r="D167" s="1552">
        <f>'Input data'!D147</f>
        <v>803656.25440630724</v>
      </c>
      <c r="E167" s="1508">
        <f>'Input data'!J147*C167</f>
        <v>98503.103275426867</v>
      </c>
      <c r="F167" s="1509">
        <f>'Input data'!L147</f>
        <v>99306.759529833173</v>
      </c>
      <c r="G167" s="1509">
        <f t="shared" si="132"/>
        <v>13687.941669523079</v>
      </c>
      <c r="H167" s="1509">
        <f t="shared" si="121"/>
        <v>43588.033335689601</v>
      </c>
      <c r="I167" s="1511">
        <f t="shared" si="96"/>
        <v>803.6562544063072</v>
      </c>
      <c r="J167" s="1454">
        <f t="shared" si="131"/>
        <v>0.4</v>
      </c>
      <c r="K167" s="1512">
        <f t="shared" si="123"/>
        <v>271.99927669595314</v>
      </c>
      <c r="L167" s="1512">
        <f t="shared" si="97"/>
        <v>0</v>
      </c>
      <c r="M167" s="1511">
        <f t="shared" si="124"/>
        <v>271.99927669595314</v>
      </c>
      <c r="N167" s="1454">
        <f t="shared" si="130"/>
        <v>0.5</v>
      </c>
      <c r="O167" s="530">
        <f t="shared" si="98"/>
        <v>751.91700000000026</v>
      </c>
      <c r="P167" s="1481">
        <f t="shared" si="127"/>
        <v>1023.9162766959535</v>
      </c>
      <c r="Q167" s="1364">
        <f t="shared" si="99"/>
        <v>56252.05872851672</v>
      </c>
      <c r="R167" s="1364">
        <f t="shared" si="125"/>
        <v>42564.117058993637</v>
      </c>
      <c r="S167" s="1514">
        <f t="shared" si="100"/>
        <v>0.76320997150356473</v>
      </c>
      <c r="T167" s="135" t="str">
        <f t="shared" si="101"/>
        <v>Yes</v>
      </c>
      <c r="U167" s="1514">
        <f t="shared" si="102"/>
        <v>0.76320997150356473</v>
      </c>
      <c r="V167" s="1539">
        <f t="shared" si="95"/>
        <v>56742.64247083955</v>
      </c>
      <c r="W167" s="1540">
        <f t="shared" si="103"/>
        <v>0.42861248580170164</v>
      </c>
      <c r="X167" s="527">
        <f t="shared" si="104"/>
        <v>13687.941669523085</v>
      </c>
      <c r="Y167" s="1509">
        <f t="shared" si="105"/>
        <v>8209.4079150922444</v>
      </c>
      <c r="Z167" s="1509">
        <f t="shared" si="106"/>
        <v>5203.2226853115508</v>
      </c>
      <c r="AA167" s="1509">
        <f t="shared" si="107"/>
        <v>0</v>
      </c>
      <c r="AB167" s="1509">
        <f t="shared" si="108"/>
        <v>29642.070200912669</v>
      </c>
      <c r="AC167" s="1509">
        <f t="shared" si="109"/>
        <v>56742.64247083955</v>
      </c>
      <c r="AD167" s="1535">
        <f t="shared" si="110"/>
        <v>0</v>
      </c>
      <c r="AE167" s="1504">
        <f t="shared" si="111"/>
        <v>0.24122848484818832</v>
      </c>
      <c r="AF167" s="1504">
        <f t="shared" si="112"/>
        <v>0.14467792752709954</v>
      </c>
      <c r="AG167" s="1504">
        <f t="shared" si="113"/>
        <v>9.1698631906075301E-2</v>
      </c>
      <c r="AH167" s="1504">
        <f t="shared" si="126"/>
        <v>0</v>
      </c>
      <c r="AI167" s="1504">
        <f t="shared" si="114"/>
        <v>0.52239495571863681</v>
      </c>
      <c r="AJ167" s="1541">
        <f t="shared" si="115"/>
        <v>1</v>
      </c>
      <c r="AK167" s="1555">
        <f t="shared" si="116"/>
        <v>482.19375264378431</v>
      </c>
      <c r="AL167" s="1556">
        <f t="shared" si="117"/>
        <v>12448.600216113002</v>
      </c>
      <c r="AM167" s="1556">
        <f t="shared" si="118"/>
        <v>757.14770076629748</v>
      </c>
      <c r="AN167" s="1556">
        <f t="shared" si="119"/>
        <v>13687.941669523085</v>
      </c>
      <c r="AO167" s="1543">
        <f t="shared" si="120"/>
        <v>0</v>
      </c>
    </row>
    <row r="168" spans="1:41">
      <c r="A168" s="873">
        <f>'Input data'!A148</f>
        <v>2048</v>
      </c>
      <c r="B168" s="1551">
        <f>'Input data'!B148</f>
        <v>80.059278886956378</v>
      </c>
      <c r="C168" s="1550">
        <f>'Input data'!C148</f>
        <v>8322.6399999999976</v>
      </c>
      <c r="D168" s="1552">
        <f>'Input data'!D148</f>
        <v>606545.01714027242</v>
      </c>
      <c r="E168" s="1508">
        <f>'Input data'!J148*C168</f>
        <v>100130.06157554078</v>
      </c>
      <c r="F168" s="1509">
        <f>'Input data'!L148</f>
        <v>100736.60659268106</v>
      </c>
      <c r="G168" s="1509">
        <f t="shared" si="132"/>
        <v>13687.941669523079</v>
      </c>
      <c r="H168" s="1509">
        <f t="shared" si="121"/>
        <v>44336.614105453584</v>
      </c>
      <c r="I168" s="1511">
        <f t="shared" si="96"/>
        <v>606.54501714027242</v>
      </c>
      <c r="J168" s="1454">
        <f t="shared" si="131"/>
        <v>0.4</v>
      </c>
      <c r="K168" s="1512">
        <f t="shared" si="123"/>
        <v>205.28653269495894</v>
      </c>
      <c r="L168" s="1512">
        <f t="shared" si="97"/>
        <v>0</v>
      </c>
      <c r="M168" s="1511">
        <f t="shared" si="124"/>
        <v>205.28653269495894</v>
      </c>
      <c r="N168" s="1454">
        <f t="shared" si="130"/>
        <v>0.5</v>
      </c>
      <c r="O168" s="530">
        <f t="shared" si="98"/>
        <v>751.91700000000026</v>
      </c>
      <c r="P168" s="1481">
        <f t="shared" si="127"/>
        <v>957.20353269495922</v>
      </c>
      <c r="Q168" s="1364">
        <f t="shared" si="99"/>
        <v>57067.352242281697</v>
      </c>
      <c r="R168" s="1364">
        <f t="shared" si="125"/>
        <v>43379.410572758614</v>
      </c>
      <c r="S168" s="1514">
        <f t="shared" si="100"/>
        <v>0.76502275471499681</v>
      </c>
      <c r="T168" s="135" t="str">
        <f t="shared" si="101"/>
        <v>Yes</v>
      </c>
      <c r="U168" s="1514">
        <f t="shared" si="102"/>
        <v>0.76502275471499681</v>
      </c>
      <c r="V168" s="1539">
        <f t="shared" si="95"/>
        <v>57357.196019922449</v>
      </c>
      <c r="W168" s="1540">
        <f t="shared" si="103"/>
        <v>0.43062211484013102</v>
      </c>
      <c r="X168" s="527">
        <f t="shared" si="104"/>
        <v>13687.941669523087</v>
      </c>
      <c r="Y168" s="1509">
        <f t="shared" si="105"/>
        <v>8260.8472166788051</v>
      </c>
      <c r="Z168" s="1509">
        <f t="shared" si="106"/>
        <v>5276.7441124569687</v>
      </c>
      <c r="AA168" s="1509">
        <f t="shared" si="107"/>
        <v>0</v>
      </c>
      <c r="AB168" s="1509">
        <f t="shared" si="108"/>
        <v>30131.663021263586</v>
      </c>
      <c r="AC168" s="1509">
        <f t="shared" si="109"/>
        <v>57357.196019922449</v>
      </c>
      <c r="AD168" s="1535">
        <f t="shared" si="110"/>
        <v>0</v>
      </c>
      <c r="AE168" s="1504">
        <f t="shared" si="111"/>
        <v>0.23864384278423786</v>
      </c>
      <c r="AF168" s="1504">
        <f t="shared" si="112"/>
        <v>0.14402460004860562</v>
      </c>
      <c r="AG168" s="1504">
        <f t="shared" si="113"/>
        <v>9.1997944087506375E-2</v>
      </c>
      <c r="AH168" s="1504">
        <f t="shared" si="126"/>
        <v>0</v>
      </c>
      <c r="AI168" s="1504">
        <f t="shared" si="114"/>
        <v>0.5253336130796501</v>
      </c>
      <c r="AJ168" s="1541">
        <f t="shared" si="115"/>
        <v>1</v>
      </c>
      <c r="AK168" s="1555">
        <f t="shared" si="116"/>
        <v>363.92701028416343</v>
      </c>
      <c r="AL168" s="1556">
        <f t="shared" si="117"/>
        <v>12557.33523807547</v>
      </c>
      <c r="AM168" s="1556">
        <f t="shared" si="118"/>
        <v>766.67942116345284</v>
      </c>
      <c r="AN168" s="1556">
        <f t="shared" si="119"/>
        <v>13687.941669523087</v>
      </c>
      <c r="AO168" s="1543">
        <f t="shared" si="120"/>
        <v>0</v>
      </c>
    </row>
    <row r="169" spans="1:41">
      <c r="A169" s="127">
        <f>'Input data'!A149</f>
        <v>2049</v>
      </c>
      <c r="B169" s="662">
        <f>'Input data'!B149</f>
        <v>80.568670564877792</v>
      </c>
      <c r="C169" s="236">
        <f>'Input data'!C149</f>
        <v>8457.3799999999992</v>
      </c>
      <c r="D169" s="237">
        <f>'Input data'!D149</f>
        <v>409433.77987423755</v>
      </c>
      <c r="E169" s="527">
        <f>'Input data'!J149*C169</f>
        <v>101751.12466329761</v>
      </c>
      <c r="F169" s="528">
        <f>'Input data'!L149</f>
        <v>102160.55844317185</v>
      </c>
      <c r="G169" s="528">
        <f t="shared" si="132"/>
        <v>13687.941669523079</v>
      </c>
      <c r="H169" s="1509">
        <f t="shared" si="121"/>
        <v>45081.812160394693</v>
      </c>
      <c r="I169" s="1511">
        <f t="shared" si="96"/>
        <v>409.43377987423753</v>
      </c>
      <c r="J169" s="649">
        <f t="shared" si="131"/>
        <v>0.4</v>
      </c>
      <c r="K169" s="1512">
        <f t="shared" si="123"/>
        <v>138.57378869396467</v>
      </c>
      <c r="L169" s="1512">
        <f t="shared" si="97"/>
        <v>0</v>
      </c>
      <c r="M169" s="1511">
        <f t="shared" si="124"/>
        <v>138.57378869396467</v>
      </c>
      <c r="N169" s="649">
        <f t="shared" si="130"/>
        <v>0.5</v>
      </c>
      <c r="O169" s="530">
        <f t="shared" si="98"/>
        <v>751.91700000000026</v>
      </c>
      <c r="P169" s="1481">
        <f t="shared" si="127"/>
        <v>890.49078869396499</v>
      </c>
      <c r="Q169" s="1364">
        <f t="shared" si="99"/>
        <v>57879.263041223814</v>
      </c>
      <c r="R169" s="1364">
        <f t="shared" si="125"/>
        <v>44191.321371700731</v>
      </c>
      <c r="S169" s="1514">
        <f t="shared" si="100"/>
        <v>0.76676312507351807</v>
      </c>
      <c r="T169" s="135" t="str">
        <f t="shared" si="101"/>
        <v>Yes</v>
      </c>
      <c r="U169" s="1514">
        <f t="shared" si="102"/>
        <v>0.76676312507351807</v>
      </c>
      <c r="V169" s="1539">
        <f t="shared" si="95"/>
        <v>57969.237071471129</v>
      </c>
      <c r="W169" s="1540">
        <f t="shared" si="103"/>
        <v>0.43256734345557357</v>
      </c>
      <c r="X169" s="527">
        <f t="shared" si="104"/>
        <v>13687.941669523085</v>
      </c>
      <c r="Y169" s="1509">
        <f t="shared" si="105"/>
        <v>8311.8144406177962</v>
      </c>
      <c r="Z169" s="1509">
        <f t="shared" si="106"/>
        <v>5349.9991379215398</v>
      </c>
      <c r="AA169" s="1509">
        <f t="shared" si="107"/>
        <v>0</v>
      </c>
      <c r="AB169" s="1509">
        <f t="shared" si="108"/>
        <v>30619.481823408714</v>
      </c>
      <c r="AC169" s="1509">
        <f t="shared" si="109"/>
        <v>57969.237071471129</v>
      </c>
      <c r="AD169" s="1535">
        <f t="shared" si="110"/>
        <v>0</v>
      </c>
      <c r="AE169" s="1504">
        <f t="shared" si="111"/>
        <v>0.23612423349037731</v>
      </c>
      <c r="AF169" s="1504">
        <f t="shared" si="112"/>
        <v>0.14338319530357174</v>
      </c>
      <c r="AG169" s="1504">
        <f t="shared" si="113"/>
        <v>9.2290314797923712E-2</v>
      </c>
      <c r="AH169" s="1504">
        <f t="shared" si="126"/>
        <v>0</v>
      </c>
      <c r="AI169" s="1504">
        <f t="shared" si="114"/>
        <v>0.52820225640812735</v>
      </c>
      <c r="AJ169" s="1541">
        <f t="shared" si="115"/>
        <v>1</v>
      </c>
      <c r="AK169" s="1555">
        <f t="shared" si="116"/>
        <v>245.6602679245425</v>
      </c>
      <c r="AL169" s="1556">
        <f t="shared" si="117"/>
        <v>12666.120903901081</v>
      </c>
      <c r="AM169" s="1556">
        <f t="shared" si="118"/>
        <v>776.16049769746053</v>
      </c>
      <c r="AN169" s="1556">
        <f t="shared" si="119"/>
        <v>13687.941669523085</v>
      </c>
      <c r="AO169" s="1543">
        <f t="shared" si="120"/>
        <v>0</v>
      </c>
    </row>
    <row r="170" spans="1:41" ht="15.75" thickBot="1">
      <c r="A170" s="172">
        <f>'Input data'!A150</f>
        <v>2050</v>
      </c>
      <c r="B170" s="664">
        <f>'Input data'!B150</f>
        <v>81.063414687793369</v>
      </c>
      <c r="C170" s="239">
        <f>'Input data'!C150</f>
        <v>8589.119999999999</v>
      </c>
      <c r="D170" s="240">
        <f>'Input data'!D150</f>
        <v>212322.54260820278</v>
      </c>
      <c r="E170" s="670">
        <f>'Input data'!J150*C170</f>
        <v>103336.09461417398</v>
      </c>
      <c r="F170" s="667">
        <f>'Input data'!L150</f>
        <v>103548.41715678219</v>
      </c>
      <c r="G170" s="667">
        <f t="shared" si="132"/>
        <v>13687.941669523079</v>
      </c>
      <c r="H170" s="667">
        <f t="shared" si="121"/>
        <v>45806.299716420079</v>
      </c>
      <c r="I170" s="659">
        <f t="shared" si="96"/>
        <v>212.32254260820278</v>
      </c>
      <c r="J170" s="650">
        <f t="shared" si="131"/>
        <v>0.4</v>
      </c>
      <c r="K170" s="1518">
        <f t="shared" si="123"/>
        <v>71.861044692970424</v>
      </c>
      <c r="L170" s="1518">
        <f t="shared" si="97"/>
        <v>0</v>
      </c>
      <c r="M170" s="1520">
        <f t="shared" si="124"/>
        <v>71.861044692970424</v>
      </c>
      <c r="N170" s="650">
        <f t="shared" si="130"/>
        <v>0.5</v>
      </c>
      <c r="O170" s="659">
        <f t="shared" si="98"/>
        <v>751.91700000000026</v>
      </c>
      <c r="P170" s="1482">
        <f t="shared" si="127"/>
        <v>823.77804469297064</v>
      </c>
      <c r="Q170" s="1485">
        <f t="shared" si="99"/>
        <v>58670.463341250186</v>
      </c>
      <c r="R170" s="1485">
        <f t="shared" si="125"/>
        <v>44982.521671727111</v>
      </c>
      <c r="S170" s="1523">
        <f t="shared" si="100"/>
        <v>0.76836629533347567</v>
      </c>
      <c r="T170" s="1105" t="str">
        <f t="shared" si="101"/>
        <v>Yes</v>
      </c>
      <c r="U170" s="1523">
        <f t="shared" si="102"/>
        <v>0.76836629533347567</v>
      </c>
      <c r="V170" s="1544">
        <f t="shared" si="95"/>
        <v>58565.895485055094</v>
      </c>
      <c r="W170" s="1545">
        <f t="shared" si="103"/>
        <v>0.43441051931889274</v>
      </c>
      <c r="X170" s="670">
        <f t="shared" si="104"/>
        <v>13687.941669523076</v>
      </c>
      <c r="Y170" s="1518">
        <f t="shared" si="105"/>
        <v>8359.8913932451032</v>
      </c>
      <c r="Z170" s="1518">
        <f t="shared" si="106"/>
        <v>5421.623132687032</v>
      </c>
      <c r="AA170" s="1518">
        <f t="shared" si="107"/>
        <v>0</v>
      </c>
      <c r="AB170" s="1518">
        <f t="shared" si="108"/>
        <v>31096.439289599883</v>
      </c>
      <c r="AC170" s="1518">
        <f t="shared" si="109"/>
        <v>58565.895485055094</v>
      </c>
      <c r="AD170" s="1546">
        <f t="shared" si="110"/>
        <v>0</v>
      </c>
      <c r="AE170" s="1521">
        <f t="shared" si="111"/>
        <v>0.23371864386528468</v>
      </c>
      <c r="AF170" s="1521">
        <f t="shared" si="112"/>
        <v>0.14274333763714736</v>
      </c>
      <c r="AG170" s="1521">
        <f t="shared" si="113"/>
        <v>9.2573042515341153E-2</v>
      </c>
      <c r="AH170" s="1521">
        <f t="shared" si="126"/>
        <v>0</v>
      </c>
      <c r="AI170" s="1521">
        <f>AB170/AC170</f>
        <v>0.53096497598222681</v>
      </c>
      <c r="AJ170" s="1547">
        <f t="shared" si="115"/>
        <v>1</v>
      </c>
      <c r="AK170" s="1639">
        <f t="shared" si="116"/>
        <v>127.39352556492166</v>
      </c>
      <c r="AL170" s="1640">
        <f t="shared" si="117"/>
        <v>12775.002524280831</v>
      </c>
      <c r="AM170" s="1640">
        <f t="shared" si="118"/>
        <v>785.54561967732195</v>
      </c>
      <c r="AN170" s="1640">
        <f t="shared" si="119"/>
        <v>13687.941669523074</v>
      </c>
      <c r="AO170" s="1548">
        <f t="shared" si="120"/>
        <v>0</v>
      </c>
    </row>
    <row r="172" spans="1:41" ht="23.25">
      <c r="A172" s="686" t="s">
        <v>653</v>
      </c>
    </row>
    <row r="173" spans="1:41" ht="24" thickBot="1">
      <c r="A173" s="686"/>
    </row>
    <row r="174" spans="1:41" ht="21.6" customHeight="1" thickBot="1">
      <c r="A174" s="1824" t="s">
        <v>602</v>
      </c>
      <c r="B174" s="1825"/>
      <c r="C174" s="1825"/>
      <c r="D174" s="1826"/>
      <c r="E174" s="1920" t="s">
        <v>603</v>
      </c>
      <c r="F174" s="1921"/>
      <c r="G174" s="1921"/>
      <c r="H174" s="1921"/>
      <c r="I174" s="1922"/>
      <c r="J174" s="1831" t="s">
        <v>604</v>
      </c>
      <c r="K174" s="1831"/>
      <c r="L174" s="1832"/>
      <c r="M174" s="1833" t="s">
        <v>757</v>
      </c>
      <c r="N174" s="1835" t="s">
        <v>607</v>
      </c>
      <c r="O174" s="1836"/>
      <c r="P174" s="1814" t="s">
        <v>594</v>
      </c>
      <c r="Q174" s="1816" t="s">
        <v>765</v>
      </c>
      <c r="R174" s="1816" t="s">
        <v>768</v>
      </c>
      <c r="S174" s="1816" t="s">
        <v>767</v>
      </c>
      <c r="T174" s="1848" t="s">
        <v>769</v>
      </c>
      <c r="U174" s="1881" t="s">
        <v>770</v>
      </c>
      <c r="V174" s="1818" t="s">
        <v>760</v>
      </c>
      <c r="W174" s="1820" t="s">
        <v>761</v>
      </c>
      <c r="X174" s="1915" t="s">
        <v>592</v>
      </c>
      <c r="Y174" s="1885"/>
      <c r="Z174" s="1885"/>
      <c r="AA174" s="1885"/>
      <c r="AB174" s="1885"/>
      <c r="AC174" s="1885"/>
      <c r="AD174" s="1885"/>
      <c r="AE174" s="1885"/>
      <c r="AF174" s="1885"/>
      <c r="AG174" s="1885"/>
      <c r="AH174" s="1885"/>
      <c r="AI174" s="1885"/>
      <c r="AJ174" s="1885"/>
      <c r="AK174" s="1929" t="s">
        <v>723</v>
      </c>
      <c r="AL174" s="1930"/>
      <c r="AM174" s="1930"/>
      <c r="AN174" s="1930"/>
      <c r="AO174" s="1931"/>
    </row>
    <row r="175" spans="1:41" ht="43.15" customHeight="1">
      <c r="A175" s="1822" t="s">
        <v>217</v>
      </c>
      <c r="B175" s="703" t="s">
        <v>218</v>
      </c>
      <c r="C175" s="703" t="s">
        <v>390</v>
      </c>
      <c r="D175" s="1562" t="s">
        <v>630</v>
      </c>
      <c r="E175" s="704" t="s">
        <v>779</v>
      </c>
      <c r="F175" s="704" t="s">
        <v>780</v>
      </c>
      <c r="G175" s="704" t="s">
        <v>764</v>
      </c>
      <c r="H175" s="704" t="s">
        <v>597</v>
      </c>
      <c r="I175" s="705" t="s">
        <v>626</v>
      </c>
      <c r="J175" s="1461" t="s">
        <v>326</v>
      </c>
      <c r="K175" s="1461" t="s">
        <v>758</v>
      </c>
      <c r="L175" s="706" t="s">
        <v>759</v>
      </c>
      <c r="M175" s="1834"/>
      <c r="N175" s="508" t="s">
        <v>605</v>
      </c>
      <c r="O175" s="559" t="s">
        <v>606</v>
      </c>
      <c r="P175" s="1815"/>
      <c r="Q175" s="1817"/>
      <c r="R175" s="1817"/>
      <c r="S175" s="1817"/>
      <c r="T175" s="1849"/>
      <c r="U175" s="1882"/>
      <c r="V175" s="1819"/>
      <c r="W175" s="1821"/>
      <c r="X175" s="1464" t="s">
        <v>473</v>
      </c>
      <c r="Y175" s="1465" t="s">
        <v>489</v>
      </c>
      <c r="Z175" s="1636" t="s">
        <v>807</v>
      </c>
      <c r="AA175" s="1465" t="s">
        <v>377</v>
      </c>
      <c r="AB175" s="1465" t="s">
        <v>477</v>
      </c>
      <c r="AC175" s="1465" t="s">
        <v>225</v>
      </c>
      <c r="AD175" s="713" t="s">
        <v>617</v>
      </c>
      <c r="AE175" s="1092" t="s">
        <v>473</v>
      </c>
      <c r="AF175" s="1465" t="s">
        <v>489</v>
      </c>
      <c r="AG175" s="1636" t="s">
        <v>807</v>
      </c>
      <c r="AH175" s="1465" t="s">
        <v>377</v>
      </c>
      <c r="AI175" s="1465" t="s">
        <v>477</v>
      </c>
      <c r="AJ175" s="718" t="s">
        <v>225</v>
      </c>
      <c r="AK175" s="189" t="s">
        <v>724</v>
      </c>
      <c r="AL175" s="712" t="s">
        <v>493</v>
      </c>
      <c r="AM175" s="712" t="s">
        <v>725</v>
      </c>
      <c r="AN175" s="712" t="s">
        <v>225</v>
      </c>
      <c r="AO175" s="1183" t="s">
        <v>617</v>
      </c>
    </row>
    <row r="176" spans="1:41" ht="36.6" customHeight="1" thickBot="1">
      <c r="A176" s="1857"/>
      <c r="B176" s="458" t="s">
        <v>232</v>
      </c>
      <c r="C176" s="459" t="s">
        <v>482</v>
      </c>
      <c r="D176" s="477" t="s">
        <v>480</v>
      </c>
      <c r="E176" s="1561" t="s">
        <v>228</v>
      </c>
      <c r="F176" s="1558" t="s">
        <v>228</v>
      </c>
      <c r="G176" s="1558" t="s">
        <v>228</v>
      </c>
      <c r="H176" s="1559" t="str">
        <f>G176</f>
        <v>Gg</v>
      </c>
      <c r="I176" s="1560"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6" t="s">
        <v>28</v>
      </c>
      <c r="X176" s="191" t="s">
        <v>228</v>
      </c>
      <c r="Y176" s="1095" t="s">
        <v>228</v>
      </c>
      <c r="Z176" s="1095" t="s">
        <v>228</v>
      </c>
      <c r="AA176" s="1095" t="s">
        <v>228</v>
      </c>
      <c r="AB176" s="1095" t="s">
        <v>228</v>
      </c>
      <c r="AC176" s="1095" t="s">
        <v>228</v>
      </c>
      <c r="AD176" s="1096" t="s">
        <v>762</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c r="A177" s="100">
        <f>'Input data'!A117</f>
        <v>2017</v>
      </c>
      <c r="B177" s="1506">
        <f>'Input data'!B117</f>
        <v>56.521948041648095</v>
      </c>
      <c r="C177" s="1507">
        <f>'Input data'!C117</f>
        <v>3117.5115237718705</v>
      </c>
      <c r="D177" s="1507">
        <f>'Input data'!E117</f>
        <v>49995051</v>
      </c>
      <c r="E177" s="1508">
        <f>'Input data'!J117*C177</f>
        <v>37506.923384615395</v>
      </c>
      <c r="F177" s="1509">
        <f>'Input data'!L117</f>
        <v>87501.974384615402</v>
      </c>
      <c r="G177" s="1510">
        <f>F177*B11</f>
        <v>68439.708347615408</v>
      </c>
      <c r="H177" s="1513">
        <f t="shared" ref="H177" si="133">E177*$B$12+I177*$E$80-G177</f>
        <v>0</v>
      </c>
      <c r="I177" s="1511">
        <f>D177/1000</f>
        <v>49995.050999999999</v>
      </c>
      <c r="J177" s="1504">
        <f>H17</f>
        <v>6.154773859516615E-2</v>
      </c>
      <c r="K177" s="1501">
        <f>(I177)*J177-(I177)*$J$137</f>
        <v>0</v>
      </c>
      <c r="L177" s="1501">
        <f>(E177)*$C$12*$G$12-(E177)*$C$12*$G$12</f>
        <v>0</v>
      </c>
      <c r="M177" s="1503">
        <f>L177+K177</f>
        <v>0</v>
      </c>
      <c r="N177" s="1453">
        <v>0</v>
      </c>
      <c r="O177" s="1503">
        <f>N177*$E$177*($C$85)*$B$12</f>
        <v>0</v>
      </c>
      <c r="P177" s="1480">
        <f>O177+M177</f>
        <v>0</v>
      </c>
      <c r="Q177" s="1484">
        <f>E177*$B$12+(1-$J$137)*I177-P177</f>
        <v>68439.708347615408</v>
      </c>
      <c r="R177" s="1484">
        <f>Q177-G177</f>
        <v>0</v>
      </c>
      <c r="S177" s="1505">
        <f>R177/(Q177-I177*(1-J177))</f>
        <v>0</v>
      </c>
      <c r="T177" s="1489" t="str">
        <f>IF(AND(S177&gt;=0,S177&lt;=1),"Yes","No")</f>
        <v>Yes</v>
      </c>
      <c r="U177" s="1119">
        <f>IF(S177&lt;=0,0,IF(S177&gt;=1,1,S177))</f>
        <v>0</v>
      </c>
      <c r="V177" s="1493">
        <f>AC177</f>
        <v>87501.974384615402</v>
      </c>
      <c r="W177" s="1490">
        <f t="shared" ref="W177:W210" si="134">(1-V177/F177)</f>
        <v>0</v>
      </c>
      <c r="X177" s="527">
        <f>(E177*$B$12-O177-L177)*(1-U177)+I177*(1-J177)</f>
        <v>68439.708347615408</v>
      </c>
      <c r="Y177" s="1501">
        <f>I177*J177+E177*$G$12*$C$12</f>
        <v>6080.5670370000007</v>
      </c>
      <c r="Z177" s="1531">
        <f>($C$12*$H$12*E177+O177)</f>
        <v>1694.9190000000001</v>
      </c>
      <c r="AA177" s="1531">
        <f>$F$137*$D$11</f>
        <v>0</v>
      </c>
      <c r="AB177" s="1531">
        <f>E177*$E$12</f>
        <v>11286.78</v>
      </c>
      <c r="AC177" s="1531">
        <f>SUM(X177:AB177)</f>
        <v>87501.974384615402</v>
      </c>
      <c r="AD177" s="1487">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7">
        <f>I177*(1-$J$177)-K177</f>
        <v>46917.968670000002</v>
      </c>
      <c r="AL177" s="1498">
        <f>(E177*$C$86*$B$12-L177)*(1-U177)</f>
        <v>20017.905677615392</v>
      </c>
      <c r="AM177" s="1498">
        <f>(E177*($C$85)*$B$12-O177)*(1-U177)</f>
        <v>1503.8340000000005</v>
      </c>
      <c r="AN177" s="1498">
        <f>SUM(AK177:AM177)</f>
        <v>68439.708347615393</v>
      </c>
      <c r="AO177" s="1184">
        <f>AN177-X177</f>
        <v>0</v>
      </c>
    </row>
    <row r="178" spans="1:41">
      <c r="A178" s="100">
        <f>'Input data'!A118</f>
        <v>2018</v>
      </c>
      <c r="B178" s="1506">
        <f>'Input data'!B118</f>
        <v>57.436000617299655</v>
      </c>
      <c r="C178" s="1507">
        <f>'Input data'!C118</f>
        <v>3154.0370052724184</v>
      </c>
      <c r="D178" s="1507">
        <f>'Input data'!E118</f>
        <v>50359792.847133137</v>
      </c>
      <c r="E178" s="1508">
        <f>'Input data'!J118*C178</f>
        <v>37946.363119089809</v>
      </c>
      <c r="F178" s="1509">
        <f>'Input data'!L118</f>
        <v>88306.155966222956</v>
      </c>
      <c r="G178" s="1510">
        <f>G177*0.94</f>
        <v>64333.325846758482</v>
      </c>
      <c r="H178" s="1509">
        <f>E178*$B$12+I178*$E$80-G178</f>
        <v>4700.8289604658348</v>
      </c>
      <c r="I178" s="1511">
        <f t="shared" ref="I178:I210" si="135">D178/1000</f>
        <v>50359.79284713314</v>
      </c>
      <c r="J178" s="1454">
        <f>($J$190-$J$177)/($A$190-$A$177)+J177</f>
        <v>8.7582527933999524E-2</v>
      </c>
      <c r="K178" s="1512">
        <f>(I178)*J178-(I178)*$J$137</f>
        <v>1311.106597922399</v>
      </c>
      <c r="L178" s="1512">
        <f t="shared" ref="L178:L210" si="136">(E178)*$C$12*$G$12-(E178)*$C$12*$G$12</f>
        <v>0</v>
      </c>
      <c r="M178" s="1511">
        <f>L178+K178</f>
        <v>1311.106597922399</v>
      </c>
      <c r="N178" s="1454">
        <v>0.05</v>
      </c>
      <c r="O178" s="1511">
        <f t="shared" ref="O178:O210" si="137">N178*$E$177*($C$85)*$B$12</f>
        <v>75.191700000000026</v>
      </c>
      <c r="P178" s="1481">
        <f>O178+M178</f>
        <v>1386.2982979223991</v>
      </c>
      <c r="Q178" s="1364">
        <f t="shared" ref="Q178:Q210" si="138">E178*$B$12+(1-$J$137)*I178-P178</f>
        <v>67647.856509301913</v>
      </c>
      <c r="R178" s="1364">
        <f>Q178-G178</f>
        <v>3314.5306625434314</v>
      </c>
      <c r="S178" s="1514">
        <f t="shared" ref="S178:S210" si="139">R178/(Q178-I178*(1-J178))</f>
        <v>0.15275248812947445</v>
      </c>
      <c r="T178" s="135" t="str">
        <f t="shared" ref="T178:T210" si="140">IF(AND(S178&gt;=0,S178&lt;=1),"Yes","No")</f>
        <v>Yes</v>
      </c>
      <c r="U178" s="1526">
        <f t="shared" ref="U178:U210" si="141">IF(S178&lt;=0,0,IF(S178&gt;=1,1,S178))</f>
        <v>0.15275248812947445</v>
      </c>
      <c r="V178" s="1494">
        <f t="shared" ref="V178:V210" si="142">AC178</f>
        <v>84991.625303679524</v>
      </c>
      <c r="W178" s="1491">
        <f t="shared" si="134"/>
        <v>3.7534536819961217E-2</v>
      </c>
      <c r="X178" s="527">
        <f t="shared" ref="X178:X210" si="143">(E178*$B$12-O178-L178)*(1-U178)+I178*(1-J178)</f>
        <v>64333.325846758482</v>
      </c>
      <c r="Y178" s="1509">
        <f t="shared" ref="Y178:Y210" si="144">I178*J178+E178*$G$12*$C$12</f>
        <v>7449.3121878932852</v>
      </c>
      <c r="Z178" s="1531">
        <f t="shared" ref="Z178:Z210" si="145">($C$12*$H$12*E178+O178)</f>
        <v>1789.9687605419947</v>
      </c>
      <c r="AA178" s="1531">
        <f t="shared" ref="AA178:AA210" si="146">$F$137*$D$11</f>
        <v>0</v>
      </c>
      <c r="AB178" s="1531">
        <f t="shared" ref="AB178:AB210" si="147">E178*$E$12</f>
        <v>11419.018508485759</v>
      </c>
      <c r="AC178" s="1531">
        <f t="shared" ref="AC178:AC210" si="148">SUM(X178:AB178)</f>
        <v>84991.625303679524</v>
      </c>
      <c r="AD178" s="1487">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7">
        <f t="shared" ref="AK178:AK210" si="155">I178*(1-$J$177)-K178</f>
        <v>45949.154883348674</v>
      </c>
      <c r="AL178" s="1498">
        <f t="shared" ref="AL178:AL210" si="156">(E178*$C$86*$B$12-L178)*(1-U178)</f>
        <v>17158.829451148249</v>
      </c>
      <c r="AM178" s="1498">
        <f t="shared" ref="AM178:AM210" si="157">(E178*($C$85)*$B$12-O178)*(1-U178)</f>
        <v>1225.3415122615597</v>
      </c>
      <c r="AN178" s="1498">
        <f t="shared" ref="AN178:AN210" si="158">SUM(AK178:AM178)</f>
        <v>64333.325846758489</v>
      </c>
      <c r="AO178" s="1184">
        <f t="shared" ref="AO178:AO210" si="159">AN178-X178</f>
        <v>0</v>
      </c>
    </row>
    <row r="179" spans="1:41">
      <c r="A179" s="100">
        <f>'Input data'!A119</f>
        <v>2019</v>
      </c>
      <c r="B179" s="1506">
        <f>'Input data'!B119</f>
        <v>58.364834921819444</v>
      </c>
      <c r="C179" s="1507">
        <f>'Input data'!C119</f>
        <v>4436.7699999999986</v>
      </c>
      <c r="D179" s="1507">
        <f>'Input data'!E119</f>
        <v>53464172.913892828</v>
      </c>
      <c r="E179" s="1508">
        <f>'Input data'!J119*C179</f>
        <v>53378.982305676094</v>
      </c>
      <c r="F179" s="1509">
        <f>'Input data'!L119</f>
        <v>106843.15521956893</v>
      </c>
      <c r="G179" s="1510">
        <f>G177*0.89</f>
        <v>60911.340429377713</v>
      </c>
      <c r="H179" s="1509">
        <f t="shared" ref="H179:H210" si="160">E179*$B$12+I179*$E$80-G179</f>
        <v>19891.473637248593</v>
      </c>
      <c r="I179" s="1511">
        <f t="shared" si="135"/>
        <v>53464.172913892828</v>
      </c>
      <c r="J179" s="1454">
        <f t="shared" ref="J179:J189" si="161">($J$190-$J$177)/($A$190-$A$177)+J178</f>
        <v>0.11361731727283289</v>
      </c>
      <c r="K179" s="1512">
        <f t="shared" ref="K179:K210" si="162">(I179)*J179-(I179)*$J$137</f>
        <v>2783.8569579763216</v>
      </c>
      <c r="L179" s="1512">
        <f t="shared" si="136"/>
        <v>0</v>
      </c>
      <c r="M179" s="1511">
        <f t="shared" ref="M179:M210" si="163">L179+K179</f>
        <v>2783.8569579763216</v>
      </c>
      <c r="N179" s="1454">
        <v>0.1</v>
      </c>
      <c r="O179" s="1511">
        <f t="shared" si="137"/>
        <v>150.38340000000005</v>
      </c>
      <c r="P179" s="1481">
        <f>O179+M179</f>
        <v>2934.2403579763218</v>
      </c>
      <c r="Q179" s="1364">
        <f t="shared" si="138"/>
        <v>77868.573708649987</v>
      </c>
      <c r="R179" s="1364">
        <f t="shared" ref="R179:R210" si="164">Q179-G179</f>
        <v>16957.233279272274</v>
      </c>
      <c r="S179" s="1514">
        <f t="shared" si="139"/>
        <v>0.55636054366934984</v>
      </c>
      <c r="T179" s="135" t="str">
        <f t="shared" si="140"/>
        <v>Yes</v>
      </c>
      <c r="U179" s="1526">
        <f t="shared" si="141"/>
        <v>0.55636054366934984</v>
      </c>
      <c r="V179" s="1494">
        <f t="shared" si="142"/>
        <v>89885.921940296656</v>
      </c>
      <c r="W179" s="1491">
        <f t="shared" si="134"/>
        <v>0.15871146115466328</v>
      </c>
      <c r="X179" s="527">
        <f t="shared" si="143"/>
        <v>60911.340429377713</v>
      </c>
      <c r="Y179" s="1509">
        <f t="shared" si="144"/>
        <v>10348.945579199766</v>
      </c>
      <c r="Z179" s="1531">
        <f t="shared" si="145"/>
        <v>2562.5527582487894</v>
      </c>
      <c r="AA179" s="1531">
        <f t="shared" si="146"/>
        <v>0</v>
      </c>
      <c r="AB179" s="1531">
        <f t="shared" si="147"/>
        <v>16063.083173470395</v>
      </c>
      <c r="AC179" s="1531">
        <f t="shared" si="148"/>
        <v>89885.921940296656</v>
      </c>
      <c r="AD179" s="1487">
        <f t="shared" si="149"/>
        <v>0</v>
      </c>
      <c r="AE179" s="649">
        <f t="shared" si="150"/>
        <v>0.67765161790114115</v>
      </c>
      <c r="AF179" s="417">
        <f t="shared" si="151"/>
        <v>0.1151342207523183</v>
      </c>
      <c r="AG179" s="417">
        <f t="shared" si="152"/>
        <v>2.8508944481326771E-2</v>
      </c>
      <c r="AH179" s="417">
        <f t="shared" ref="AH179:AH210" si="165">AA179/AC179</f>
        <v>0</v>
      </c>
      <c r="AI179" s="417">
        <f t="shared" si="153"/>
        <v>0.17870521686521382</v>
      </c>
      <c r="AJ179" s="417">
        <f t="shared" si="154"/>
        <v>1</v>
      </c>
      <c r="AK179" s="1497">
        <f t="shared" si="155"/>
        <v>47389.717017205468</v>
      </c>
      <c r="AL179" s="1498">
        <f t="shared" si="156"/>
        <v>12638.852664300288</v>
      </c>
      <c r="AM179" s="1498">
        <f t="shared" si="157"/>
        <v>882.77074787194999</v>
      </c>
      <c r="AN179" s="1498">
        <f t="shared" si="158"/>
        <v>60911.340429377713</v>
      </c>
      <c r="AO179" s="1184">
        <f t="shared" si="159"/>
        <v>0</v>
      </c>
    </row>
    <row r="180" spans="1:41">
      <c r="A180" s="100">
        <f>'Input data'!A120</f>
        <v>2020</v>
      </c>
      <c r="B180" s="1506">
        <f>'Input data'!B120</f>
        <v>59.233695328537607</v>
      </c>
      <c r="C180" s="1507">
        <f>'Input data'!C120</f>
        <v>4157.24</v>
      </c>
      <c r="D180" s="1507">
        <f>'Input data'!E120</f>
        <v>51247282.188414559</v>
      </c>
      <c r="E180" s="1508">
        <f>'Input data'!J120*C180</f>
        <v>50015.944121613007</v>
      </c>
      <c r="F180" s="1509">
        <f>'Input data'!L120</f>
        <v>101263.22631002756</v>
      </c>
      <c r="G180" s="1510">
        <f>G177*0.81</f>
        <v>55436.163761568481</v>
      </c>
      <c r="H180" s="1509">
        <f t="shared" si="160"/>
        <v>21356.468936474215</v>
      </c>
      <c r="I180" s="1511">
        <f t="shared" si="135"/>
        <v>51247.28218841456</v>
      </c>
      <c r="J180" s="1454">
        <f t="shared" si="161"/>
        <v>0.13965210661166627</v>
      </c>
      <c r="K180" s="1512">
        <f t="shared" si="162"/>
        <v>4002.6365878893621</v>
      </c>
      <c r="L180" s="1512">
        <f t="shared" si="136"/>
        <v>0</v>
      </c>
      <c r="M180" s="1511">
        <f t="shared" si="163"/>
        <v>4002.6365878893621</v>
      </c>
      <c r="N180" s="1454">
        <f>($N$142-$N$137)/($A$102-$A$97)+N179</f>
        <v>0.2</v>
      </c>
      <c r="O180" s="1511">
        <f t="shared" si="137"/>
        <v>300.7668000000001</v>
      </c>
      <c r="P180" s="1481">
        <f t="shared" ref="P180:P210" si="166">O180+M180</f>
        <v>4303.4033878893624</v>
      </c>
      <c r="Q180" s="1364">
        <f t="shared" si="138"/>
        <v>72489.229310153329</v>
      </c>
      <c r="R180" s="1364">
        <f t="shared" si="164"/>
        <v>17053.065548584847</v>
      </c>
      <c r="S180" s="1514">
        <f t="shared" si="139"/>
        <v>0.60048673733609492</v>
      </c>
      <c r="T180" s="135" t="str">
        <f t="shared" si="140"/>
        <v>Yes</v>
      </c>
      <c r="U180" s="1526">
        <f t="shared" si="141"/>
        <v>0.60048673733609492</v>
      </c>
      <c r="V180" s="1494">
        <f t="shared" si="142"/>
        <v>84210.160761442719</v>
      </c>
      <c r="W180" s="1491">
        <f t="shared" si="134"/>
        <v>0.16840334018565795</v>
      </c>
      <c r="X180" s="527">
        <f t="shared" si="143"/>
        <v>55436.163761568481</v>
      </c>
      <c r="Y180" s="1509">
        <f t="shared" si="144"/>
        <v>11161.974751662076</v>
      </c>
      <c r="Z180" s="1531">
        <f t="shared" si="145"/>
        <v>2560.9621544777392</v>
      </c>
      <c r="AA180" s="1531">
        <f t="shared" si="146"/>
        <v>0</v>
      </c>
      <c r="AB180" s="1531">
        <f t="shared" si="147"/>
        <v>15051.060093734426</v>
      </c>
      <c r="AC180" s="1531">
        <f t="shared" si="148"/>
        <v>84210.160761442719</v>
      </c>
      <c r="AD180" s="1487">
        <f t="shared" si="149"/>
        <v>0</v>
      </c>
      <c r="AE180" s="649">
        <f t="shared" si="150"/>
        <v>0.65830730235288926</v>
      </c>
      <c r="AF180" s="417">
        <f t="shared" si="151"/>
        <v>0.13254902556572254</v>
      </c>
      <c r="AG180" s="417">
        <f t="shared" si="152"/>
        <v>3.0411557599713385E-2</v>
      </c>
      <c r="AH180" s="417">
        <f t="shared" si="165"/>
        <v>0</v>
      </c>
      <c r="AI180" s="417">
        <f t="shared" si="153"/>
        <v>0.17873211448167489</v>
      </c>
      <c r="AJ180" s="417">
        <f t="shared" si="154"/>
        <v>1</v>
      </c>
      <c r="AK180" s="1497">
        <f t="shared" si="155"/>
        <v>44090.491272679945</v>
      </c>
      <c r="AL180" s="1498">
        <f t="shared" si="156"/>
        <v>10664.656446608829</v>
      </c>
      <c r="AM180" s="1498">
        <f t="shared" si="157"/>
        <v>681.01604227970654</v>
      </c>
      <c r="AN180" s="1498">
        <f t="shared" si="158"/>
        <v>55436.163761568481</v>
      </c>
      <c r="AO180" s="1184">
        <f t="shared" si="159"/>
        <v>0</v>
      </c>
    </row>
    <row r="181" spans="1:41">
      <c r="A181" s="100">
        <f>'Input data'!A121</f>
        <v>2021</v>
      </c>
      <c r="B181" s="1506">
        <f>'Input data'!B121</f>
        <v>60.170135702880636</v>
      </c>
      <c r="C181" s="1507">
        <f>'Input data'!C121</f>
        <v>4296.6100000000006</v>
      </c>
      <c r="D181" s="1507">
        <f>'Input data'!E121</f>
        <v>50719928.257477686</v>
      </c>
      <c r="E181" s="1508">
        <f>'Input data'!J121*C181</f>
        <v>51692.710950621971</v>
      </c>
      <c r="F181" s="1509">
        <f>'Input data'!L121</f>
        <v>102412.63920809966</v>
      </c>
      <c r="G181" s="1510">
        <f>G177*0.65</f>
        <v>44485.810425950018</v>
      </c>
      <c r="H181" s="1509">
        <f t="shared" si="160"/>
        <v>32774.06652767257</v>
      </c>
      <c r="I181" s="1511">
        <f t="shared" si="135"/>
        <v>50719.928257477688</v>
      </c>
      <c r="J181" s="1454">
        <f t="shared" si="161"/>
        <v>0.16568689595049965</v>
      </c>
      <c r="K181" s="1512">
        <f t="shared" si="162"/>
        <v>5281.9305898566954</v>
      </c>
      <c r="L181" s="1512">
        <f t="shared" si="136"/>
        <v>0</v>
      </c>
      <c r="M181" s="1511">
        <f t="shared" si="163"/>
        <v>5281.9305898566954</v>
      </c>
      <c r="N181" s="1454">
        <v>0.4</v>
      </c>
      <c r="O181" s="1511">
        <f t="shared" si="137"/>
        <v>601.53360000000021</v>
      </c>
      <c r="P181" s="1481">
        <f t="shared" si="166"/>
        <v>5883.4641898566952</v>
      </c>
      <c r="Q181" s="1364">
        <f t="shared" si="138"/>
        <v>71376.412763765897</v>
      </c>
      <c r="R181" s="1364">
        <f t="shared" si="164"/>
        <v>26890.602337815879</v>
      </c>
      <c r="S181" s="1514">
        <f t="shared" si="139"/>
        <v>0.92534407143296438</v>
      </c>
      <c r="T181" s="135" t="str">
        <f t="shared" si="140"/>
        <v>Yes</v>
      </c>
      <c r="U181" s="1526">
        <f t="shared" si="141"/>
        <v>0.92534407143296438</v>
      </c>
      <c r="V181" s="1494">
        <f t="shared" si="142"/>
        <v>75522.036870283788</v>
      </c>
      <c r="W181" s="1491">
        <f t="shared" si="134"/>
        <v>0.26257112936202054</v>
      </c>
      <c r="X181" s="527">
        <f t="shared" si="143"/>
        <v>44485.810425950018</v>
      </c>
      <c r="Y181" s="1509">
        <f t="shared" si="144"/>
        <v>12543.083682644075</v>
      </c>
      <c r="Z181" s="1531">
        <f t="shared" si="145"/>
        <v>2937.5012039878866</v>
      </c>
      <c r="AA181" s="1531">
        <f t="shared" si="146"/>
        <v>0</v>
      </c>
      <c r="AB181" s="1531">
        <f t="shared" si="147"/>
        <v>15555.641557701811</v>
      </c>
      <c r="AC181" s="1531">
        <f t="shared" si="148"/>
        <v>75522.036870283788</v>
      </c>
      <c r="AD181" s="1005">
        <f t="shared" si="149"/>
        <v>0</v>
      </c>
      <c r="AE181" s="649">
        <f t="shared" si="150"/>
        <v>0.58904410248307504</v>
      </c>
      <c r="AF181" s="417">
        <f t="shared" si="151"/>
        <v>0.16608508195015984</v>
      </c>
      <c r="AG181" s="417">
        <f t="shared" si="152"/>
        <v>3.8895947801743241E-2</v>
      </c>
      <c r="AH181" s="417">
        <f t="shared" si="165"/>
        <v>0</v>
      </c>
      <c r="AI181" s="417">
        <f t="shared" si="153"/>
        <v>0.20597486776502189</v>
      </c>
      <c r="AJ181" s="417">
        <f t="shared" si="154"/>
        <v>1</v>
      </c>
      <c r="AK181" s="1497">
        <f t="shared" si="155"/>
        <v>42316.300781664177</v>
      </c>
      <c r="AL181" s="1498">
        <f t="shared" si="156"/>
        <v>2059.6850063472216</v>
      </c>
      <c r="AM181" s="1498">
        <f t="shared" si="157"/>
        <v>109.8246379386195</v>
      </c>
      <c r="AN181" s="1498">
        <f t="shared" si="158"/>
        <v>44485.810425950018</v>
      </c>
      <c r="AO181" s="1184">
        <f t="shared" si="159"/>
        <v>0</v>
      </c>
    </row>
    <row r="182" spans="1:41">
      <c r="A182" s="100">
        <f>'Input data'!A122</f>
        <v>2022</v>
      </c>
      <c r="B182" s="1506">
        <f>'Input data'!B122</f>
        <v>61.14166465104848</v>
      </c>
      <c r="C182" s="1507">
        <f>'Input data'!C122</f>
        <v>4408.5100000000011</v>
      </c>
      <c r="D182" s="1507">
        <f>'Input data'!E122</f>
        <v>50359792.847133137</v>
      </c>
      <c r="E182" s="1508">
        <f>'Input data'!J122*C182</f>
        <v>53038.984956262379</v>
      </c>
      <c r="F182" s="1509">
        <f>'Input data'!L122</f>
        <v>103398.77780339553</v>
      </c>
      <c r="G182" s="1510">
        <f>G177*(1-E4)</f>
        <v>34219.854173807704</v>
      </c>
      <c r="H182" s="1509">
        <f t="shared" si="160"/>
        <v>43474.554499121747</v>
      </c>
      <c r="I182" s="1511">
        <f t="shared" si="135"/>
        <v>50359.79284713314</v>
      </c>
      <c r="J182" s="1454">
        <f t="shared" si="161"/>
        <v>0.19172168528933303</v>
      </c>
      <c r="K182" s="1512">
        <f t="shared" si="162"/>
        <v>6555.5329896119965</v>
      </c>
      <c r="L182" s="1512">
        <f t="shared" si="136"/>
        <v>0</v>
      </c>
      <c r="M182" s="1511">
        <f t="shared" si="163"/>
        <v>6555.5329896119965</v>
      </c>
      <c r="N182" s="1454">
        <f>$E$26</f>
        <v>0.5</v>
      </c>
      <c r="O182" s="1511">
        <f t="shared" si="137"/>
        <v>751.91700000000026</v>
      </c>
      <c r="P182" s="1481">
        <f t="shared" si="166"/>
        <v>7307.4499896119969</v>
      </c>
      <c r="Q182" s="1364">
        <f t="shared" si="138"/>
        <v>70386.958683317454</v>
      </c>
      <c r="R182" s="1364">
        <f t="shared" si="164"/>
        <v>36167.104509509751</v>
      </c>
      <c r="S182" s="1514">
        <f t="shared" si="139"/>
        <v>1.2184766534043596</v>
      </c>
      <c r="T182" s="135" t="str">
        <f t="shared" si="140"/>
        <v>No</v>
      </c>
      <c r="U182" s="1526">
        <f t="shared" si="141"/>
        <v>1</v>
      </c>
      <c r="V182" s="1494">
        <f t="shared" si="142"/>
        <v>73716.547611737158</v>
      </c>
      <c r="W182" s="1491">
        <f>(1-V182/F182)</f>
        <v>0.28706558067926824</v>
      </c>
      <c r="X182" s="527">
        <f t="shared" si="143"/>
        <v>40704.728491659072</v>
      </c>
      <c r="Y182" s="1509">
        <f t="shared" si="144"/>
        <v>13902.327682230418</v>
      </c>
      <c r="Z182" s="1531">
        <f t="shared" si="145"/>
        <v>3148.72204906348</v>
      </c>
      <c r="AA182" s="1531">
        <f t="shared" si="146"/>
        <v>0</v>
      </c>
      <c r="AB182" s="1531">
        <f t="shared" si="147"/>
        <v>15960.769388784185</v>
      </c>
      <c r="AC182" s="1531">
        <f t="shared" si="148"/>
        <v>73716.547611737158</v>
      </c>
      <c r="AD182" s="1005">
        <f t="shared" si="149"/>
        <v>6484.8743178513687</v>
      </c>
      <c r="AE182" s="649">
        <f t="shared" si="150"/>
        <v>0.55217898572854573</v>
      </c>
      <c r="AF182" s="417">
        <f t="shared" si="151"/>
        <v>0.18859168168663515</v>
      </c>
      <c r="AG182" s="417">
        <f t="shared" si="152"/>
        <v>4.2713910934186777E-2</v>
      </c>
      <c r="AH182" s="417">
        <f t="shared" si="165"/>
        <v>0</v>
      </c>
      <c r="AI182" s="417">
        <f t="shared" si="153"/>
        <v>0.21651542165063234</v>
      </c>
      <c r="AJ182" s="417">
        <f t="shared" si="154"/>
        <v>0.99999999999999989</v>
      </c>
      <c r="AK182" s="1497">
        <f t="shared" si="155"/>
        <v>40704.72849165908</v>
      </c>
      <c r="AL182" s="1498">
        <f t="shared" si="156"/>
        <v>0</v>
      </c>
      <c r="AM182" s="1498">
        <f t="shared" si="157"/>
        <v>0</v>
      </c>
      <c r="AN182" s="1498">
        <f t="shared" si="158"/>
        <v>40704.72849165908</v>
      </c>
      <c r="AO182" s="1184">
        <f t="shared" si="159"/>
        <v>0</v>
      </c>
    </row>
    <row r="183" spans="1:41">
      <c r="A183" s="100">
        <f>'Input data'!A123</f>
        <v>2023</v>
      </c>
      <c r="B183" s="1506">
        <f>'Input data'!B123</f>
        <v>62.126086164056694</v>
      </c>
      <c r="C183" s="1507">
        <f>'Input data'!C123</f>
        <v>4511.7199999999984</v>
      </c>
      <c r="D183" s="1507">
        <f>'Input data'!E123</f>
        <v>48748213.106871188</v>
      </c>
      <c r="E183" s="1508">
        <f>'Input data'!J123*C183</f>
        <v>54280.70917540574</v>
      </c>
      <c r="F183" s="1509">
        <f>'Input data'!L123</f>
        <v>103028.92228227694</v>
      </c>
      <c r="G183" s="1510">
        <f>($G$147-$G$142)/($A$147-$A$142)+G182</f>
        <v>32166.662923379241</v>
      </c>
      <c r="H183" s="1509">
        <f t="shared" si="160"/>
        <v>44727.865295564559</v>
      </c>
      <c r="I183" s="1511">
        <f t="shared" si="135"/>
        <v>48748.21310687119</v>
      </c>
      <c r="J183" s="1454">
        <f t="shared" si="161"/>
        <v>0.21775647462816641</v>
      </c>
      <c r="K183" s="1512">
        <f t="shared" si="162"/>
        <v>7614.8967532916849</v>
      </c>
      <c r="L183" s="1512">
        <f t="shared" si="136"/>
        <v>0</v>
      </c>
      <c r="M183" s="1511">
        <f t="shared" si="163"/>
        <v>7614.8967532916849</v>
      </c>
      <c r="N183" s="1454">
        <f>($N$147-$N$142)/($A$107-$A$102)+N182</f>
        <v>0.5</v>
      </c>
      <c r="O183" s="1511">
        <f t="shared" si="137"/>
        <v>751.91700000000026</v>
      </c>
      <c r="P183" s="1481">
        <f t="shared" si="166"/>
        <v>8366.8137532916844</v>
      </c>
      <c r="Q183" s="1364">
        <f t="shared" si="138"/>
        <v>68527.714465652112</v>
      </c>
      <c r="R183" s="1364">
        <f t="shared" si="164"/>
        <v>36361.051542272871</v>
      </c>
      <c r="S183" s="1514">
        <f t="shared" si="139"/>
        <v>1.1962941968409282</v>
      </c>
      <c r="T183" s="135" t="str">
        <f t="shared" si="140"/>
        <v>No</v>
      </c>
      <c r="U183" s="1526">
        <f t="shared" si="141"/>
        <v>1</v>
      </c>
      <c r="V183" s="1494">
        <f t="shared" si="142"/>
        <v>72634.181892921173</v>
      </c>
      <c r="W183" s="1491">
        <f t="shared" si="134"/>
        <v>0.29501172793092756</v>
      </c>
      <c r="X183" s="527">
        <f t="shared" si="143"/>
        <v>38132.974076296348</v>
      </c>
      <c r="Y183" s="1509">
        <f t="shared" si="144"/>
        <v>14961.937324690805</v>
      </c>
      <c r="Z183" s="1531">
        <f t="shared" si="145"/>
        <v>3204.8349418807438</v>
      </c>
      <c r="AA183" s="1531">
        <f t="shared" si="146"/>
        <v>0</v>
      </c>
      <c r="AB183" s="1531">
        <f t="shared" si="147"/>
        <v>16334.435550053271</v>
      </c>
      <c r="AC183" s="1531">
        <f t="shared" si="148"/>
        <v>72634.181892921173</v>
      </c>
      <c r="AD183" s="1005">
        <f t="shared" si="149"/>
        <v>5966.3111529171074</v>
      </c>
      <c r="AE183" s="649">
        <f t="shared" si="150"/>
        <v>0.52500039351324668</v>
      </c>
      <c r="AF183" s="417">
        <f t="shared" si="151"/>
        <v>0.20599030559396958</v>
      </c>
      <c r="AG183" s="417">
        <f t="shared" si="152"/>
        <v>4.4122957791489663E-2</v>
      </c>
      <c r="AH183" s="417">
        <f t="shared" si="165"/>
        <v>0</v>
      </c>
      <c r="AI183" s="417">
        <f t="shared" si="153"/>
        <v>0.22488634310129405</v>
      </c>
      <c r="AJ183" s="417">
        <f t="shared" si="154"/>
        <v>1</v>
      </c>
      <c r="AK183" s="1497">
        <f t="shared" si="155"/>
        <v>38132.974076296341</v>
      </c>
      <c r="AL183" s="1498">
        <f t="shared" si="156"/>
        <v>0</v>
      </c>
      <c r="AM183" s="1498">
        <f t="shared" si="157"/>
        <v>0</v>
      </c>
      <c r="AN183" s="1498">
        <f t="shared" si="158"/>
        <v>38132.974076296341</v>
      </c>
      <c r="AO183" s="1184">
        <f t="shared" si="159"/>
        <v>0</v>
      </c>
    </row>
    <row r="184" spans="1:41">
      <c r="A184" s="100">
        <f>'Input data'!A124</f>
        <v>2024</v>
      </c>
      <c r="B184" s="1506">
        <f>'Input data'!B124</f>
        <v>63.126357518916684</v>
      </c>
      <c r="C184" s="1507">
        <f>'Input data'!C124</f>
        <v>4622.4800000000005</v>
      </c>
      <c r="D184" s="1507">
        <f>'Input data'!E124</f>
        <v>46900203.343432628</v>
      </c>
      <c r="E184" s="1508">
        <f>'Input data'!J124*C184</f>
        <v>55613.267789031597</v>
      </c>
      <c r="F184" s="1509">
        <f>'Input data'!L124</f>
        <v>102513.47113246423</v>
      </c>
      <c r="G184" s="1510">
        <f t="shared" ref="G184:G186" si="167">($G$147-$G$142)/($A$147-$A$142)+G183</f>
        <v>30113.471672950778</v>
      </c>
      <c r="H184" s="1509">
        <f t="shared" si="160"/>
        <v>45811.419224364581</v>
      </c>
      <c r="I184" s="1511">
        <f t="shared" si="135"/>
        <v>46900.203343432629</v>
      </c>
      <c r="J184" s="1454">
        <f t="shared" si="161"/>
        <v>0.24379126396699979</v>
      </c>
      <c r="K184" s="1512">
        <f t="shared" si="162"/>
        <v>8547.2583979630217</v>
      </c>
      <c r="L184" s="1512">
        <f t="shared" si="136"/>
        <v>0</v>
      </c>
      <c r="M184" s="1511">
        <f t="shared" si="163"/>
        <v>8547.2583979630217</v>
      </c>
      <c r="N184" s="1454">
        <f>($N$147-$N$142)/($A$107-$A$102)+N183</f>
        <v>0.5</v>
      </c>
      <c r="O184" s="1511">
        <f t="shared" si="137"/>
        <v>751.91700000000026</v>
      </c>
      <c r="P184" s="1481">
        <f t="shared" si="166"/>
        <v>9299.1753979630212</v>
      </c>
      <c r="Q184" s="1364">
        <f t="shared" si="138"/>
        <v>66625.715499352344</v>
      </c>
      <c r="R184" s="1364">
        <f t="shared" si="164"/>
        <v>36512.243826401565</v>
      </c>
      <c r="S184" s="1514">
        <f t="shared" si="139"/>
        <v>1.1717901058941513</v>
      </c>
      <c r="T184" s="135" t="str">
        <f t="shared" si="140"/>
        <v>No</v>
      </c>
      <c r="U184" s="1526">
        <f t="shared" si="141"/>
        <v>1</v>
      </c>
      <c r="V184" s="1494">
        <f t="shared" si="142"/>
        <v>71354.099123139778</v>
      </c>
      <c r="W184" s="1491">
        <f t="shared" si="134"/>
        <v>0.30395392590951709</v>
      </c>
      <c r="X184" s="527">
        <f t="shared" si="143"/>
        <v>35466.343490027881</v>
      </c>
      <c r="Y184" s="1509">
        <f t="shared" si="144"/>
        <v>15887.266964348062</v>
      </c>
      <c r="Z184" s="1531">
        <f t="shared" si="145"/>
        <v>3265.0525952906887</v>
      </c>
      <c r="AA184" s="1531">
        <f t="shared" si="146"/>
        <v>0</v>
      </c>
      <c r="AB184" s="1531">
        <f t="shared" si="147"/>
        <v>16735.436073473149</v>
      </c>
      <c r="AC184" s="1531">
        <f t="shared" si="148"/>
        <v>71354.099123139778</v>
      </c>
      <c r="AD184" s="1005">
        <f t="shared" si="149"/>
        <v>5352.8718170771026</v>
      </c>
      <c r="AE184" s="649">
        <f t="shared" si="150"/>
        <v>0.4970470362021055</v>
      </c>
      <c r="AF184" s="417">
        <f t="shared" si="151"/>
        <v>0.22265387916860269</v>
      </c>
      <c r="AG184" s="417">
        <f t="shared" si="152"/>
        <v>4.5758444650194574E-2</v>
      </c>
      <c r="AH184" s="417">
        <f t="shared" si="165"/>
        <v>0</v>
      </c>
      <c r="AI184" s="417">
        <f t="shared" si="153"/>
        <v>0.2345406399790973</v>
      </c>
      <c r="AJ184" s="417">
        <f t="shared" si="154"/>
        <v>1</v>
      </c>
      <c r="AK184" s="1497">
        <f t="shared" si="155"/>
        <v>35466.343490027881</v>
      </c>
      <c r="AL184" s="1498">
        <f t="shared" si="156"/>
        <v>0</v>
      </c>
      <c r="AM184" s="1498">
        <f t="shared" si="157"/>
        <v>0</v>
      </c>
      <c r="AN184" s="1498">
        <f t="shared" si="158"/>
        <v>35466.343490027881</v>
      </c>
      <c r="AO184" s="1184">
        <f t="shared" si="159"/>
        <v>0</v>
      </c>
    </row>
    <row r="185" spans="1:41">
      <c r="A185" s="100">
        <f>'Input data'!A125</f>
        <v>2025</v>
      </c>
      <c r="B185" s="1506">
        <f>'Input data'!B125</f>
        <v>64.142733908636146</v>
      </c>
      <c r="C185" s="1507">
        <f>'Input data'!C125</f>
        <v>4727.3100000000004</v>
      </c>
      <c r="D185" s="1507">
        <f>'Input data'!E125</f>
        <v>41859241.005426526</v>
      </c>
      <c r="E185" s="1508">
        <f>'Input data'!J125*C185</f>
        <v>56874.48230209043</v>
      </c>
      <c r="F185" s="1509">
        <f>'Input data'!L125</f>
        <v>98733.72330751695</v>
      </c>
      <c r="G185" s="1510">
        <f t="shared" si="167"/>
        <v>28060.280422522315</v>
      </c>
      <c r="H185" s="1509">
        <f t="shared" si="160"/>
        <v>43857.601836146532</v>
      </c>
      <c r="I185" s="1511">
        <f t="shared" si="135"/>
        <v>41859.241005426527</v>
      </c>
      <c r="J185" s="1454">
        <f t="shared" si="161"/>
        <v>0.26982605330583315</v>
      </c>
      <c r="K185" s="1512">
        <f t="shared" si="162"/>
        <v>8718.3721716778837</v>
      </c>
      <c r="L185" s="1512">
        <f t="shared" si="136"/>
        <v>0</v>
      </c>
      <c r="M185" s="1511">
        <f t="shared" si="163"/>
        <v>8718.3721716778837</v>
      </c>
      <c r="N185" s="1454">
        <f>($N$147-$N$142)/($A$107-$A$102)+N184</f>
        <v>0.5</v>
      </c>
      <c r="O185" s="1511">
        <f t="shared" si="137"/>
        <v>751.91700000000026</v>
      </c>
      <c r="P185" s="1481">
        <f t="shared" si="166"/>
        <v>9470.2891716778831</v>
      </c>
      <c r="Q185" s="1364">
        <f t="shared" si="138"/>
        <v>62447.593086990964</v>
      </c>
      <c r="R185" s="1364">
        <f t="shared" si="164"/>
        <v>34387.312664468649</v>
      </c>
      <c r="S185" s="1514">
        <f t="shared" si="139"/>
        <v>1.0785447295983877</v>
      </c>
      <c r="T185" s="135" t="str">
        <f t="shared" si="140"/>
        <v>No</v>
      </c>
      <c r="U185" s="1526">
        <f t="shared" si="141"/>
        <v>1</v>
      </c>
      <c r="V185" s="1494">
        <f t="shared" si="142"/>
        <v>66850.657431080588</v>
      </c>
      <c r="W185" s="1491">
        <f t="shared" si="134"/>
        <v>0.3229197158617535</v>
      </c>
      <c r="X185" s="527">
        <f t="shared" si="143"/>
        <v>30564.527210554592</v>
      </c>
      <c r="Y185" s="1509">
        <f t="shared" si="144"/>
        <v>15849.116619683167</v>
      </c>
      <c r="Z185" s="1531">
        <f t="shared" si="145"/>
        <v>3322.0462446854558</v>
      </c>
      <c r="AA185" s="1531">
        <f t="shared" si="146"/>
        <v>0</v>
      </c>
      <c r="AB185" s="1531">
        <f t="shared" si="147"/>
        <v>17114.967356157376</v>
      </c>
      <c r="AC185" s="1531">
        <f t="shared" si="148"/>
        <v>66850.657431080588</v>
      </c>
      <c r="AD185" s="1005">
        <f t="shared" si="149"/>
        <v>2504.2467880322765</v>
      </c>
      <c r="AE185" s="649">
        <f t="shared" si="150"/>
        <v>0.4572060827085353</v>
      </c>
      <c r="AF185" s="417">
        <f t="shared" si="151"/>
        <v>0.23708243461962583</v>
      </c>
      <c r="AG185" s="417">
        <f t="shared" si="152"/>
        <v>4.9693546366545549E-2</v>
      </c>
      <c r="AH185" s="417">
        <f t="shared" si="165"/>
        <v>0</v>
      </c>
      <c r="AI185" s="417">
        <f t="shared" si="153"/>
        <v>0.25601793630529335</v>
      </c>
      <c r="AJ185" s="417">
        <f t="shared" si="154"/>
        <v>1</v>
      </c>
      <c r="AK185" s="1497">
        <f t="shared" si="155"/>
        <v>30564.527210554596</v>
      </c>
      <c r="AL185" s="1498">
        <f t="shared" si="156"/>
        <v>0</v>
      </c>
      <c r="AM185" s="1498">
        <f t="shared" si="157"/>
        <v>0</v>
      </c>
      <c r="AN185" s="1498">
        <f t="shared" si="158"/>
        <v>30564.527210554596</v>
      </c>
      <c r="AO185" s="1184">
        <f t="shared" si="159"/>
        <v>0</v>
      </c>
    </row>
    <row r="186" spans="1:41">
      <c r="A186" s="100">
        <f>'Input data'!A126</f>
        <v>2026</v>
      </c>
      <c r="B186" s="1506">
        <f>'Input data'!B126</f>
        <v>65.115730264701668</v>
      </c>
      <c r="C186" s="1507">
        <f>'Input data'!C126</f>
        <v>4818.42</v>
      </c>
      <c r="D186" s="1507">
        <f>'Input data'!E126</f>
        <v>37757514.205797322</v>
      </c>
      <c r="E186" s="1508">
        <f>'Input data'!J126*C186</f>
        <v>57970.630869149376</v>
      </c>
      <c r="F186" s="1509">
        <f>'Input data'!L126</f>
        <v>95728.145074946689</v>
      </c>
      <c r="G186" s="1510">
        <f t="shared" si="167"/>
        <v>26007.089172093853</v>
      </c>
      <c r="H186" s="1509">
        <f t="shared" si="160"/>
        <v>42690.496147868806</v>
      </c>
      <c r="I186" s="1511">
        <f t="shared" si="135"/>
        <v>37757.514205797321</v>
      </c>
      <c r="J186" s="1454">
        <f t="shared" si="161"/>
        <v>0.2958608426446665</v>
      </c>
      <c r="K186" s="1512">
        <f t="shared" si="162"/>
        <v>8847.0803547534761</v>
      </c>
      <c r="L186" s="1512">
        <f t="shared" si="136"/>
        <v>0</v>
      </c>
      <c r="M186" s="1511">
        <f t="shared" si="163"/>
        <v>8847.0803547534761</v>
      </c>
      <c r="N186" s="1454">
        <f>($N$147-$N$142)/($A$107-$A$102)+N185</f>
        <v>0.5</v>
      </c>
      <c r="O186" s="1511">
        <f t="shared" si="137"/>
        <v>751.91700000000026</v>
      </c>
      <c r="P186" s="1481">
        <f t="shared" si="166"/>
        <v>9598.9973547534755</v>
      </c>
      <c r="Q186" s="1364">
        <f t="shared" si="138"/>
        <v>59098.587965209183</v>
      </c>
      <c r="R186" s="1364">
        <f t="shared" si="164"/>
        <v>33091.49879311533</v>
      </c>
      <c r="S186" s="1514">
        <f t="shared" si="139"/>
        <v>1.0178227819034407</v>
      </c>
      <c r="T186" s="135" t="str">
        <f t="shared" si="140"/>
        <v>No</v>
      </c>
      <c r="U186" s="1526">
        <f t="shared" si="141"/>
        <v>1</v>
      </c>
      <c r="V186" s="1494">
        <f t="shared" si="142"/>
        <v>63216.101346439682</v>
      </c>
      <c r="W186" s="1491">
        <f t="shared" si="134"/>
        <v>0.33962889078288261</v>
      </c>
      <c r="X186" s="527">
        <f t="shared" si="143"/>
        <v>26586.544236702161</v>
      </c>
      <c r="Y186" s="1509">
        <f t="shared" si="144"/>
        <v>15813.150333642216</v>
      </c>
      <c r="Z186" s="1531">
        <f t="shared" si="145"/>
        <v>3371.5806470164412</v>
      </c>
      <c r="AA186" s="1531">
        <f t="shared" si="146"/>
        <v>0</v>
      </c>
      <c r="AB186" s="1531">
        <f t="shared" si="147"/>
        <v>17444.826129078869</v>
      </c>
      <c r="AC186" s="1531">
        <f t="shared" si="148"/>
        <v>63216.101346439682</v>
      </c>
      <c r="AD186" s="1005">
        <f t="shared" si="149"/>
        <v>579.45506460830802</v>
      </c>
      <c r="AE186" s="1454">
        <f t="shared" si="150"/>
        <v>0.42056602147926525</v>
      </c>
      <c r="AF186" s="1504">
        <f t="shared" si="151"/>
        <v>0.2501443460896503</v>
      </c>
      <c r="AG186" s="1504">
        <f t="shared" si="152"/>
        <v>5.3334207190971102E-2</v>
      </c>
      <c r="AH186" s="1504">
        <f t="shared" si="165"/>
        <v>0</v>
      </c>
      <c r="AI186" s="1504">
        <f t="shared" si="153"/>
        <v>0.27595542524011341</v>
      </c>
      <c r="AJ186" s="1504">
        <f t="shared" si="154"/>
        <v>1</v>
      </c>
      <c r="AK186" s="1555">
        <f t="shared" si="155"/>
        <v>26586.544236702161</v>
      </c>
      <c r="AL186" s="1556">
        <f t="shared" si="156"/>
        <v>0</v>
      </c>
      <c r="AM186" s="1556">
        <f t="shared" si="157"/>
        <v>0</v>
      </c>
      <c r="AN186" s="1556">
        <f t="shared" si="158"/>
        <v>26586.544236702161</v>
      </c>
      <c r="AO186" s="1543">
        <f t="shared" si="159"/>
        <v>0</v>
      </c>
    </row>
    <row r="187" spans="1:41">
      <c r="A187" s="100">
        <f>'Input data'!A127</f>
        <v>2027</v>
      </c>
      <c r="B187" s="1506">
        <f>'Input data'!B127</f>
        <v>66.042835586617315</v>
      </c>
      <c r="C187" s="1507">
        <f>'Input data'!C127</f>
        <v>4908.8799999999992</v>
      </c>
      <c r="D187" s="1507">
        <f>'Input data'!E127</f>
        <v>35019614.880897872</v>
      </c>
      <c r="E187" s="1508">
        <f>'Input data'!J127*C187</f>
        <v>59058.959256550894</v>
      </c>
      <c r="F187" s="1509">
        <f>'Input data'!L127</f>
        <v>94078.57413744877</v>
      </c>
      <c r="G187" s="1510">
        <f>G177*(1-E5)</f>
        <v>23953.89792166539</v>
      </c>
      <c r="H187" s="1509">
        <f t="shared" si="160"/>
        <v>42798.790162652185</v>
      </c>
      <c r="I187" s="1511">
        <f t="shared" si="135"/>
        <v>35019.614880897869</v>
      </c>
      <c r="J187" s="1454">
        <f t="shared" si="161"/>
        <v>0.32189563198349985</v>
      </c>
      <c r="K187" s="1512">
        <f t="shared" si="162"/>
        <v>9117.2829615125029</v>
      </c>
      <c r="L187" s="1512">
        <f t="shared" si="136"/>
        <v>0</v>
      </c>
      <c r="M187" s="1511">
        <f t="shared" si="163"/>
        <v>9117.2829615125029</v>
      </c>
      <c r="N187" s="1454">
        <f>$C$27</f>
        <v>0.5</v>
      </c>
      <c r="O187" s="1511">
        <f t="shared" si="137"/>
        <v>751.91700000000026</v>
      </c>
      <c r="P187" s="1481">
        <f t="shared" si="166"/>
        <v>9869.1999615125023</v>
      </c>
      <c r="Q187" s="1364">
        <f t="shared" si="138"/>
        <v>56883.488122805073</v>
      </c>
      <c r="R187" s="1364">
        <f t="shared" si="164"/>
        <v>32929.590201139683</v>
      </c>
      <c r="S187" s="1514">
        <f t="shared" si="139"/>
        <v>0.99375480541317152</v>
      </c>
      <c r="T187" s="135" t="str">
        <f t="shared" si="140"/>
        <v>Yes</v>
      </c>
      <c r="U187" s="1526">
        <f t="shared" si="141"/>
        <v>0.99375480541317152</v>
      </c>
      <c r="V187" s="1494">
        <f t="shared" si="142"/>
        <v>61148.983936309101</v>
      </c>
      <c r="W187" s="1491">
        <f t="shared" si="134"/>
        <v>0.35002220753292401</v>
      </c>
      <c r="X187" s="527">
        <f t="shared" si="143"/>
        <v>23953.897921665393</v>
      </c>
      <c r="Y187" s="1509">
        <f t="shared" si="144"/>
        <v>16001.992742737406</v>
      </c>
      <c r="Z187" s="1531">
        <f t="shared" si="145"/>
        <v>3420.7616593626267</v>
      </c>
      <c r="AA187" s="1531">
        <f t="shared" si="146"/>
        <v>0</v>
      </c>
      <c r="AB187" s="1531">
        <f t="shared" si="147"/>
        <v>17772.331612543669</v>
      </c>
      <c r="AC187" s="1531">
        <f t="shared" si="148"/>
        <v>61148.983936309101</v>
      </c>
      <c r="AD187" s="1005">
        <f t="shared" si="149"/>
        <v>0</v>
      </c>
      <c r="AE187" s="1454">
        <f t="shared" si="150"/>
        <v>0.39173010538678837</v>
      </c>
      <c r="AF187" s="1504">
        <f t="shared" si="151"/>
        <v>0.26168861218372147</v>
      </c>
      <c r="AG187" s="1504">
        <f t="shared" si="152"/>
        <v>5.5941430898109226E-2</v>
      </c>
      <c r="AH187" s="1504">
        <f t="shared" si="165"/>
        <v>0</v>
      </c>
      <c r="AI187" s="1504">
        <f t="shared" si="153"/>
        <v>0.29063985153138083</v>
      </c>
      <c r="AJ187" s="1504">
        <f t="shared" si="154"/>
        <v>0.99999999999999989</v>
      </c>
      <c r="AK187" s="1555">
        <f t="shared" si="155"/>
        <v>23746.953816992478</v>
      </c>
      <c r="AL187" s="1556">
        <f t="shared" si="156"/>
        <v>196.85160556739265</v>
      </c>
      <c r="AM187" s="1556">
        <f t="shared" si="157"/>
        <v>10.092499105524491</v>
      </c>
      <c r="AN187" s="1556">
        <f t="shared" si="158"/>
        <v>23953.897921665397</v>
      </c>
      <c r="AO187" s="1543">
        <f t="shared" si="159"/>
        <v>0</v>
      </c>
    </row>
    <row r="188" spans="1:41">
      <c r="A188" s="100">
        <f>'Input data'!A128</f>
        <v>2028</v>
      </c>
      <c r="B188" s="1506">
        <f>'Input data'!B128</f>
        <v>66.921626677758155</v>
      </c>
      <c r="C188" s="1507">
        <f>'Input data'!C128</f>
        <v>5001.3400000000011</v>
      </c>
      <c r="D188" s="1507">
        <f>'Input data'!E128</f>
        <v>32897025.730580334</v>
      </c>
      <c r="E188" s="1508">
        <f>'Input data'!J128*C188</f>
        <v>60171.349735206066</v>
      </c>
      <c r="F188" s="1509">
        <f>'Input data'!L128</f>
        <v>93068.375465786405</v>
      </c>
      <c r="G188" s="1510">
        <f>($G$152-$G$147)/($A$152-$A$147)+G187</f>
        <v>21900.706671236927</v>
      </c>
      <c r="H188" s="1509">
        <f t="shared" si="160"/>
        <v>43498.330401514526</v>
      </c>
      <c r="I188" s="1511">
        <f t="shared" si="135"/>
        <v>32897.025730580332</v>
      </c>
      <c r="J188" s="1454">
        <f t="shared" si="161"/>
        <v>0.34793042132233321</v>
      </c>
      <c r="K188" s="1512">
        <f t="shared" si="162"/>
        <v>9421.1384824682391</v>
      </c>
      <c r="L188" s="1512">
        <f t="shared" si="136"/>
        <v>0</v>
      </c>
      <c r="M188" s="1511">
        <f t="shared" si="163"/>
        <v>9421.1384824682391</v>
      </c>
      <c r="N188" s="1454">
        <f>N187</f>
        <v>0.5</v>
      </c>
      <c r="O188" s="1511">
        <f t="shared" si="137"/>
        <v>751.91700000000026</v>
      </c>
      <c r="P188" s="1481">
        <f t="shared" si="166"/>
        <v>10173.055482468239</v>
      </c>
      <c r="Q188" s="1364">
        <f t="shared" si="138"/>
        <v>55225.981590283212</v>
      </c>
      <c r="R188" s="1364">
        <f t="shared" si="164"/>
        <v>33325.274919046286</v>
      </c>
      <c r="S188" s="1514">
        <f t="shared" si="139"/>
        <v>0.98668958694111608</v>
      </c>
      <c r="T188" s="135" t="str">
        <f t="shared" si="140"/>
        <v>Yes</v>
      </c>
      <c r="U188" s="1526">
        <f t="shared" si="141"/>
        <v>0.98668958694111608</v>
      </c>
      <c r="V188" s="1494">
        <f t="shared" si="142"/>
        <v>59743.100546740112</v>
      </c>
      <c r="W188" s="1491">
        <f t="shared" si="134"/>
        <v>0.35807302697893617</v>
      </c>
      <c r="X188" s="527">
        <f t="shared" si="143"/>
        <v>21900.706671236927</v>
      </c>
      <c r="Y188" s="1509">
        <f t="shared" si="144"/>
        <v>16264.285863350544</v>
      </c>
      <c r="Z188" s="1531">
        <f t="shared" si="145"/>
        <v>3471.0300255081979</v>
      </c>
      <c r="AA188" s="1531">
        <f t="shared" si="146"/>
        <v>0</v>
      </c>
      <c r="AB188" s="1531">
        <f t="shared" si="147"/>
        <v>18107.077986644446</v>
      </c>
      <c r="AC188" s="1531">
        <f t="shared" si="148"/>
        <v>59743.100546740112</v>
      </c>
      <c r="AD188" s="1005">
        <f t="shared" si="149"/>
        <v>0</v>
      </c>
      <c r="AE188" s="1454">
        <f t="shared" si="150"/>
        <v>0.36658135367619349</v>
      </c>
      <c r="AF188" s="1504">
        <f t="shared" si="151"/>
        <v>0.27223705690711775</v>
      </c>
      <c r="AG188" s="1504">
        <f t="shared" si="152"/>
        <v>5.8099261567327462E-2</v>
      </c>
      <c r="AH188" s="1504">
        <f t="shared" si="165"/>
        <v>0</v>
      </c>
      <c r="AI188" s="1504">
        <f t="shared" si="153"/>
        <v>0.30308232784936134</v>
      </c>
      <c r="AJ188" s="1504">
        <f t="shared" si="154"/>
        <v>1</v>
      </c>
      <c r="AK188" s="1555">
        <f t="shared" si="155"/>
        <v>21451.149707887878</v>
      </c>
      <c r="AL188" s="1556">
        <f t="shared" si="156"/>
        <v>427.45311251863677</v>
      </c>
      <c r="AM188" s="1556">
        <f t="shared" si="157"/>
        <v>22.103850830406991</v>
      </c>
      <c r="AN188" s="1556">
        <f t="shared" si="158"/>
        <v>21900.706671236923</v>
      </c>
      <c r="AO188" s="1543">
        <f t="shared" si="159"/>
        <v>0</v>
      </c>
    </row>
    <row r="189" spans="1:41">
      <c r="A189" s="100">
        <f>'Input data'!A129</f>
        <v>2029</v>
      </c>
      <c r="B189" s="1506">
        <f>'Input data'!B129</f>
        <v>67.749778587208695</v>
      </c>
      <c r="C189" s="1507">
        <f>'Input data'!C129</f>
        <v>5124.16</v>
      </c>
      <c r="D189" s="1507">
        <f>'Input data'!E129</f>
        <v>31986451.408819646</v>
      </c>
      <c r="E189" s="1508">
        <f>'Input data'!J129*C189</f>
        <v>61649.00275909125</v>
      </c>
      <c r="F189" s="1509">
        <f>'Input data'!L129</f>
        <v>93635.454167910895</v>
      </c>
      <c r="G189" s="1510">
        <f t="shared" ref="G189:G191" si="168">($G$152-$G$147)/($A$152-$A$147)+G188</f>
        <v>19847.515420808464</v>
      </c>
      <c r="H189" s="1509">
        <f t="shared" si="160"/>
        <v>45544.878946119388</v>
      </c>
      <c r="I189" s="1511">
        <f t="shared" si="135"/>
        <v>31986.451408819645</v>
      </c>
      <c r="J189" s="1454">
        <f t="shared" si="161"/>
        <v>0.37396521066116656</v>
      </c>
      <c r="K189" s="1512">
        <f t="shared" si="162"/>
        <v>9993.1262895053915</v>
      </c>
      <c r="L189" s="1512">
        <f t="shared" si="136"/>
        <v>0</v>
      </c>
      <c r="M189" s="1511">
        <f t="shared" si="163"/>
        <v>9993.1262895053915</v>
      </c>
      <c r="N189" s="1454">
        <f t="shared" ref="N189:N210" si="169">N188</f>
        <v>0.5</v>
      </c>
      <c r="O189" s="1511">
        <f t="shared" si="137"/>
        <v>751.91700000000026</v>
      </c>
      <c r="P189" s="1481">
        <f t="shared" si="166"/>
        <v>10745.043289505391</v>
      </c>
      <c r="Q189" s="1364">
        <f t="shared" si="138"/>
        <v>54647.351077422463</v>
      </c>
      <c r="R189" s="1364">
        <f t="shared" si="164"/>
        <v>34799.835656613999</v>
      </c>
      <c r="S189" s="1514">
        <f t="shared" si="139"/>
        <v>1.0051155989507035</v>
      </c>
      <c r="T189" s="135" t="str">
        <f t="shared" si="140"/>
        <v>No</v>
      </c>
      <c r="U189" s="1526">
        <f t="shared" si="141"/>
        <v>1</v>
      </c>
      <c r="V189" s="1494">
        <f t="shared" si="142"/>
        <v>59012.734459905667</v>
      </c>
      <c r="W189" s="1491">
        <f t="shared" si="134"/>
        <v>0.36976079216659063</v>
      </c>
      <c r="X189" s="527">
        <f t="shared" si="143"/>
        <v>20024.631369417235</v>
      </c>
      <c r="Y189" s="1509">
        <f t="shared" si="144"/>
        <v>16898.557587560812</v>
      </c>
      <c r="Z189" s="1531">
        <f t="shared" si="145"/>
        <v>3537.8044223284328</v>
      </c>
      <c r="AA189" s="1531">
        <f t="shared" si="146"/>
        <v>0</v>
      </c>
      <c r="AB189" s="1531">
        <f t="shared" si="147"/>
        <v>18551.741080599193</v>
      </c>
      <c r="AC189" s="1531">
        <f t="shared" si="148"/>
        <v>59012.734459905667</v>
      </c>
      <c r="AD189" s="1005">
        <f t="shared" si="149"/>
        <v>177.11594860877085</v>
      </c>
      <c r="AE189" s="1454">
        <f t="shared" si="150"/>
        <v>0.33932729185803678</v>
      </c>
      <c r="AF189" s="1504">
        <f t="shared" si="151"/>
        <v>0.28635442404455941</v>
      </c>
      <c r="AG189" s="1504">
        <f t="shared" si="152"/>
        <v>5.9949847345780627E-2</v>
      </c>
      <c r="AH189" s="1504">
        <f t="shared" si="165"/>
        <v>0</v>
      </c>
      <c r="AI189" s="1504">
        <f t="shared" si="153"/>
        <v>0.31436843675162324</v>
      </c>
      <c r="AJ189" s="1504">
        <f t="shared" si="154"/>
        <v>1.0000000000000002</v>
      </c>
      <c r="AK189" s="1555">
        <f t="shared" si="155"/>
        <v>20024.631369417239</v>
      </c>
      <c r="AL189" s="1556">
        <f t="shared" si="156"/>
        <v>0</v>
      </c>
      <c r="AM189" s="1556">
        <f t="shared" si="157"/>
        <v>0</v>
      </c>
      <c r="AN189" s="1556">
        <f t="shared" si="158"/>
        <v>20024.631369417239</v>
      </c>
      <c r="AO189" s="1543">
        <f t="shared" si="159"/>
        <v>0</v>
      </c>
    </row>
    <row r="190" spans="1:41">
      <c r="A190" s="100">
        <f>'Input data'!A130</f>
        <v>2030</v>
      </c>
      <c r="B190" s="1506">
        <f>'Input data'!B130</f>
        <v>68.525074762177482</v>
      </c>
      <c r="C190" s="1507">
        <f>'Input data'!C130</f>
        <v>5234.6499999999996</v>
      </c>
      <c r="D190" s="1507">
        <f>'Input data'!E130</f>
        <v>29783743.542171866</v>
      </c>
      <c r="E190" s="1508">
        <f>'Input data'!J130*C190</f>
        <v>62978.312990397841</v>
      </c>
      <c r="F190" s="1509">
        <f>'Input data'!L130</f>
        <v>92762.05653256971</v>
      </c>
      <c r="G190" s="1510">
        <f t="shared" si="168"/>
        <v>17794.324170380001</v>
      </c>
      <c r="H190" s="1509">
        <f t="shared" si="160"/>
        <v>46293.701692944283</v>
      </c>
      <c r="I190" s="1511">
        <f t="shared" si="135"/>
        <v>29783.743542171866</v>
      </c>
      <c r="J190" s="1504">
        <f>$H$19</f>
        <v>0.4</v>
      </c>
      <c r="K190" s="1512">
        <f t="shared" si="162"/>
        <v>10080.375354949685</v>
      </c>
      <c r="L190" s="1512">
        <f t="shared" si="136"/>
        <v>0</v>
      </c>
      <c r="M190" s="1511">
        <f t="shared" si="163"/>
        <v>10080.375354949685</v>
      </c>
      <c r="N190" s="1454">
        <f t="shared" si="169"/>
        <v>0.5</v>
      </c>
      <c r="O190" s="1511">
        <f t="shared" si="137"/>
        <v>751.91700000000026</v>
      </c>
      <c r="P190" s="1481">
        <f t="shared" si="166"/>
        <v>10832.292354949685</v>
      </c>
      <c r="Q190" s="1364">
        <f t="shared" si="138"/>
        <v>53255.7335083746</v>
      </c>
      <c r="R190" s="1364">
        <f t="shared" si="164"/>
        <v>35461.409337994599</v>
      </c>
      <c r="S190" s="1514">
        <f t="shared" si="139"/>
        <v>1.002145567591064</v>
      </c>
      <c r="T190" s="135" t="str">
        <f t="shared" si="140"/>
        <v>No</v>
      </c>
      <c r="U190" s="1526">
        <f t="shared" si="141"/>
        <v>1</v>
      </c>
      <c r="V190" s="1494">
        <f t="shared" si="142"/>
        <v>57376.569149498231</v>
      </c>
      <c r="W190" s="1491">
        <f t="shared" si="134"/>
        <v>0.38146510228185027</v>
      </c>
      <c r="X190" s="527">
        <f t="shared" si="143"/>
        <v>17870.246125303118</v>
      </c>
      <c r="Y190" s="1509">
        <f t="shared" si="144"/>
        <v>16956.68365743645</v>
      </c>
      <c r="Z190" s="1531">
        <f t="shared" si="145"/>
        <v>3597.8752829754594</v>
      </c>
      <c r="AA190" s="1531">
        <f t="shared" si="146"/>
        <v>0</v>
      </c>
      <c r="AB190" s="1531">
        <f t="shared" si="147"/>
        <v>18951.764083783208</v>
      </c>
      <c r="AC190" s="1531">
        <f t="shared" si="148"/>
        <v>57376.569149498231</v>
      </c>
      <c r="AD190" s="1005">
        <f t="shared" si="149"/>
        <v>75.921954923116573</v>
      </c>
      <c r="AE190" s="1454">
        <f t="shared" si="150"/>
        <v>0.311455466755795</v>
      </c>
      <c r="AF190" s="1504">
        <f t="shared" si="151"/>
        <v>0.29553324482080401</v>
      </c>
      <c r="AG190" s="1504">
        <f t="shared" si="152"/>
        <v>6.2706350977538766E-2</v>
      </c>
      <c r="AH190" s="1504">
        <f t="shared" si="165"/>
        <v>0</v>
      </c>
      <c r="AI190" s="1504">
        <f t="shared" si="153"/>
        <v>0.33030493744586231</v>
      </c>
      <c r="AJ190" s="1504">
        <f t="shared" si="154"/>
        <v>1</v>
      </c>
      <c r="AK190" s="1555">
        <f t="shared" si="155"/>
        <v>17870.246125303122</v>
      </c>
      <c r="AL190" s="1556">
        <f t="shared" si="156"/>
        <v>0</v>
      </c>
      <c r="AM190" s="1556">
        <f t="shared" si="157"/>
        <v>0</v>
      </c>
      <c r="AN190" s="1556">
        <f t="shared" si="158"/>
        <v>17870.246125303122</v>
      </c>
      <c r="AO190" s="1543">
        <f t="shared" si="159"/>
        <v>0</v>
      </c>
    </row>
    <row r="191" spans="1:41">
      <c r="A191" s="100">
        <f>'Input data'!A131</f>
        <v>2031</v>
      </c>
      <c r="B191" s="1506">
        <f>'Input data'!B131</f>
        <v>69.286388472916428</v>
      </c>
      <c r="C191" s="1507">
        <f>'Input data'!C131</f>
        <v>5365.4400000000005</v>
      </c>
      <c r="D191" s="1507">
        <f>'Input data'!E131</f>
        <v>28782558.928955987</v>
      </c>
      <c r="E191" s="1508">
        <f>'Input data'!J131*C191</f>
        <v>64551.853447928748</v>
      </c>
      <c r="F191" s="1509">
        <f>'Input data'!L131</f>
        <v>93334.412376884735</v>
      </c>
      <c r="G191" s="1510">
        <f t="shared" si="168"/>
        <v>15741.132919951538</v>
      </c>
      <c r="H191" s="1509">
        <f t="shared" si="160"/>
        <v>48310.237696745928</v>
      </c>
      <c r="I191" s="1511">
        <f t="shared" si="135"/>
        <v>28782.558928955987</v>
      </c>
      <c r="J191" s="1504">
        <f>J190</f>
        <v>0.4</v>
      </c>
      <c r="K191" s="1512">
        <f t="shared" si="162"/>
        <v>9741.5221585230465</v>
      </c>
      <c r="L191" s="1512">
        <f t="shared" si="136"/>
        <v>0</v>
      </c>
      <c r="M191" s="1511">
        <f t="shared" si="163"/>
        <v>9741.5221585230465</v>
      </c>
      <c r="N191" s="1454">
        <f t="shared" si="169"/>
        <v>0.5</v>
      </c>
      <c r="O191" s="1511">
        <f t="shared" si="137"/>
        <v>751.91700000000026</v>
      </c>
      <c r="P191" s="1481">
        <f t="shared" si="166"/>
        <v>10493.439158523046</v>
      </c>
      <c r="Q191" s="1364">
        <f t="shared" si="138"/>
        <v>53557.931458174418</v>
      </c>
      <c r="R191" s="1364">
        <f t="shared" si="164"/>
        <v>37816.79853822288</v>
      </c>
      <c r="S191" s="1514">
        <f t="shared" si="139"/>
        <v>1.0421182141303931</v>
      </c>
      <c r="T191" s="135" t="str">
        <f t="shared" si="140"/>
        <v>No</v>
      </c>
      <c r="U191" s="1526">
        <f t="shared" si="141"/>
        <v>1</v>
      </c>
      <c r="V191" s="1494">
        <f t="shared" si="142"/>
        <v>57046.016276083916</v>
      </c>
      <c r="W191" s="1491">
        <f t="shared" si="134"/>
        <v>0.38879974895291702</v>
      </c>
      <c r="X191" s="527">
        <f t="shared" si="143"/>
        <v>17269.535357373592</v>
      </c>
      <c r="Y191" s="1509">
        <f t="shared" si="144"/>
        <v>16682.216007101786</v>
      </c>
      <c r="Z191" s="1531">
        <f t="shared" si="145"/>
        <v>3668.9827846862445</v>
      </c>
      <c r="AA191" s="1531">
        <f t="shared" si="146"/>
        <v>0</v>
      </c>
      <c r="AB191" s="1531">
        <f t="shared" si="147"/>
        <v>19425.282126922295</v>
      </c>
      <c r="AC191" s="1531">
        <f t="shared" si="148"/>
        <v>57046.016276083916</v>
      </c>
      <c r="AD191" s="1005">
        <f t="shared" si="149"/>
        <v>1528.4024374220535</v>
      </c>
      <c r="AE191" s="1454">
        <f t="shared" si="150"/>
        <v>0.30272990972401531</v>
      </c>
      <c r="AF191" s="1504">
        <f t="shared" si="151"/>
        <v>0.29243437309216053</v>
      </c>
      <c r="AG191" s="1504">
        <f t="shared" si="152"/>
        <v>6.4316196365572259E-2</v>
      </c>
      <c r="AH191" s="1504">
        <f t="shared" si="165"/>
        <v>0</v>
      </c>
      <c r="AI191" s="1504">
        <f t="shared" si="153"/>
        <v>0.34051952081825193</v>
      </c>
      <c r="AJ191" s="1504">
        <f t="shared" si="154"/>
        <v>1</v>
      </c>
      <c r="AK191" s="1555">
        <f t="shared" si="155"/>
        <v>17269.535357373592</v>
      </c>
      <c r="AL191" s="1556">
        <f t="shared" si="156"/>
        <v>0</v>
      </c>
      <c r="AM191" s="1556">
        <f t="shared" si="157"/>
        <v>0</v>
      </c>
      <c r="AN191" s="1556">
        <f t="shared" si="158"/>
        <v>17269.535357373592</v>
      </c>
      <c r="AO191" s="1543">
        <f t="shared" si="159"/>
        <v>0</v>
      </c>
    </row>
    <row r="192" spans="1:41">
      <c r="A192" s="100">
        <f>'Input data'!A132</f>
        <v>2032</v>
      </c>
      <c r="B192" s="1506">
        <f>'Input data'!B132</f>
        <v>70.033051881823098</v>
      </c>
      <c r="C192" s="1507">
        <f>'Input data'!C132</f>
        <v>5502.3</v>
      </c>
      <c r="D192" s="1507">
        <f>'Input data'!E132</f>
        <v>27987384.812012181</v>
      </c>
      <c r="E192" s="1508">
        <f>'Input data'!J132*C192</f>
        <v>66198.422352414404</v>
      </c>
      <c r="F192" s="1509">
        <f>'Input data'!L132</f>
        <v>94185.807164426587</v>
      </c>
      <c r="G192" s="1510">
        <f>G177*(1-E6)</f>
        <v>13687.941669523079</v>
      </c>
      <c r="H192" s="1509">
        <f t="shared" si="160"/>
        <v>50562.008959453378</v>
      </c>
      <c r="I192" s="1511">
        <f t="shared" si="135"/>
        <v>27987.38481201218</v>
      </c>
      <c r="J192" s="1504">
        <f t="shared" ref="J192:J210" si="170">J191</f>
        <v>0.4</v>
      </c>
      <c r="K192" s="1512">
        <f t="shared" si="162"/>
        <v>9472.3936804328241</v>
      </c>
      <c r="L192" s="1512">
        <f t="shared" si="136"/>
        <v>0</v>
      </c>
      <c r="M192" s="1511">
        <f t="shared" si="163"/>
        <v>9472.3936804328241</v>
      </c>
      <c r="N192" s="1454">
        <f t="shared" si="169"/>
        <v>0.5</v>
      </c>
      <c r="O192" s="1511">
        <f t="shared" si="137"/>
        <v>751.91700000000026</v>
      </c>
      <c r="P192" s="1481">
        <f t="shared" si="166"/>
        <v>10224.310680432824</v>
      </c>
      <c r="Q192" s="1364">
        <f t="shared" si="138"/>
        <v>54025.639948543627</v>
      </c>
      <c r="R192" s="1364">
        <f t="shared" si="164"/>
        <v>40337.698279020551</v>
      </c>
      <c r="S192" s="1514">
        <f t="shared" si="139"/>
        <v>1.0833795768871288</v>
      </c>
      <c r="T192" s="135" t="str">
        <f t="shared" si="140"/>
        <v>No</v>
      </c>
      <c r="U192" s="1526">
        <f t="shared" si="141"/>
        <v>1</v>
      </c>
      <c r="V192" s="1494">
        <f t="shared" si="142"/>
        <v>56952.598103090262</v>
      </c>
      <c r="W192" s="1491">
        <f t="shared" si="134"/>
        <v>0.39531655758213946</v>
      </c>
      <c r="X192" s="527">
        <f t="shared" si="143"/>
        <v>16792.430887207309</v>
      </c>
      <c r="Y192" s="1509">
        <f t="shared" si="144"/>
        <v>16496.000537563257</v>
      </c>
      <c r="Z192" s="1531">
        <f t="shared" si="145"/>
        <v>3743.3904051781628</v>
      </c>
      <c r="AA192" s="1531">
        <f t="shared" si="146"/>
        <v>0</v>
      </c>
      <c r="AB192" s="1531">
        <f t="shared" si="147"/>
        <v>19920.776273141539</v>
      </c>
      <c r="AC192" s="1531">
        <f t="shared" si="148"/>
        <v>56952.598103090262</v>
      </c>
      <c r="AD192" s="1005">
        <f t="shared" si="149"/>
        <v>3104.4892176842295</v>
      </c>
      <c r="AE192" s="1454">
        <f t="shared" si="150"/>
        <v>0.29484925089477432</v>
      </c>
      <c r="AF192" s="1504">
        <f t="shared" si="151"/>
        <v>0.28964439001893716</v>
      </c>
      <c r="AG192" s="1504">
        <f t="shared" si="152"/>
        <v>6.5728176235300584E-2</v>
      </c>
      <c r="AH192" s="1504">
        <f t="shared" si="165"/>
        <v>0</v>
      </c>
      <c r="AI192" s="1504">
        <f t="shared" si="153"/>
        <v>0.349778182850988</v>
      </c>
      <c r="AJ192" s="1504">
        <f t="shared" si="154"/>
        <v>1</v>
      </c>
      <c r="AK192" s="1555">
        <f t="shared" si="155"/>
        <v>16792.430887207309</v>
      </c>
      <c r="AL192" s="1556">
        <f t="shared" si="156"/>
        <v>0</v>
      </c>
      <c r="AM192" s="1556">
        <f t="shared" si="157"/>
        <v>0</v>
      </c>
      <c r="AN192" s="1556">
        <f t="shared" si="158"/>
        <v>16792.430887207309</v>
      </c>
      <c r="AO192" s="1543">
        <f t="shared" si="159"/>
        <v>0</v>
      </c>
    </row>
    <row r="193" spans="1:41">
      <c r="A193" s="100">
        <f>'Input data'!A133</f>
        <v>2033</v>
      </c>
      <c r="B193" s="1506">
        <f>'Input data'!B133</f>
        <v>70.764404167450692</v>
      </c>
      <c r="C193" s="1507">
        <f>'Input data'!C133</f>
        <v>5663.260000000002</v>
      </c>
      <c r="D193" s="1507">
        <f>'Input data'!E133</f>
        <v>28989172.151095852</v>
      </c>
      <c r="E193" s="1508">
        <f>'Input data'!J133*C193</f>
        <v>68134.939456506283</v>
      </c>
      <c r="F193" s="1509">
        <f>'Input data'!L133</f>
        <v>97124.111607602128</v>
      </c>
      <c r="G193" s="1510">
        <f>G192</f>
        <v>13687.941669523079</v>
      </c>
      <c r="H193" s="1509">
        <f t="shared" si="160"/>
        <v>52613.325855088377</v>
      </c>
      <c r="I193" s="1511">
        <f t="shared" si="135"/>
        <v>28989.172151095852</v>
      </c>
      <c r="J193" s="1504">
        <f t="shared" si="170"/>
        <v>0.4</v>
      </c>
      <c r="K193" s="1512">
        <f t="shared" si="162"/>
        <v>9811.4508707924233</v>
      </c>
      <c r="L193" s="1512">
        <f t="shared" si="136"/>
        <v>0</v>
      </c>
      <c r="M193" s="1511">
        <f t="shared" si="163"/>
        <v>9811.4508707924233</v>
      </c>
      <c r="N193" s="1454">
        <f t="shared" si="169"/>
        <v>0.5</v>
      </c>
      <c r="O193" s="1511">
        <f t="shared" si="137"/>
        <v>751.91700000000026</v>
      </c>
      <c r="P193" s="1481">
        <f t="shared" si="166"/>
        <v>10563.367870792423</v>
      </c>
      <c r="Q193" s="1364">
        <f t="shared" si="138"/>
        <v>55737.899653819026</v>
      </c>
      <c r="R193" s="1364">
        <f t="shared" si="164"/>
        <v>42049.95798429595</v>
      </c>
      <c r="S193" s="1514">
        <f t="shared" si="139"/>
        <v>1.0966389348273706</v>
      </c>
      <c r="T193" s="135" t="str">
        <f t="shared" si="140"/>
        <v>No</v>
      </c>
      <c r="U193" s="1526">
        <f t="shared" si="141"/>
        <v>1</v>
      </c>
      <c r="V193" s="1494">
        <f t="shared" si="142"/>
        <v>58779.715244440624</v>
      </c>
      <c r="W193" s="1491">
        <f t="shared" si="134"/>
        <v>0.39479791092534633</v>
      </c>
      <c r="X193" s="527">
        <f t="shared" si="143"/>
        <v>17393.503290657511</v>
      </c>
      <c r="Y193" s="1509">
        <f t="shared" si="144"/>
        <v>17051.788163306242</v>
      </c>
      <c r="Z193" s="1531">
        <f t="shared" si="145"/>
        <v>3830.9006389526726</v>
      </c>
      <c r="AA193" s="1531">
        <f t="shared" si="146"/>
        <v>0</v>
      </c>
      <c r="AB193" s="1531">
        <f t="shared" si="147"/>
        <v>20503.523151524198</v>
      </c>
      <c r="AC193" s="1531">
        <f t="shared" si="148"/>
        <v>58779.715244440624</v>
      </c>
      <c r="AD193" s="1005">
        <f t="shared" si="149"/>
        <v>3705.5616211344313</v>
      </c>
      <c r="AE193" s="1454">
        <f t="shared" si="150"/>
        <v>0.29590996176699896</v>
      </c>
      <c r="AF193" s="1504">
        <f t="shared" si="151"/>
        <v>0.29009647447924647</v>
      </c>
      <c r="AG193" s="1504">
        <f t="shared" si="152"/>
        <v>6.5173855011402063E-2</v>
      </c>
      <c r="AH193" s="1504">
        <f t="shared" si="165"/>
        <v>0</v>
      </c>
      <c r="AI193" s="1504">
        <f t="shared" si="153"/>
        <v>0.34881970874235252</v>
      </c>
      <c r="AJ193" s="1504">
        <f t="shared" si="154"/>
        <v>1</v>
      </c>
      <c r="AK193" s="1555">
        <f t="shared" si="155"/>
        <v>17393.503290657514</v>
      </c>
      <c r="AL193" s="1556">
        <f t="shared" si="156"/>
        <v>0</v>
      </c>
      <c r="AM193" s="1556">
        <f t="shared" si="157"/>
        <v>0</v>
      </c>
      <c r="AN193" s="1556">
        <f t="shared" si="158"/>
        <v>17393.503290657514</v>
      </c>
      <c r="AO193" s="1543">
        <f t="shared" si="159"/>
        <v>0</v>
      </c>
    </row>
    <row r="194" spans="1:41">
      <c r="A194" s="100">
        <f>'Input data'!A134</f>
        <v>2034</v>
      </c>
      <c r="B194" s="1506">
        <f>'Input data'!B134</f>
        <v>71.479792486390252</v>
      </c>
      <c r="C194" s="1507">
        <f>'Input data'!C134</f>
        <v>5838.79</v>
      </c>
      <c r="D194" s="1507">
        <f>'Input data'!E134</f>
        <v>30478258.098855209</v>
      </c>
      <c r="E194" s="1508">
        <f>'Input data'!J134*C194</f>
        <v>70246.748895380792</v>
      </c>
      <c r="F194" s="1509">
        <f>'Input data'!L134</f>
        <v>100725.006994236</v>
      </c>
      <c r="G194" s="1510">
        <f t="shared" ref="G194:G210" si="171">G193</f>
        <v>13687.941669523079</v>
      </c>
      <c r="H194" s="1509">
        <f t="shared" si="160"/>
        <v>55222.533221748541</v>
      </c>
      <c r="I194" s="1511">
        <f t="shared" si="135"/>
        <v>30478.258098855207</v>
      </c>
      <c r="J194" s="1504">
        <f t="shared" si="170"/>
        <v>0.4</v>
      </c>
      <c r="K194" s="1512">
        <f t="shared" si="162"/>
        <v>10315.435377237738</v>
      </c>
      <c r="L194" s="1512">
        <f t="shared" si="136"/>
        <v>0</v>
      </c>
      <c r="M194" s="1511">
        <f t="shared" si="163"/>
        <v>10315.435377237738</v>
      </c>
      <c r="N194" s="1454">
        <f t="shared" si="169"/>
        <v>0.5</v>
      </c>
      <c r="O194" s="1511">
        <f t="shared" si="137"/>
        <v>751.91700000000026</v>
      </c>
      <c r="P194" s="1481">
        <f t="shared" si="166"/>
        <v>11067.352377237738</v>
      </c>
      <c r="Q194" s="1364">
        <f t="shared" si="138"/>
        <v>57843.122514033879</v>
      </c>
      <c r="R194" s="1364">
        <f t="shared" si="164"/>
        <v>44155.180844510804</v>
      </c>
      <c r="S194" s="1514">
        <f t="shared" si="139"/>
        <v>1.1162653882432207</v>
      </c>
      <c r="T194" s="135" t="str">
        <f t="shared" si="140"/>
        <v>No</v>
      </c>
      <c r="U194" s="1526">
        <f t="shared" si="141"/>
        <v>1</v>
      </c>
      <c r="V194" s="1494">
        <f t="shared" si="142"/>
        <v>61168.839339515267</v>
      </c>
      <c r="W194" s="1491">
        <f t="shared" si="134"/>
        <v>0.39271446917828801</v>
      </c>
      <c r="X194" s="527">
        <f t="shared" si="143"/>
        <v>18286.954859313122</v>
      </c>
      <c r="Y194" s="1509">
        <f t="shared" si="144"/>
        <v>17816.532316856574</v>
      </c>
      <c r="Z194" s="1531">
        <f t="shared" si="145"/>
        <v>3926.3322451557001</v>
      </c>
      <c r="AA194" s="1531">
        <f t="shared" si="146"/>
        <v>0</v>
      </c>
      <c r="AB194" s="1531">
        <f t="shared" si="147"/>
        <v>21139.019918189864</v>
      </c>
      <c r="AC194" s="1531">
        <f t="shared" si="148"/>
        <v>61168.839339515267</v>
      </c>
      <c r="AD194" s="1005">
        <f t="shared" si="149"/>
        <v>4599.0131897900428</v>
      </c>
      <c r="AE194" s="1454">
        <f t="shared" si="150"/>
        <v>0.29895867008056326</v>
      </c>
      <c r="AF194" s="1504">
        <f t="shared" si="151"/>
        <v>0.29126811149655141</v>
      </c>
      <c r="AG194" s="1504">
        <f t="shared" si="152"/>
        <v>6.418843789666738E-2</v>
      </c>
      <c r="AH194" s="1504">
        <f t="shared" si="165"/>
        <v>0</v>
      </c>
      <c r="AI194" s="1504">
        <f t="shared" si="153"/>
        <v>0.34558478052621783</v>
      </c>
      <c r="AJ194" s="1504">
        <f t="shared" si="154"/>
        <v>1</v>
      </c>
      <c r="AK194" s="1555">
        <f t="shared" si="155"/>
        <v>18286.954859313126</v>
      </c>
      <c r="AL194" s="1556">
        <f t="shared" si="156"/>
        <v>0</v>
      </c>
      <c r="AM194" s="1556">
        <f t="shared" si="157"/>
        <v>0</v>
      </c>
      <c r="AN194" s="1556">
        <f t="shared" si="158"/>
        <v>18286.954859313126</v>
      </c>
      <c r="AO194" s="1543">
        <f t="shared" si="159"/>
        <v>0</v>
      </c>
    </row>
    <row r="195" spans="1:41">
      <c r="A195" s="100">
        <f>'Input data'!A135</f>
        <v>2035</v>
      </c>
      <c r="B195" s="1506">
        <f>'Input data'!B135</f>
        <v>72.178572932855872</v>
      </c>
      <c r="C195" s="1507">
        <f>'Input data'!C135</f>
        <v>5978.8699999999981</v>
      </c>
      <c r="D195" s="1507">
        <f>'Input data'!E135</f>
        <v>23293526.984521989</v>
      </c>
      <c r="E195" s="1508">
        <f>'Input data'!J135*C195</f>
        <v>71932.057766784754</v>
      </c>
      <c r="F195" s="1509">
        <f>'Input data'!L135</f>
        <v>95225.584751306742</v>
      </c>
      <c r="G195" s="1510">
        <f t="shared" si="171"/>
        <v>13687.941669523079</v>
      </c>
      <c r="H195" s="1509">
        <f t="shared" si="160"/>
        <v>49447.048289288534</v>
      </c>
      <c r="I195" s="1511">
        <f t="shared" si="135"/>
        <v>23293.526984521988</v>
      </c>
      <c r="J195" s="1504">
        <f t="shared" si="170"/>
        <v>0.4</v>
      </c>
      <c r="K195" s="1512">
        <f t="shared" si="162"/>
        <v>7883.7468840059882</v>
      </c>
      <c r="L195" s="1512">
        <f t="shared" si="136"/>
        <v>0</v>
      </c>
      <c r="M195" s="1511">
        <f t="shared" si="163"/>
        <v>7883.7468840059882</v>
      </c>
      <c r="N195" s="1454">
        <f t="shared" si="169"/>
        <v>0.5</v>
      </c>
      <c r="O195" s="1511">
        <f t="shared" si="137"/>
        <v>751.91700000000026</v>
      </c>
      <c r="P195" s="1481">
        <f t="shared" si="166"/>
        <v>8635.6638840059877</v>
      </c>
      <c r="Q195" s="1364">
        <f t="shared" si="138"/>
        <v>54499.326074805627</v>
      </c>
      <c r="R195" s="1364">
        <f t="shared" si="164"/>
        <v>40811.384405282544</v>
      </c>
      <c r="S195" s="1514">
        <f t="shared" si="139"/>
        <v>1.0071113448814732</v>
      </c>
      <c r="T195" s="135" t="str">
        <f t="shared" si="140"/>
        <v>No</v>
      </c>
      <c r="U195" s="1526">
        <f t="shared" si="141"/>
        <v>1</v>
      </c>
      <c r="V195" s="1494">
        <f t="shared" si="142"/>
        <v>54702.374867214312</v>
      </c>
      <c r="W195" s="1491">
        <f t="shared" si="134"/>
        <v>0.42554960402631026</v>
      </c>
      <c r="X195" s="527">
        <f t="shared" si="143"/>
        <v>13976.116190713192</v>
      </c>
      <c r="Y195" s="1509">
        <f t="shared" si="144"/>
        <v>15077.596272903485</v>
      </c>
      <c r="Z195" s="1531">
        <f t="shared" si="145"/>
        <v>4002.4905052646268</v>
      </c>
      <c r="AA195" s="1531">
        <f t="shared" si="146"/>
        <v>0</v>
      </c>
      <c r="AB195" s="1531">
        <f t="shared" si="147"/>
        <v>21646.171898333007</v>
      </c>
      <c r="AC195" s="1531">
        <f t="shared" si="148"/>
        <v>54702.374867214312</v>
      </c>
      <c r="AD195" s="1005">
        <f t="shared" si="149"/>
        <v>288.1745211901125</v>
      </c>
      <c r="AE195" s="1454">
        <f t="shared" si="150"/>
        <v>0.25549377380121263</v>
      </c>
      <c r="AF195" s="1504">
        <f t="shared" si="151"/>
        <v>0.27562964696693987</v>
      </c>
      <c r="AG195" s="1504">
        <f t="shared" si="152"/>
        <v>7.3168496157257443E-2</v>
      </c>
      <c r="AH195" s="1504">
        <f t="shared" si="165"/>
        <v>0</v>
      </c>
      <c r="AI195" s="1504">
        <f t="shared" si="153"/>
        <v>0.39570808307459004</v>
      </c>
      <c r="AJ195" s="1504">
        <f t="shared" si="154"/>
        <v>1</v>
      </c>
      <c r="AK195" s="1555">
        <f t="shared" si="155"/>
        <v>13976.11619071319</v>
      </c>
      <c r="AL195" s="1556">
        <f t="shared" si="156"/>
        <v>0</v>
      </c>
      <c r="AM195" s="1556">
        <f t="shared" si="157"/>
        <v>0</v>
      </c>
      <c r="AN195" s="1556">
        <f t="shared" si="158"/>
        <v>13976.11619071319</v>
      </c>
      <c r="AO195" s="1543">
        <f t="shared" si="159"/>
        <v>0</v>
      </c>
    </row>
    <row r="196" spans="1:41">
      <c r="A196" s="100">
        <f>'Input data'!A136</f>
        <v>2036</v>
      </c>
      <c r="B196" s="1506">
        <f>'Input data'!B136</f>
        <v>72.865243718484663</v>
      </c>
      <c r="C196" s="1507">
        <f>'Input data'!C136</f>
        <v>6119.1299999999983</v>
      </c>
      <c r="D196" s="1507">
        <f>'Input data'!E136</f>
        <v>16814169.506355952</v>
      </c>
      <c r="E196" s="1508">
        <f>'Input data'!J136*C196</f>
        <v>73619.532226401585</v>
      </c>
      <c r="F196" s="1509">
        <f>'Input data'!L136</f>
        <v>90433.70173275753</v>
      </c>
      <c r="G196" s="1510">
        <f t="shared" si="171"/>
        <v>13687.941669523079</v>
      </c>
      <c r="H196" s="1509">
        <f t="shared" si="160"/>
        <v>44334.765470759972</v>
      </c>
      <c r="I196" s="1511">
        <f t="shared" si="135"/>
        <v>16814.169506355953</v>
      </c>
      <c r="J196" s="1504">
        <f t="shared" si="170"/>
        <v>0.4</v>
      </c>
      <c r="K196" s="1512">
        <f t="shared" si="162"/>
        <v>5690.7936930703718</v>
      </c>
      <c r="L196" s="1512">
        <f t="shared" si="136"/>
        <v>0</v>
      </c>
      <c r="M196" s="1511">
        <f t="shared" si="163"/>
        <v>5690.7936930703718</v>
      </c>
      <c r="N196" s="1454">
        <f t="shared" si="169"/>
        <v>0.5</v>
      </c>
      <c r="O196" s="1511">
        <f t="shared" si="137"/>
        <v>751.91700000000026</v>
      </c>
      <c r="P196" s="1481">
        <f t="shared" si="166"/>
        <v>6442.7106930703721</v>
      </c>
      <c r="Q196" s="1364">
        <f t="shared" si="138"/>
        <v>51579.996447212674</v>
      </c>
      <c r="R196" s="1364">
        <f t="shared" si="164"/>
        <v>37892.054777689598</v>
      </c>
      <c r="S196" s="1514">
        <f t="shared" si="139"/>
        <v>0.91324872752910058</v>
      </c>
      <c r="T196" s="135" t="str">
        <f t="shared" si="140"/>
        <v>Yes</v>
      </c>
      <c r="U196" s="1526">
        <f t="shared" si="141"/>
        <v>0.91324872752910058</v>
      </c>
      <c r="V196" s="1494">
        <f t="shared" si="142"/>
        <v>52541.646955067947</v>
      </c>
      <c r="W196" s="1491">
        <f t="shared" si="134"/>
        <v>0.41900369056731934</v>
      </c>
      <c r="X196" s="527">
        <f t="shared" si="143"/>
        <v>13687.941669523079</v>
      </c>
      <c r="Y196" s="1509">
        <f t="shared" si="144"/>
        <v>12620.983099695972</v>
      </c>
      <c r="Z196" s="1531">
        <f t="shared" si="145"/>
        <v>4078.7466272155002</v>
      </c>
      <c r="AA196" s="1531">
        <f t="shared" si="146"/>
        <v>0</v>
      </c>
      <c r="AB196" s="1531">
        <f t="shared" si="147"/>
        <v>22153.975558633399</v>
      </c>
      <c r="AC196" s="1531">
        <f t="shared" si="148"/>
        <v>52541.646955067947</v>
      </c>
      <c r="AD196" s="1005">
        <f t="shared" si="149"/>
        <v>0</v>
      </c>
      <c r="AE196" s="1454">
        <f t="shared" si="150"/>
        <v>0.26051603752026653</v>
      </c>
      <c r="AF196" s="1504">
        <f t="shared" si="151"/>
        <v>0.24020912611454798</v>
      </c>
      <c r="AG196" s="1504">
        <f t="shared" si="152"/>
        <v>7.7628830910144914E-2</v>
      </c>
      <c r="AH196" s="1504">
        <f t="shared" si="165"/>
        <v>0</v>
      </c>
      <c r="AI196" s="1504">
        <f t="shared" si="153"/>
        <v>0.42164600545504066</v>
      </c>
      <c r="AJ196" s="1504">
        <f t="shared" si="154"/>
        <v>1</v>
      </c>
      <c r="AK196" s="1555">
        <f t="shared" si="155"/>
        <v>10088.50170381357</v>
      </c>
      <c r="AL196" s="1556">
        <f t="shared" si="156"/>
        <v>3408.6005099278223</v>
      </c>
      <c r="AM196" s="1556">
        <f t="shared" si="157"/>
        <v>190.8394557816834</v>
      </c>
      <c r="AN196" s="1556">
        <f t="shared" si="158"/>
        <v>13687.941669523076</v>
      </c>
      <c r="AO196" s="1543">
        <f t="shared" si="159"/>
        <v>0</v>
      </c>
    </row>
    <row r="197" spans="1:41">
      <c r="A197" s="100">
        <f>'Input data'!A137</f>
        <v>2037</v>
      </c>
      <c r="B197" s="1506">
        <f>'Input data'!B137</f>
        <v>73.539326072165721</v>
      </c>
      <c r="C197" s="1507">
        <f>'Input data'!C137</f>
        <v>6283.2400000000007</v>
      </c>
      <c r="D197" s="1507">
        <f>'Input data'!E137</f>
        <v>17542322.49040458</v>
      </c>
      <c r="E197" s="1508">
        <f>'Input data'!J137*C197</f>
        <v>75593.947124217928</v>
      </c>
      <c r="F197" s="1509">
        <f>'Input data'!L137</f>
        <v>93136.269614622506</v>
      </c>
      <c r="G197" s="1510">
        <f t="shared" si="171"/>
        <v>13687.941669523079</v>
      </c>
      <c r="H197" s="1509">
        <f t="shared" si="160"/>
        <v>46151.035610975785</v>
      </c>
      <c r="I197" s="1511">
        <f t="shared" si="135"/>
        <v>17542.322490404578</v>
      </c>
      <c r="J197" s="1504">
        <f t="shared" si="170"/>
        <v>0.4</v>
      </c>
      <c r="K197" s="1512">
        <f t="shared" si="162"/>
        <v>5937.2387171703067</v>
      </c>
      <c r="L197" s="1512">
        <f t="shared" si="136"/>
        <v>0</v>
      </c>
      <c r="M197" s="1511">
        <f t="shared" si="163"/>
        <v>5937.2387171703067</v>
      </c>
      <c r="N197" s="1454">
        <f t="shared" si="169"/>
        <v>0.5</v>
      </c>
      <c r="O197" s="1511">
        <f t="shared" si="137"/>
        <v>751.91700000000026</v>
      </c>
      <c r="P197" s="1481">
        <f t="shared" si="166"/>
        <v>6689.1557171703071</v>
      </c>
      <c r="Q197" s="1364">
        <f t="shared" si="138"/>
        <v>53149.821563328558</v>
      </c>
      <c r="R197" s="1364">
        <f t="shared" si="164"/>
        <v>39461.879893805482</v>
      </c>
      <c r="S197" s="1514">
        <f t="shared" si="139"/>
        <v>0.92580432586322414</v>
      </c>
      <c r="T197" s="135" t="str">
        <f t="shared" si="140"/>
        <v>Yes</v>
      </c>
      <c r="U197" s="1526">
        <f t="shared" si="141"/>
        <v>0.92580432586322414</v>
      </c>
      <c r="V197" s="1494">
        <f t="shared" si="142"/>
        <v>53674.389720817031</v>
      </c>
      <c r="W197" s="1491">
        <f t="shared" si="134"/>
        <v>0.4237004558706301</v>
      </c>
      <c r="X197" s="527">
        <f t="shared" si="143"/>
        <v>13687.941669523079</v>
      </c>
      <c r="Y197" s="1509">
        <f t="shared" si="144"/>
        <v>13070.351768302207</v>
      </c>
      <c r="Z197" s="1531">
        <f t="shared" si="145"/>
        <v>4167.9694432240412</v>
      </c>
      <c r="AA197" s="1531">
        <f t="shared" si="146"/>
        <v>0</v>
      </c>
      <c r="AB197" s="1531">
        <f t="shared" si="147"/>
        <v>22748.126839767705</v>
      </c>
      <c r="AC197" s="1531">
        <f t="shared" si="148"/>
        <v>53674.389720817031</v>
      </c>
      <c r="AD197" s="1005">
        <f t="shared" si="149"/>
        <v>0</v>
      </c>
      <c r="AE197" s="1454">
        <f t="shared" si="150"/>
        <v>0.25501811461145241</v>
      </c>
      <c r="AF197" s="1504">
        <f t="shared" si="151"/>
        <v>0.24351188409009544</v>
      </c>
      <c r="AG197" s="1504">
        <f t="shared" si="152"/>
        <v>7.765285203806499E-2</v>
      </c>
      <c r="AH197" s="1504">
        <f t="shared" si="165"/>
        <v>0</v>
      </c>
      <c r="AI197" s="1504">
        <f t="shared" si="153"/>
        <v>0.42381714926038722</v>
      </c>
      <c r="AJ197" s="1504">
        <f t="shared" si="154"/>
        <v>1</v>
      </c>
      <c r="AK197" s="1555">
        <f t="shared" si="155"/>
        <v>10525.393494242746</v>
      </c>
      <c r="AL197" s="1556">
        <f t="shared" si="156"/>
        <v>2993.4554897775324</v>
      </c>
      <c r="AM197" s="1556">
        <f t="shared" si="157"/>
        <v>169.09268550280007</v>
      </c>
      <c r="AN197" s="1556">
        <f t="shared" si="158"/>
        <v>13687.941669523078</v>
      </c>
      <c r="AO197" s="1543">
        <f t="shared" si="159"/>
        <v>0</v>
      </c>
    </row>
    <row r="198" spans="1:41">
      <c r="A198" s="100">
        <f>'Input data'!A138</f>
        <v>2038</v>
      </c>
      <c r="B198" s="1506">
        <f>'Input data'!B138</f>
        <v>74.200346452615136</v>
      </c>
      <c r="C198" s="1507">
        <f>'Input data'!C138</f>
        <v>6443.4999999999982</v>
      </c>
      <c r="D198" s="1507">
        <f>'Input data'!E138</f>
        <v>14615640.739395874</v>
      </c>
      <c r="E198" s="1508">
        <f>'Input data'!J138*C198</f>
        <v>77522.042496370981</v>
      </c>
      <c r="F198" s="1509">
        <f>'Input data'!L138</f>
        <v>92137.683235766861</v>
      </c>
      <c r="G198" s="1510">
        <f t="shared" si="171"/>
        <v>13687.941669523079</v>
      </c>
      <c r="H198" s="1509">
        <f t="shared" si="160"/>
        <v>44510.839355407574</v>
      </c>
      <c r="I198" s="1511">
        <f t="shared" si="135"/>
        <v>14615.640739395874</v>
      </c>
      <c r="J198" s="1504">
        <f t="shared" si="170"/>
        <v>0.4</v>
      </c>
      <c r="K198" s="1512">
        <f t="shared" si="162"/>
        <v>4946.6966601291524</v>
      </c>
      <c r="L198" s="1512">
        <f t="shared" si="136"/>
        <v>0</v>
      </c>
      <c r="M198" s="1511">
        <f t="shared" si="163"/>
        <v>4946.6966601291524</v>
      </c>
      <c r="N198" s="1454">
        <f t="shared" si="169"/>
        <v>0.5</v>
      </c>
      <c r="O198" s="1511">
        <f t="shared" si="137"/>
        <v>751.91700000000026</v>
      </c>
      <c r="P198" s="1481">
        <f t="shared" si="166"/>
        <v>5698.6136601291528</v>
      </c>
      <c r="Q198" s="1364">
        <f t="shared" si="138"/>
        <v>52500.167364801498</v>
      </c>
      <c r="R198" s="1364">
        <f t="shared" si="164"/>
        <v>38812.225695278423</v>
      </c>
      <c r="S198" s="1514">
        <f t="shared" si="139"/>
        <v>0.88752643110111884</v>
      </c>
      <c r="T198" s="135" t="str">
        <f t="shared" si="140"/>
        <v>Yes</v>
      </c>
      <c r="U198" s="1526">
        <f t="shared" si="141"/>
        <v>0.88752643110111884</v>
      </c>
      <c r="V198" s="1494">
        <f t="shared" si="142"/>
        <v>53325.457540488445</v>
      </c>
      <c r="W198" s="1491">
        <f t="shared" si="134"/>
        <v>0.42124160638990238</v>
      </c>
      <c r="X198" s="527">
        <f t="shared" si="143"/>
        <v>13687.941669523076</v>
      </c>
      <c r="Y198" s="1509">
        <f t="shared" si="144"/>
        <v>12054.077361368847</v>
      </c>
      <c r="Z198" s="1531">
        <f t="shared" si="145"/>
        <v>4255.0991031687627</v>
      </c>
      <c r="AA198" s="1531">
        <f t="shared" si="146"/>
        <v>0</v>
      </c>
      <c r="AB198" s="1531">
        <f t="shared" si="147"/>
        <v>23328.33940642776</v>
      </c>
      <c r="AC198" s="1531">
        <f t="shared" si="148"/>
        <v>53325.457540488445</v>
      </c>
      <c r="AD198" s="1005">
        <f t="shared" si="149"/>
        <v>0</v>
      </c>
      <c r="AE198" s="1454">
        <f t="shared" si="150"/>
        <v>0.25668681153143835</v>
      </c>
      <c r="AF198" s="1504">
        <f t="shared" si="151"/>
        <v>0.22604733118729534</v>
      </c>
      <c r="AG198" s="1504">
        <f t="shared" si="152"/>
        <v>7.9794891585093133E-2</v>
      </c>
      <c r="AH198" s="1504">
        <f t="shared" si="165"/>
        <v>0</v>
      </c>
      <c r="AI198" s="1504">
        <f t="shared" si="153"/>
        <v>0.43747096569617316</v>
      </c>
      <c r="AJ198" s="1504">
        <f t="shared" si="154"/>
        <v>1</v>
      </c>
      <c r="AK198" s="1555">
        <f t="shared" si="155"/>
        <v>8769.3844436375221</v>
      </c>
      <c r="AL198" s="1556">
        <f t="shared" si="156"/>
        <v>4653.5338771562037</v>
      </c>
      <c r="AM198" s="1556">
        <f t="shared" si="157"/>
        <v>265.0233487293479</v>
      </c>
      <c r="AN198" s="1556">
        <f t="shared" si="158"/>
        <v>13687.941669523074</v>
      </c>
      <c r="AO198" s="1543">
        <f t="shared" si="159"/>
        <v>0</v>
      </c>
    </row>
    <row r="199" spans="1:41">
      <c r="A199" s="100">
        <f>'Input data'!A139</f>
        <v>2039</v>
      </c>
      <c r="B199" s="1506">
        <f>'Input data'!B139</f>
        <v>74.847837096563296</v>
      </c>
      <c r="C199" s="1507">
        <f>'Input data'!C139</f>
        <v>6615.260000000002</v>
      </c>
      <c r="D199" s="1507">
        <f>'Input data'!E139</f>
        <v>11688958.988387169</v>
      </c>
      <c r="E199" s="1508">
        <f>'Input data'!J139*C199</f>
        <v>79588.494893232477</v>
      </c>
      <c r="F199" s="1509">
        <f>'Input data'!L139</f>
        <v>91277.453881619644</v>
      </c>
      <c r="G199" s="1510">
        <f t="shared" si="171"/>
        <v>13687.941669523079</v>
      </c>
      <c r="H199" s="1509">
        <f t="shared" si="160"/>
        <v>42950.033345683027</v>
      </c>
      <c r="I199" s="1511">
        <f t="shared" si="135"/>
        <v>11688.958988387169</v>
      </c>
      <c r="J199" s="1504">
        <f t="shared" si="170"/>
        <v>0.4</v>
      </c>
      <c r="K199" s="1512">
        <f t="shared" si="162"/>
        <v>3956.1546030879963</v>
      </c>
      <c r="L199" s="1512">
        <f t="shared" si="136"/>
        <v>0</v>
      </c>
      <c r="M199" s="1511">
        <f t="shared" si="163"/>
        <v>3956.1546030879963</v>
      </c>
      <c r="N199" s="1454">
        <f t="shared" si="169"/>
        <v>0.5</v>
      </c>
      <c r="O199" s="1511">
        <f t="shared" si="137"/>
        <v>751.91700000000026</v>
      </c>
      <c r="P199" s="1481">
        <f t="shared" si="166"/>
        <v>4708.0716030879967</v>
      </c>
      <c r="Q199" s="1364">
        <f t="shared" si="138"/>
        <v>51929.903412118103</v>
      </c>
      <c r="R199" s="1364">
        <f t="shared" si="164"/>
        <v>38241.961742595027</v>
      </c>
      <c r="S199" s="1514">
        <f t="shared" si="139"/>
        <v>0.85140066316669361</v>
      </c>
      <c r="T199" s="135" t="str">
        <f t="shared" si="140"/>
        <v>Yes</v>
      </c>
      <c r="U199" s="1526">
        <f t="shared" si="141"/>
        <v>0.85140066316669361</v>
      </c>
      <c r="V199" s="1494">
        <f t="shared" si="142"/>
        <v>53035.492139024624</v>
      </c>
      <c r="W199" s="1491">
        <f t="shared" si="134"/>
        <v>0.41896394034163265</v>
      </c>
      <c r="X199" s="527">
        <f t="shared" si="143"/>
        <v>13687.941669523076</v>
      </c>
      <c r="Y199" s="1509">
        <f t="shared" si="144"/>
        <v>11048.882327796944</v>
      </c>
      <c r="Z199" s="1531">
        <f t="shared" si="145"/>
        <v>4348.4810474599535</v>
      </c>
      <c r="AA199" s="1531">
        <f t="shared" si="146"/>
        <v>0</v>
      </c>
      <c r="AB199" s="1531">
        <f t="shared" si="147"/>
        <v>23950.187094244651</v>
      </c>
      <c r="AC199" s="1531">
        <f t="shared" si="148"/>
        <v>53035.492139024624</v>
      </c>
      <c r="AD199" s="1005">
        <f t="shared" si="149"/>
        <v>0</v>
      </c>
      <c r="AE199" s="1454">
        <f t="shared" si="150"/>
        <v>0.25809021689932055</v>
      </c>
      <c r="AF199" s="1504">
        <f t="shared" si="151"/>
        <v>0.20832996701216516</v>
      </c>
      <c r="AG199" s="1504">
        <f t="shared" si="152"/>
        <v>8.1991905270928006E-2</v>
      </c>
      <c r="AH199" s="1504">
        <f t="shared" si="165"/>
        <v>0</v>
      </c>
      <c r="AI199" s="1504">
        <f t="shared" si="153"/>
        <v>0.45158791081758631</v>
      </c>
      <c r="AJ199" s="1504">
        <f t="shared" si="154"/>
        <v>1</v>
      </c>
      <c r="AK199" s="1555">
        <f t="shared" si="155"/>
        <v>7013.3753930323019</v>
      </c>
      <c r="AL199" s="1556">
        <f t="shared" si="156"/>
        <v>6312.1071171452149</v>
      </c>
      <c r="AM199" s="1556">
        <f t="shared" si="157"/>
        <v>362.45915934556035</v>
      </c>
      <c r="AN199" s="1556">
        <f t="shared" si="158"/>
        <v>13687.941669523078</v>
      </c>
      <c r="AO199" s="1543">
        <f t="shared" si="159"/>
        <v>0</v>
      </c>
    </row>
    <row r="200" spans="1:41">
      <c r="A200" s="100">
        <f>'Input data'!A140</f>
        <v>2040</v>
      </c>
      <c r="B200" s="1506">
        <f>'Input data'!B140</f>
        <v>75.481336564720067</v>
      </c>
      <c r="C200" s="1507">
        <f>'Input data'!C140</f>
        <v>6787.6000000000013</v>
      </c>
      <c r="D200" s="1507">
        <f>'Input data'!E140</f>
        <v>8762277.2373784631</v>
      </c>
      <c r="E200" s="1508">
        <f>'Input data'!J140*C200</f>
        <v>81661.925296557456</v>
      </c>
      <c r="F200" s="1509">
        <f>'Input data'!L140</f>
        <v>90424.202533935924</v>
      </c>
      <c r="G200" s="1510">
        <f t="shared" si="171"/>
        <v>13687.941669523079</v>
      </c>
      <c r="H200" s="1509">
        <f t="shared" si="160"/>
        <v>41393.231365748812</v>
      </c>
      <c r="I200" s="1511">
        <f t="shared" si="135"/>
        <v>8762.2772373784628</v>
      </c>
      <c r="J200" s="1504">
        <f t="shared" si="170"/>
        <v>0.4</v>
      </c>
      <c r="K200" s="1512">
        <f t="shared" si="162"/>
        <v>2965.6125460468411</v>
      </c>
      <c r="L200" s="1512">
        <f t="shared" si="136"/>
        <v>0</v>
      </c>
      <c r="M200" s="1511">
        <f t="shared" si="163"/>
        <v>2965.6125460468411</v>
      </c>
      <c r="N200" s="1454">
        <f t="shared" si="169"/>
        <v>0.5</v>
      </c>
      <c r="O200" s="1511">
        <f t="shared" si="137"/>
        <v>751.91700000000026</v>
      </c>
      <c r="P200" s="1481">
        <f t="shared" si="166"/>
        <v>3717.5295460468415</v>
      </c>
      <c r="Q200" s="1364">
        <f t="shared" si="138"/>
        <v>51363.643489225055</v>
      </c>
      <c r="R200" s="1364">
        <f t="shared" si="164"/>
        <v>37675.701819701979</v>
      </c>
      <c r="S200" s="1514">
        <f t="shared" si="139"/>
        <v>0.81714907711473095</v>
      </c>
      <c r="T200" s="135" t="str">
        <f t="shared" si="140"/>
        <v>Yes</v>
      </c>
      <c r="U200" s="1526">
        <f t="shared" si="141"/>
        <v>0.81714907711473095</v>
      </c>
      <c r="V200" s="1494">
        <f t="shared" si="142"/>
        <v>52748.500714233953</v>
      </c>
      <c r="W200" s="1491">
        <f t="shared" si="134"/>
        <v>0.41665506317915713</v>
      </c>
      <c r="X200" s="527">
        <f t="shared" si="143"/>
        <v>13687.941669523076</v>
      </c>
      <c r="Y200" s="1509">
        <f t="shared" si="144"/>
        <v>10044.246080011962</v>
      </c>
      <c r="Z200" s="1531">
        <f t="shared" si="145"/>
        <v>4442.1783243529617</v>
      </c>
      <c r="AA200" s="1531">
        <f t="shared" si="146"/>
        <v>0</v>
      </c>
      <c r="AB200" s="1531">
        <f t="shared" si="147"/>
        <v>24574.134640345954</v>
      </c>
      <c r="AC200" s="1531">
        <f t="shared" si="148"/>
        <v>52748.500714233953</v>
      </c>
      <c r="AD200" s="1005">
        <f t="shared" si="149"/>
        <v>0</v>
      </c>
      <c r="AE200" s="1454">
        <f t="shared" si="150"/>
        <v>0.25949442134247136</v>
      </c>
      <c r="AF200" s="1504">
        <f t="shared" si="151"/>
        <v>0.19041766010425329</v>
      </c>
      <c r="AG200" s="1504">
        <f t="shared" si="152"/>
        <v>8.4214304941453225E-2</v>
      </c>
      <c r="AH200" s="1504">
        <f t="shared" si="165"/>
        <v>0</v>
      </c>
      <c r="AI200" s="1504">
        <f t="shared" si="153"/>
        <v>0.46587361361182217</v>
      </c>
      <c r="AJ200" s="1504">
        <f t="shared" si="154"/>
        <v>1</v>
      </c>
      <c r="AK200" s="1555">
        <f t="shared" si="155"/>
        <v>5257.3663424270781</v>
      </c>
      <c r="AL200" s="1556">
        <f t="shared" si="156"/>
        <v>7969.3695979671247</v>
      </c>
      <c r="AM200" s="1556">
        <f t="shared" si="157"/>
        <v>461.20572912887332</v>
      </c>
      <c r="AN200" s="1556">
        <f t="shared" si="158"/>
        <v>13687.941669523076</v>
      </c>
      <c r="AO200" s="1543">
        <f t="shared" si="159"/>
        <v>0</v>
      </c>
    </row>
    <row r="201" spans="1:41">
      <c r="A201" s="100">
        <f>'Input data'!A141</f>
        <v>2041</v>
      </c>
      <c r="B201" s="1506">
        <f>'Input data'!B141</f>
        <v>76.101885632753024</v>
      </c>
      <c r="C201" s="1507">
        <f>'Input data'!C141</f>
        <v>6981.3799999999992</v>
      </c>
      <c r="D201" s="1507">
        <f>'Input data'!E141</f>
        <v>7249397.5356904445</v>
      </c>
      <c r="E201" s="1508">
        <f>'Input data'!J141*C201</f>
        <v>83993.301318121303</v>
      </c>
      <c r="F201" s="1509">
        <f>'Input data'!L141</f>
        <v>91242.698853811744</v>
      </c>
      <c r="G201" s="1510">
        <f t="shared" si="171"/>
        <v>13687.941669523079</v>
      </c>
      <c r="H201" s="1509">
        <f t="shared" si="160"/>
        <v>41311.226148429458</v>
      </c>
      <c r="I201" s="1511">
        <f t="shared" si="135"/>
        <v>7249.3975356904448</v>
      </c>
      <c r="J201" s="1504">
        <f t="shared" si="170"/>
        <v>0.4</v>
      </c>
      <c r="K201" s="1512">
        <f t="shared" si="162"/>
        <v>2453.5749897770611</v>
      </c>
      <c r="L201" s="1512">
        <f t="shared" si="136"/>
        <v>0</v>
      </c>
      <c r="M201" s="1511">
        <f t="shared" si="163"/>
        <v>2453.5749897770611</v>
      </c>
      <c r="N201" s="1454">
        <f t="shared" si="169"/>
        <v>0.5</v>
      </c>
      <c r="O201" s="1511">
        <f t="shared" si="137"/>
        <v>751.91700000000026</v>
      </c>
      <c r="P201" s="1481">
        <f t="shared" si="166"/>
        <v>3205.4919897770615</v>
      </c>
      <c r="Q201" s="1364">
        <f t="shared" si="138"/>
        <v>51793.675828175481</v>
      </c>
      <c r="R201" s="1364">
        <f t="shared" si="164"/>
        <v>38105.734158652398</v>
      </c>
      <c r="S201" s="1514">
        <f t="shared" si="139"/>
        <v>0.80317224928119635</v>
      </c>
      <c r="T201" s="135" t="str">
        <f t="shared" si="140"/>
        <v>Yes</v>
      </c>
      <c r="U201" s="1526">
        <f t="shared" si="141"/>
        <v>0.80317224928119635</v>
      </c>
      <c r="V201" s="1494">
        <f t="shared" si="142"/>
        <v>53136.964695159368</v>
      </c>
      <c r="W201" s="1491">
        <f t="shared" si="134"/>
        <v>0.41763050235619459</v>
      </c>
      <c r="X201" s="527">
        <f t="shared" si="143"/>
        <v>13687.941669523083</v>
      </c>
      <c r="Y201" s="1509">
        <f t="shared" si="144"/>
        <v>9625.7864575960848</v>
      </c>
      <c r="Z201" s="1531">
        <f t="shared" si="145"/>
        <v>4547.532033975378</v>
      </c>
      <c r="AA201" s="1531">
        <f t="shared" si="146"/>
        <v>0</v>
      </c>
      <c r="AB201" s="1531">
        <f t="shared" si="147"/>
        <v>25275.704534064822</v>
      </c>
      <c r="AC201" s="1531">
        <f t="shared" si="148"/>
        <v>53136.964695159368</v>
      </c>
      <c r="AD201" s="1005">
        <f t="shared" si="149"/>
        <v>0</v>
      </c>
      <c r="AE201" s="1454">
        <f t="shared" si="150"/>
        <v>0.25759735709499448</v>
      </c>
      <c r="AF201" s="1504">
        <f t="shared" si="151"/>
        <v>0.18115047618579855</v>
      </c>
      <c r="AG201" s="1504">
        <f t="shared" si="152"/>
        <v>8.558132855468964E-2</v>
      </c>
      <c r="AH201" s="1504">
        <f t="shared" si="165"/>
        <v>0</v>
      </c>
      <c r="AI201" s="1504">
        <f t="shared" si="153"/>
        <v>0.47567083816451733</v>
      </c>
      <c r="AJ201" s="1504">
        <f t="shared" si="154"/>
        <v>1</v>
      </c>
      <c r="AK201" s="1555">
        <f t="shared" si="155"/>
        <v>4349.6385214142665</v>
      </c>
      <c r="AL201" s="1556">
        <f t="shared" si="156"/>
        <v>8823.4449025006761</v>
      </c>
      <c r="AM201" s="1556">
        <f t="shared" si="157"/>
        <v>514.85824560813717</v>
      </c>
      <c r="AN201" s="1556">
        <f t="shared" si="158"/>
        <v>13687.941669523079</v>
      </c>
      <c r="AO201" s="1543">
        <f t="shared" si="159"/>
        <v>0</v>
      </c>
    </row>
    <row r="202" spans="1:41">
      <c r="A202" s="100">
        <f>'Input data'!A142</f>
        <v>2042</v>
      </c>
      <c r="B202" s="1506">
        <f>'Input data'!B142</f>
        <v>76.709073592680113</v>
      </c>
      <c r="C202" s="1507">
        <f>'Input data'!C142</f>
        <v>7178.2100000000019</v>
      </c>
      <c r="D202" s="1507">
        <f>'Input data'!E142</f>
        <v>5736517.8340024278</v>
      </c>
      <c r="E202" s="1508">
        <f>'Input data'!J142*C202</f>
        <v>86361.372028846978</v>
      </c>
      <c r="F202" s="1509">
        <f>'Input data'!L142</f>
        <v>92097.889862849406</v>
      </c>
      <c r="G202" s="1510">
        <f t="shared" si="171"/>
        <v>13687.941669523079</v>
      </c>
      <c r="H202" s="1509">
        <f t="shared" si="160"/>
        <v>41250.276605007777</v>
      </c>
      <c r="I202" s="1511">
        <f t="shared" si="135"/>
        <v>5736.5178340024277</v>
      </c>
      <c r="J202" s="1504">
        <f t="shared" si="170"/>
        <v>0.4</v>
      </c>
      <c r="K202" s="1512">
        <f t="shared" si="162"/>
        <v>1941.5374335072811</v>
      </c>
      <c r="L202" s="1512">
        <f t="shared" si="136"/>
        <v>0</v>
      </c>
      <c r="M202" s="1511">
        <f t="shared" si="163"/>
        <v>1941.5374335072811</v>
      </c>
      <c r="N202" s="1454">
        <f t="shared" si="169"/>
        <v>0.5</v>
      </c>
      <c r="O202" s="1511">
        <f t="shared" si="137"/>
        <v>751.91700000000026</v>
      </c>
      <c r="P202" s="1481">
        <f t="shared" si="166"/>
        <v>2693.4544335072815</v>
      </c>
      <c r="Q202" s="1364">
        <f t="shared" si="138"/>
        <v>52244.763841023581</v>
      </c>
      <c r="R202" s="1364">
        <f t="shared" si="164"/>
        <v>38556.822171500506</v>
      </c>
      <c r="S202" s="1514">
        <f t="shared" si="139"/>
        <v>0.79005262377594254</v>
      </c>
      <c r="T202" s="135" t="str">
        <f t="shared" si="140"/>
        <v>Yes</v>
      </c>
      <c r="U202" s="1526">
        <f t="shared" si="141"/>
        <v>0.79005262377594254</v>
      </c>
      <c r="V202" s="1494">
        <f t="shared" si="142"/>
        <v>53541.067691348915</v>
      </c>
      <c r="W202" s="1491">
        <f t="shared" si="134"/>
        <v>0.41865044062267498</v>
      </c>
      <c r="X202" s="527">
        <f t="shared" si="143"/>
        <v>13687.941669523074</v>
      </c>
      <c r="Y202" s="1509">
        <f t="shared" si="144"/>
        <v>9210.2652776804243</v>
      </c>
      <c r="Z202" s="1531">
        <f t="shared" si="145"/>
        <v>4654.5439581418577</v>
      </c>
      <c r="AA202" s="1531">
        <f t="shared" si="146"/>
        <v>0</v>
      </c>
      <c r="AB202" s="1531">
        <f t="shared" si="147"/>
        <v>25988.316786003554</v>
      </c>
      <c r="AC202" s="1531">
        <f t="shared" si="148"/>
        <v>53541.067691348915</v>
      </c>
      <c r="AD202" s="1005">
        <f t="shared" si="149"/>
        <v>0</v>
      </c>
      <c r="AE202" s="1454">
        <f t="shared" si="150"/>
        <v>0.25565313244088989</v>
      </c>
      <c r="AF202" s="1504">
        <f t="shared" si="151"/>
        <v>0.1720224432350759</v>
      </c>
      <c r="AG202" s="1504">
        <f t="shared" si="152"/>
        <v>8.6934089267217435E-2</v>
      </c>
      <c r="AH202" s="1504">
        <f t="shared" si="165"/>
        <v>0</v>
      </c>
      <c r="AI202" s="1504">
        <f t="shared" si="153"/>
        <v>0.48539033505681672</v>
      </c>
      <c r="AJ202" s="1504">
        <f t="shared" si="154"/>
        <v>1</v>
      </c>
      <c r="AK202" s="1555">
        <f t="shared" si="155"/>
        <v>3441.9107004014568</v>
      </c>
      <c r="AL202" s="1556">
        <f t="shared" si="156"/>
        <v>9676.9206996863068</v>
      </c>
      <c r="AM202" s="1556">
        <f t="shared" si="157"/>
        <v>569.11026943530908</v>
      </c>
      <c r="AN202" s="1556">
        <f t="shared" si="158"/>
        <v>13687.941669523072</v>
      </c>
      <c r="AO202" s="1543">
        <f t="shared" si="159"/>
        <v>0</v>
      </c>
    </row>
    <row r="203" spans="1:41">
      <c r="A203" s="100">
        <f>'Input data'!A143</f>
        <v>2043</v>
      </c>
      <c r="B203" s="1506">
        <f>'Input data'!B143</f>
        <v>77.302495984815266</v>
      </c>
      <c r="C203" s="1507">
        <f>'Input data'!C143</f>
        <v>7380.12</v>
      </c>
      <c r="D203" s="1507">
        <f>'Input data'!E143</f>
        <v>4223638.132314411</v>
      </c>
      <c r="E203" s="1508">
        <f>'Input data'!J143*C203</f>
        <v>88790.560451356811</v>
      </c>
      <c r="F203" s="1509">
        <f>'Input data'!L143</f>
        <v>93014.198583671227</v>
      </c>
      <c r="G203" s="1510">
        <f t="shared" si="171"/>
        <v>13687.941669523079</v>
      </c>
      <c r="H203" s="1509">
        <f t="shared" si="160"/>
        <v>41224.396839750043</v>
      </c>
      <c r="I203" s="1511">
        <f t="shared" si="135"/>
        <v>4223.6381323144105</v>
      </c>
      <c r="J203" s="1504">
        <f t="shared" si="170"/>
        <v>0.4</v>
      </c>
      <c r="K203" s="1512">
        <f t="shared" si="162"/>
        <v>1429.4998772375013</v>
      </c>
      <c r="L203" s="1512">
        <f t="shared" si="136"/>
        <v>0</v>
      </c>
      <c r="M203" s="1511">
        <f t="shared" si="163"/>
        <v>1429.4998772375013</v>
      </c>
      <c r="N203" s="1454">
        <f t="shared" si="169"/>
        <v>0.5</v>
      </c>
      <c r="O203" s="1511">
        <f t="shared" si="137"/>
        <v>751.91700000000026</v>
      </c>
      <c r="P203" s="1481">
        <f t="shared" si="166"/>
        <v>2181.4168772375015</v>
      </c>
      <c r="Q203" s="1364">
        <f t="shared" si="138"/>
        <v>52730.921632035621</v>
      </c>
      <c r="R203" s="1364">
        <f t="shared" si="164"/>
        <v>39042.979962512545</v>
      </c>
      <c r="S203" s="1514">
        <f t="shared" si="139"/>
        <v>0.77779913461915351</v>
      </c>
      <c r="T203" s="135" t="str">
        <f t="shared" si="140"/>
        <v>Yes</v>
      </c>
      <c r="U203" s="1526">
        <f t="shared" si="141"/>
        <v>0.77779913461915351</v>
      </c>
      <c r="V203" s="1494">
        <f t="shared" si="142"/>
        <v>53971.218621158681</v>
      </c>
      <c r="W203" s="1491">
        <f t="shared" si="134"/>
        <v>0.41975290393317</v>
      </c>
      <c r="X203" s="527">
        <f t="shared" si="143"/>
        <v>13687.941669523076</v>
      </c>
      <c r="Y203" s="1509">
        <f t="shared" si="144"/>
        <v>8799.6382905192077</v>
      </c>
      <c r="Z203" s="1531">
        <f t="shared" si="145"/>
        <v>4764.3177609587738</v>
      </c>
      <c r="AA203" s="1531">
        <f t="shared" si="146"/>
        <v>0</v>
      </c>
      <c r="AB203" s="1531">
        <f t="shared" si="147"/>
        <v>26719.320900157629</v>
      </c>
      <c r="AC203" s="1531">
        <f t="shared" si="148"/>
        <v>53971.218621158681</v>
      </c>
      <c r="AD203" s="1005">
        <f t="shared" si="149"/>
        <v>0</v>
      </c>
      <c r="AE203" s="1454">
        <f t="shared" si="150"/>
        <v>0.25361557547186647</v>
      </c>
      <c r="AF203" s="1504">
        <f t="shared" si="151"/>
        <v>0.1630431647705918</v>
      </c>
      <c r="AG203" s="1504">
        <f t="shared" si="152"/>
        <v>8.8275156327320498E-2</v>
      </c>
      <c r="AH203" s="1504">
        <f t="shared" si="165"/>
        <v>0</v>
      </c>
      <c r="AI203" s="1504">
        <f t="shared" si="153"/>
        <v>0.49506610343022128</v>
      </c>
      <c r="AJ203" s="1504">
        <f t="shared" si="154"/>
        <v>1</v>
      </c>
      <c r="AK203" s="1555">
        <f t="shared" si="155"/>
        <v>2534.1828793886461</v>
      </c>
      <c r="AL203" s="1556">
        <f t="shared" si="156"/>
        <v>10529.790741278357</v>
      </c>
      <c r="AM203" s="1556">
        <f t="shared" si="157"/>
        <v>623.96804885607298</v>
      </c>
      <c r="AN203" s="1556">
        <f t="shared" si="158"/>
        <v>13687.941669523076</v>
      </c>
      <c r="AO203" s="1543">
        <f t="shared" si="159"/>
        <v>0</v>
      </c>
    </row>
    <row r="204" spans="1:41">
      <c r="A204" s="100">
        <f>'Input data'!A144</f>
        <v>2044</v>
      </c>
      <c r="B204" s="1506">
        <f>'Input data'!B144</f>
        <v>77.881755043150378</v>
      </c>
      <c r="C204" s="1507">
        <f>'Input data'!C144</f>
        <v>7589.87</v>
      </c>
      <c r="D204" s="1507">
        <f>'Input data'!E144</f>
        <v>2710758.4306263938</v>
      </c>
      <c r="E204" s="1508">
        <f>'Input data'!J144*C204</f>
        <v>91314.072271580881</v>
      </c>
      <c r="F204" s="1509">
        <f>'Input data'!L144</f>
        <v>94024.830702207269</v>
      </c>
      <c r="G204" s="1510">
        <f t="shared" si="171"/>
        <v>13687.941669523079</v>
      </c>
      <c r="H204" s="1509">
        <f t="shared" si="160"/>
        <v>41252.640511658756</v>
      </c>
      <c r="I204" s="1511">
        <f t="shared" si="135"/>
        <v>2710.7584306263939</v>
      </c>
      <c r="J204" s="1504">
        <f t="shared" si="170"/>
        <v>0.4</v>
      </c>
      <c r="K204" s="1512">
        <f t="shared" si="162"/>
        <v>917.46232096772155</v>
      </c>
      <c r="L204" s="1512">
        <f t="shared" si="136"/>
        <v>0</v>
      </c>
      <c r="M204" s="1511">
        <f t="shared" si="163"/>
        <v>917.46232096772155</v>
      </c>
      <c r="N204" s="1454">
        <f t="shared" si="169"/>
        <v>0.5</v>
      </c>
      <c r="O204" s="1511">
        <f t="shared" si="137"/>
        <v>751.91700000000026</v>
      </c>
      <c r="P204" s="1481">
        <f t="shared" si="166"/>
        <v>1669.3793209677219</v>
      </c>
      <c r="Q204" s="1364">
        <f t="shared" si="138"/>
        <v>53271.202860214107</v>
      </c>
      <c r="R204" s="1364">
        <f t="shared" si="164"/>
        <v>39583.261190691032</v>
      </c>
      <c r="S204" s="1514">
        <f t="shared" si="139"/>
        <v>0.76645279288752932</v>
      </c>
      <c r="T204" s="135" t="str">
        <f t="shared" si="140"/>
        <v>Yes</v>
      </c>
      <c r="U204" s="1526">
        <f t="shared" si="141"/>
        <v>0.76645279288752932</v>
      </c>
      <c r="V204" s="1494">
        <f t="shared" si="142"/>
        <v>54441.569511516253</v>
      </c>
      <c r="W204" s="1491">
        <f>(1-V204/F204)</f>
        <v>0.42098731680845014</v>
      </c>
      <c r="X204" s="527">
        <f t="shared" si="143"/>
        <v>13687.941669523074</v>
      </c>
      <c r="Y204" s="1509">
        <f t="shared" si="144"/>
        <v>8396.5645457191931</v>
      </c>
      <c r="Z204" s="1531">
        <f t="shared" si="145"/>
        <v>4878.3539906692804</v>
      </c>
      <c r="AA204" s="1531">
        <f t="shared" si="146"/>
        <v>0</v>
      </c>
      <c r="AB204" s="1531">
        <f t="shared" si="147"/>
        <v>27478.709305604705</v>
      </c>
      <c r="AC204" s="1531">
        <f t="shared" si="148"/>
        <v>54441.569511516253</v>
      </c>
      <c r="AD204" s="1005">
        <f t="shared" si="149"/>
        <v>0</v>
      </c>
      <c r="AE204" s="1454">
        <f t="shared" si="150"/>
        <v>0.25142444996240615</v>
      </c>
      <c r="AF204" s="1504">
        <f t="shared" si="151"/>
        <v>0.15423075824334992</v>
      </c>
      <c r="AG204" s="1504">
        <f t="shared" si="152"/>
        <v>8.9607151932630122E-2</v>
      </c>
      <c r="AH204" s="1504">
        <f t="shared" si="165"/>
        <v>0</v>
      </c>
      <c r="AI204" s="1504">
        <f t="shared" si="153"/>
        <v>0.5047376398616138</v>
      </c>
      <c r="AJ204" s="1504">
        <f t="shared" si="154"/>
        <v>1</v>
      </c>
      <c r="AK204" s="1555">
        <f t="shared" si="155"/>
        <v>1626.455058375836</v>
      </c>
      <c r="AL204" s="1556">
        <f t="shared" si="156"/>
        <v>11382.026345084732</v>
      </c>
      <c r="AM204" s="1556">
        <f t="shared" si="157"/>
        <v>679.46026606250325</v>
      </c>
      <c r="AN204" s="1556">
        <f t="shared" si="158"/>
        <v>13687.941669523072</v>
      </c>
      <c r="AO204" s="1543">
        <f t="shared" si="159"/>
        <v>0</v>
      </c>
    </row>
    <row r="205" spans="1:41">
      <c r="A205" s="100">
        <f>'Input data'!A145</f>
        <v>2045</v>
      </c>
      <c r="B205" s="1506">
        <f>'Input data'!B145</f>
        <v>78.446460136387472</v>
      </c>
      <c r="C205" s="1507">
        <f>'Input data'!C145</f>
        <v>7808.4800000000005</v>
      </c>
      <c r="D205" s="1507">
        <f>'Input data'!E145</f>
        <v>1197878.7289383768</v>
      </c>
      <c r="E205" s="1508">
        <f>'Input data'!J145*C205</f>
        <v>93944.179156058526</v>
      </c>
      <c r="F205" s="1509">
        <f>'Input data'!L145</f>
        <v>95142.057884996902</v>
      </c>
      <c r="G205" s="1510">
        <f t="shared" si="171"/>
        <v>13687.941669523079</v>
      </c>
      <c r="H205" s="1509">
        <f t="shared" si="160"/>
        <v>41342.049190365244</v>
      </c>
      <c r="I205" s="1511">
        <f t="shared" si="135"/>
        <v>1197.8787289383768</v>
      </c>
      <c r="J205" s="1504">
        <f t="shared" si="170"/>
        <v>0.4</v>
      </c>
      <c r="K205" s="1512">
        <f t="shared" si="162"/>
        <v>405.42476469794167</v>
      </c>
      <c r="L205" s="1512">
        <f t="shared" si="136"/>
        <v>0</v>
      </c>
      <c r="M205" s="1511">
        <f t="shared" si="163"/>
        <v>405.42476469794167</v>
      </c>
      <c r="N205" s="1454">
        <f t="shared" si="169"/>
        <v>0.5</v>
      </c>
      <c r="O205" s="1511">
        <f t="shared" si="137"/>
        <v>751.91700000000026</v>
      </c>
      <c r="P205" s="1481">
        <f t="shared" si="166"/>
        <v>1157.3417646979419</v>
      </c>
      <c r="Q205" s="1364">
        <f t="shared" si="138"/>
        <v>53872.649095190383</v>
      </c>
      <c r="R205" s="1364">
        <f t="shared" si="164"/>
        <v>40184.707425667308</v>
      </c>
      <c r="S205" s="1514">
        <f t="shared" si="139"/>
        <v>0.75600644357251268</v>
      </c>
      <c r="T205" s="135" t="str">
        <f t="shared" si="140"/>
        <v>Yes</v>
      </c>
      <c r="U205" s="1526">
        <f t="shared" si="141"/>
        <v>0.75600644357251268</v>
      </c>
      <c r="V205" s="1494">
        <f t="shared" si="142"/>
        <v>54957.350459329609</v>
      </c>
      <c r="W205" s="1491">
        <f t="shared" si="134"/>
        <v>0.42236533788496167</v>
      </c>
      <c r="X205" s="527">
        <f t="shared" si="143"/>
        <v>13687.941669523078</v>
      </c>
      <c r="Y205" s="1509">
        <f t="shared" si="144"/>
        <v>8002.0267355263504</v>
      </c>
      <c r="Z205" s="1531">
        <f t="shared" si="145"/>
        <v>4997.2071977110627</v>
      </c>
      <c r="AA205" s="1531">
        <f t="shared" si="146"/>
        <v>0</v>
      </c>
      <c r="AB205" s="1531">
        <f t="shared" si="147"/>
        <v>28270.174856569116</v>
      </c>
      <c r="AC205" s="1531">
        <f t="shared" si="148"/>
        <v>54957.350459329609</v>
      </c>
      <c r="AD205" s="1005">
        <f t="shared" si="149"/>
        <v>0</v>
      </c>
      <c r="AE205" s="1454">
        <f t="shared" si="150"/>
        <v>0.24906480307220488</v>
      </c>
      <c r="AF205" s="1504">
        <f t="shared" si="151"/>
        <v>0.14560430349436396</v>
      </c>
      <c r="AG205" s="1504">
        <f t="shared" si="152"/>
        <v>9.0928823095450598E-2</v>
      </c>
      <c r="AH205" s="1504">
        <f t="shared" si="165"/>
        <v>0</v>
      </c>
      <c r="AI205" s="1504">
        <f t="shared" si="153"/>
        <v>0.51440207033798058</v>
      </c>
      <c r="AJ205" s="1504">
        <f t="shared" si="154"/>
        <v>1</v>
      </c>
      <c r="AK205" s="1555">
        <f t="shared" si="155"/>
        <v>718.72723736302589</v>
      </c>
      <c r="AL205" s="1556">
        <f t="shared" si="156"/>
        <v>12233.632515151823</v>
      </c>
      <c r="AM205" s="1556">
        <f t="shared" si="157"/>
        <v>735.58191700822488</v>
      </c>
      <c r="AN205" s="1556">
        <f t="shared" si="158"/>
        <v>13687.941669523074</v>
      </c>
      <c r="AO205" s="1543">
        <f t="shared" si="159"/>
        <v>0</v>
      </c>
    </row>
    <row r="206" spans="1:41">
      <c r="A206" s="100">
        <f>'Input data'!A146</f>
        <v>2046</v>
      </c>
      <c r="B206" s="1506">
        <f>'Input data'!B146</f>
        <v>78.997842335977523</v>
      </c>
      <c r="C206" s="1507">
        <f>'Input data'!C146</f>
        <v>8042.25</v>
      </c>
      <c r="D206" s="1507">
        <f>'Input data'!E146</f>
        <v>1000767.4916723419</v>
      </c>
      <c r="E206" s="1508">
        <f>'Input data'!J146*C206</f>
        <v>96756.67669223866</v>
      </c>
      <c r="F206" s="1509">
        <f>'Input data'!L146</f>
        <v>97757.444183911008</v>
      </c>
      <c r="G206" s="1510">
        <f t="shared" si="171"/>
        <v>13687.941669523079</v>
      </c>
      <c r="H206" s="1509">
        <f t="shared" si="160"/>
        <v>42770.900814514534</v>
      </c>
      <c r="I206" s="1511">
        <f t="shared" si="135"/>
        <v>1000.767491672342</v>
      </c>
      <c r="J206" s="1504">
        <f t="shared" si="170"/>
        <v>0.4</v>
      </c>
      <c r="K206" s="1512">
        <f t="shared" si="162"/>
        <v>338.71202069694738</v>
      </c>
      <c r="L206" s="1512">
        <f t="shared" si="136"/>
        <v>0</v>
      </c>
      <c r="M206" s="1511">
        <f t="shared" si="163"/>
        <v>338.71202069694738</v>
      </c>
      <c r="N206" s="1454">
        <f t="shared" si="169"/>
        <v>0.5</v>
      </c>
      <c r="O206" s="1511">
        <f t="shared" si="137"/>
        <v>751.91700000000026</v>
      </c>
      <c r="P206" s="1481">
        <f t="shared" si="166"/>
        <v>1090.6290206969477</v>
      </c>
      <c r="Q206" s="1364">
        <f t="shared" si="138"/>
        <v>55368.21346334066</v>
      </c>
      <c r="R206" s="1364">
        <f t="shared" si="164"/>
        <v>41680.271793817577</v>
      </c>
      <c r="S206" s="1514">
        <f t="shared" si="139"/>
        <v>0.76103673301904662</v>
      </c>
      <c r="T206" s="135" t="str">
        <f t="shared" si="140"/>
        <v>Yes</v>
      </c>
      <c r="U206" s="1526">
        <f t="shared" si="141"/>
        <v>0.76103673301904662</v>
      </c>
      <c r="V206" s="1494">
        <f t="shared" si="142"/>
        <v>56077.17239009343</v>
      </c>
      <c r="W206" s="1491">
        <f t="shared" si="134"/>
        <v>0.4263641724859798</v>
      </c>
      <c r="X206" s="527">
        <f t="shared" si="143"/>
        <v>13687.941669523083</v>
      </c>
      <c r="Y206" s="1509">
        <f t="shared" si="144"/>
        <v>8148.4018154640071</v>
      </c>
      <c r="Z206" s="1531">
        <f t="shared" si="145"/>
        <v>5124.3025465521841</v>
      </c>
      <c r="AA206" s="1531">
        <f t="shared" si="146"/>
        <v>0</v>
      </c>
      <c r="AB206" s="1531">
        <f t="shared" si="147"/>
        <v>29116.526358554158</v>
      </c>
      <c r="AC206" s="1531">
        <f t="shared" si="148"/>
        <v>56077.17239009343</v>
      </c>
      <c r="AD206" s="1005">
        <f t="shared" si="149"/>
        <v>0</v>
      </c>
      <c r="AE206" s="649">
        <f t="shared" si="150"/>
        <v>0.24409115306857357</v>
      </c>
      <c r="AF206" s="417">
        <f t="shared" si="151"/>
        <v>0.14530693093404795</v>
      </c>
      <c r="AG206" s="417">
        <f t="shared" si="152"/>
        <v>9.137947453744015E-2</v>
      </c>
      <c r="AH206" s="417">
        <f t="shared" si="165"/>
        <v>0</v>
      </c>
      <c r="AI206" s="417">
        <f t="shared" si="153"/>
        <v>0.51922244145993834</v>
      </c>
      <c r="AJ206" s="417">
        <f t="shared" si="154"/>
        <v>1</v>
      </c>
      <c r="AK206" s="1497">
        <f t="shared" si="155"/>
        <v>600.46049500340519</v>
      </c>
      <c r="AL206" s="1498">
        <f t="shared" si="156"/>
        <v>12340.117288175104</v>
      </c>
      <c r="AM206" s="1498">
        <f t="shared" si="157"/>
        <v>747.36388634457148</v>
      </c>
      <c r="AN206" s="1498">
        <f t="shared" si="158"/>
        <v>13687.941669523081</v>
      </c>
      <c r="AO206" s="1184">
        <f t="shared" si="159"/>
        <v>0</v>
      </c>
    </row>
    <row r="207" spans="1:41">
      <c r="A207" s="100">
        <f>'Input data'!A147</f>
        <v>2047</v>
      </c>
      <c r="B207" s="1506">
        <f>'Input data'!B147</f>
        <v>79.535560193629763</v>
      </c>
      <c r="C207" s="1507">
        <f>'Input data'!C147</f>
        <v>8187.4100000000008</v>
      </c>
      <c r="D207" s="1507">
        <f>'Input data'!E147</f>
        <v>803656.25440630724</v>
      </c>
      <c r="E207" s="1508">
        <f>'Input data'!J147*C207</f>
        <v>98503.103275426867</v>
      </c>
      <c r="F207" s="1509">
        <f>'Input data'!L147</f>
        <v>99306.759529833173</v>
      </c>
      <c r="G207" s="1510">
        <f t="shared" si="171"/>
        <v>13687.941669523079</v>
      </c>
      <c r="H207" s="1509">
        <f t="shared" si="160"/>
        <v>43588.033335689601</v>
      </c>
      <c r="I207" s="1511">
        <f t="shared" si="135"/>
        <v>803.6562544063072</v>
      </c>
      <c r="J207" s="1504">
        <f t="shared" si="170"/>
        <v>0.4</v>
      </c>
      <c r="K207" s="1512">
        <f t="shared" si="162"/>
        <v>271.99927669595314</v>
      </c>
      <c r="L207" s="1512">
        <f t="shared" si="136"/>
        <v>0</v>
      </c>
      <c r="M207" s="1511">
        <f t="shared" si="163"/>
        <v>271.99927669595314</v>
      </c>
      <c r="N207" s="1454">
        <f t="shared" si="169"/>
        <v>0.5</v>
      </c>
      <c r="O207" s="1511">
        <f t="shared" si="137"/>
        <v>751.91700000000026</v>
      </c>
      <c r="P207" s="1481">
        <f t="shared" si="166"/>
        <v>1023.9162766959535</v>
      </c>
      <c r="Q207" s="1364">
        <f t="shared" si="138"/>
        <v>56252.05872851672</v>
      </c>
      <c r="R207" s="1364">
        <f t="shared" si="164"/>
        <v>42564.117058993637</v>
      </c>
      <c r="S207" s="1514">
        <f t="shared" si="139"/>
        <v>0.76320997150356473</v>
      </c>
      <c r="T207" s="135" t="str">
        <f t="shared" si="140"/>
        <v>Yes</v>
      </c>
      <c r="U207" s="1526">
        <f t="shared" si="141"/>
        <v>0.76320997150356473</v>
      </c>
      <c r="V207" s="1494">
        <f t="shared" si="142"/>
        <v>56742.64247083955</v>
      </c>
      <c r="W207" s="1491">
        <f t="shared" si="134"/>
        <v>0.42861248580170164</v>
      </c>
      <c r="X207" s="527">
        <f t="shared" si="143"/>
        <v>13687.941669523085</v>
      </c>
      <c r="Y207" s="1509">
        <f t="shared" si="144"/>
        <v>8209.4079150922444</v>
      </c>
      <c r="Z207" s="1531">
        <f t="shared" si="145"/>
        <v>5203.2226853115508</v>
      </c>
      <c r="AA207" s="1531">
        <f t="shared" si="146"/>
        <v>0</v>
      </c>
      <c r="AB207" s="1531">
        <f t="shared" si="147"/>
        <v>29642.070200912669</v>
      </c>
      <c r="AC207" s="1531">
        <f t="shared" si="148"/>
        <v>56742.64247083955</v>
      </c>
      <c r="AD207" s="1487">
        <f t="shared" si="149"/>
        <v>0</v>
      </c>
      <c r="AE207" s="649">
        <f t="shared" si="150"/>
        <v>0.24122848484818832</v>
      </c>
      <c r="AF207" s="417">
        <f t="shared" si="151"/>
        <v>0.14467792752709954</v>
      </c>
      <c r="AG207" s="417">
        <f t="shared" si="152"/>
        <v>9.1698631906075301E-2</v>
      </c>
      <c r="AH207" s="417">
        <f t="shared" si="165"/>
        <v>0</v>
      </c>
      <c r="AI207" s="417">
        <f t="shared" si="153"/>
        <v>0.52239495571863681</v>
      </c>
      <c r="AJ207" s="417">
        <f t="shared" si="154"/>
        <v>1</v>
      </c>
      <c r="AK207" s="1497">
        <f t="shared" si="155"/>
        <v>482.19375264378431</v>
      </c>
      <c r="AL207" s="1498">
        <f t="shared" si="156"/>
        <v>12448.600216113002</v>
      </c>
      <c r="AM207" s="1498">
        <f t="shared" si="157"/>
        <v>757.14770076629748</v>
      </c>
      <c r="AN207" s="1498">
        <f t="shared" si="158"/>
        <v>13687.941669523085</v>
      </c>
      <c r="AO207" s="1184">
        <f t="shared" si="159"/>
        <v>0</v>
      </c>
    </row>
    <row r="208" spans="1:41">
      <c r="A208" s="100">
        <f>'Input data'!A148</f>
        <v>2048</v>
      </c>
      <c r="B208" s="1506">
        <f>'Input data'!B148</f>
        <v>80.059278886956378</v>
      </c>
      <c r="C208" s="1507">
        <f>'Input data'!C148</f>
        <v>8322.6399999999976</v>
      </c>
      <c r="D208" s="1507">
        <f>'Input data'!E148</f>
        <v>606545.01714027242</v>
      </c>
      <c r="E208" s="1508">
        <f>'Input data'!J148*C208</f>
        <v>100130.06157554078</v>
      </c>
      <c r="F208" s="1509">
        <f>'Input data'!L148</f>
        <v>100736.60659268106</v>
      </c>
      <c r="G208" s="1510">
        <f t="shared" si="171"/>
        <v>13687.941669523079</v>
      </c>
      <c r="H208" s="1509">
        <f t="shared" si="160"/>
        <v>44336.614105453584</v>
      </c>
      <c r="I208" s="1511">
        <f t="shared" si="135"/>
        <v>606.54501714027242</v>
      </c>
      <c r="J208" s="1504">
        <f t="shared" si="170"/>
        <v>0.4</v>
      </c>
      <c r="K208" s="1512">
        <f t="shared" si="162"/>
        <v>205.28653269495894</v>
      </c>
      <c r="L208" s="1512">
        <f t="shared" si="136"/>
        <v>0</v>
      </c>
      <c r="M208" s="1511">
        <f t="shared" si="163"/>
        <v>205.28653269495894</v>
      </c>
      <c r="N208" s="1454">
        <f t="shared" si="169"/>
        <v>0.5</v>
      </c>
      <c r="O208" s="1511">
        <f t="shared" si="137"/>
        <v>751.91700000000026</v>
      </c>
      <c r="P208" s="1481">
        <f t="shared" si="166"/>
        <v>957.20353269495922</v>
      </c>
      <c r="Q208" s="1364">
        <f t="shared" si="138"/>
        <v>57067.352242281697</v>
      </c>
      <c r="R208" s="1364">
        <f t="shared" si="164"/>
        <v>43379.410572758614</v>
      </c>
      <c r="S208" s="1514">
        <f t="shared" si="139"/>
        <v>0.76502275471499681</v>
      </c>
      <c r="T208" s="135" t="str">
        <f t="shared" si="140"/>
        <v>Yes</v>
      </c>
      <c r="U208" s="1526">
        <f t="shared" si="141"/>
        <v>0.76502275471499681</v>
      </c>
      <c r="V208" s="1494">
        <f t="shared" si="142"/>
        <v>57357.196019922449</v>
      </c>
      <c r="W208" s="1491">
        <f t="shared" si="134"/>
        <v>0.43062211484013102</v>
      </c>
      <c r="X208" s="527">
        <f t="shared" si="143"/>
        <v>13687.941669523087</v>
      </c>
      <c r="Y208" s="1509">
        <f t="shared" si="144"/>
        <v>8260.8472166788051</v>
      </c>
      <c r="Z208" s="1531">
        <f t="shared" si="145"/>
        <v>5276.7441124569687</v>
      </c>
      <c r="AA208" s="1531">
        <f t="shared" si="146"/>
        <v>0</v>
      </c>
      <c r="AB208" s="1531">
        <f t="shared" si="147"/>
        <v>30131.663021263586</v>
      </c>
      <c r="AC208" s="1531">
        <f t="shared" si="148"/>
        <v>57357.196019922449</v>
      </c>
      <c r="AD208" s="1487">
        <f t="shared" si="149"/>
        <v>0</v>
      </c>
      <c r="AE208" s="649">
        <f t="shared" si="150"/>
        <v>0.23864384278423786</v>
      </c>
      <c r="AF208" s="417">
        <f t="shared" si="151"/>
        <v>0.14402460004860562</v>
      </c>
      <c r="AG208" s="417">
        <f t="shared" si="152"/>
        <v>9.1997944087506375E-2</v>
      </c>
      <c r="AH208" s="417">
        <f t="shared" si="165"/>
        <v>0</v>
      </c>
      <c r="AI208" s="417">
        <f t="shared" si="153"/>
        <v>0.5253336130796501</v>
      </c>
      <c r="AJ208" s="417">
        <f t="shared" si="154"/>
        <v>1</v>
      </c>
      <c r="AK208" s="1497">
        <f t="shared" si="155"/>
        <v>363.92701028416343</v>
      </c>
      <c r="AL208" s="1498">
        <f t="shared" si="156"/>
        <v>12557.33523807547</v>
      </c>
      <c r="AM208" s="1498">
        <f t="shared" si="157"/>
        <v>766.67942116345284</v>
      </c>
      <c r="AN208" s="1498">
        <f t="shared" si="158"/>
        <v>13687.941669523087</v>
      </c>
      <c r="AO208" s="1184">
        <f t="shared" si="159"/>
        <v>0</v>
      </c>
    </row>
    <row r="209" spans="1:41">
      <c r="A209" s="100">
        <f>'Input data'!A149</f>
        <v>2049</v>
      </c>
      <c r="B209" s="1506">
        <f>'Input data'!B149</f>
        <v>80.568670564877792</v>
      </c>
      <c r="C209" s="1507">
        <f>'Input data'!C149</f>
        <v>8457.3799999999992</v>
      </c>
      <c r="D209" s="1507">
        <f>'Input data'!E149</f>
        <v>409433.77987423755</v>
      </c>
      <c r="E209" s="1508">
        <f>'Input data'!J149*C209</f>
        <v>101751.12466329761</v>
      </c>
      <c r="F209" s="1509">
        <f>'Input data'!L149</f>
        <v>102160.55844317185</v>
      </c>
      <c r="G209" s="1510">
        <f t="shared" si="171"/>
        <v>13687.941669523079</v>
      </c>
      <c r="H209" s="1509">
        <f t="shared" si="160"/>
        <v>45081.812160394693</v>
      </c>
      <c r="I209" s="1511">
        <f t="shared" si="135"/>
        <v>409.43377987423753</v>
      </c>
      <c r="J209" s="1504">
        <f t="shared" si="170"/>
        <v>0.4</v>
      </c>
      <c r="K209" s="1512">
        <f t="shared" si="162"/>
        <v>138.57378869396467</v>
      </c>
      <c r="L209" s="1512">
        <f t="shared" si="136"/>
        <v>0</v>
      </c>
      <c r="M209" s="1511">
        <f t="shared" si="163"/>
        <v>138.57378869396467</v>
      </c>
      <c r="N209" s="1454">
        <f t="shared" si="169"/>
        <v>0.5</v>
      </c>
      <c r="O209" s="1511">
        <f t="shared" si="137"/>
        <v>751.91700000000026</v>
      </c>
      <c r="P209" s="1481">
        <f t="shared" si="166"/>
        <v>890.49078869396499</v>
      </c>
      <c r="Q209" s="1364">
        <f t="shared" si="138"/>
        <v>57879.263041223814</v>
      </c>
      <c r="R209" s="1364">
        <f t="shared" si="164"/>
        <v>44191.321371700731</v>
      </c>
      <c r="S209" s="1514">
        <f t="shared" si="139"/>
        <v>0.76676312507351807</v>
      </c>
      <c r="T209" s="135" t="str">
        <f t="shared" si="140"/>
        <v>Yes</v>
      </c>
      <c r="U209" s="1526">
        <f t="shared" si="141"/>
        <v>0.76676312507351807</v>
      </c>
      <c r="V209" s="1494">
        <f t="shared" si="142"/>
        <v>57969.237071471129</v>
      </c>
      <c r="W209" s="1491">
        <f t="shared" si="134"/>
        <v>0.43256734345557357</v>
      </c>
      <c r="X209" s="527">
        <f t="shared" si="143"/>
        <v>13687.941669523085</v>
      </c>
      <c r="Y209" s="1509">
        <f t="shared" si="144"/>
        <v>8311.8144406177962</v>
      </c>
      <c r="Z209" s="1531">
        <f t="shared" si="145"/>
        <v>5349.9991379215398</v>
      </c>
      <c r="AA209" s="1531">
        <f t="shared" si="146"/>
        <v>0</v>
      </c>
      <c r="AB209" s="1531">
        <f t="shared" si="147"/>
        <v>30619.481823408714</v>
      </c>
      <c r="AC209" s="1531">
        <f t="shared" si="148"/>
        <v>57969.237071471129</v>
      </c>
      <c r="AD209" s="1487">
        <f t="shared" si="149"/>
        <v>0</v>
      </c>
      <c r="AE209" s="649">
        <f t="shared" si="150"/>
        <v>0.23612423349037731</v>
      </c>
      <c r="AF209" s="417">
        <f t="shared" si="151"/>
        <v>0.14338319530357174</v>
      </c>
      <c r="AG209" s="417">
        <f t="shared" si="152"/>
        <v>9.2290314797923712E-2</v>
      </c>
      <c r="AH209" s="417">
        <f t="shared" si="165"/>
        <v>0</v>
      </c>
      <c r="AI209" s="417">
        <f t="shared" si="153"/>
        <v>0.52820225640812735</v>
      </c>
      <c r="AJ209" s="417">
        <f t="shared" si="154"/>
        <v>1</v>
      </c>
      <c r="AK209" s="1497">
        <f t="shared" si="155"/>
        <v>245.6602679245425</v>
      </c>
      <c r="AL209" s="1498">
        <f t="shared" si="156"/>
        <v>12666.120903901081</v>
      </c>
      <c r="AM209" s="1498">
        <f t="shared" si="157"/>
        <v>776.16049769746053</v>
      </c>
      <c r="AN209" s="1498">
        <f t="shared" si="158"/>
        <v>13687.941669523085</v>
      </c>
      <c r="AO209" s="1184">
        <f t="shared" si="159"/>
        <v>0</v>
      </c>
    </row>
    <row r="210" spans="1:41" ht="15.75" thickBot="1">
      <c r="A210" s="161">
        <f>'Input data'!A150</f>
        <v>2050</v>
      </c>
      <c r="B210" s="1515">
        <f>'Input data'!B150</f>
        <v>81.063414687793369</v>
      </c>
      <c r="C210" s="1516">
        <f>'Input data'!C150</f>
        <v>8589.119999999999</v>
      </c>
      <c r="D210" s="1516">
        <f>'Input data'!E150</f>
        <v>212322.54260820278</v>
      </c>
      <c r="E210" s="1517">
        <f>'Input data'!J150*C210</f>
        <v>103336.09461417398</v>
      </c>
      <c r="F210" s="1518">
        <f>'Input data'!L150</f>
        <v>103548.41715678219</v>
      </c>
      <c r="G210" s="1519">
        <f t="shared" si="171"/>
        <v>13687.941669523079</v>
      </c>
      <c r="H210" s="1518">
        <f t="shared" si="160"/>
        <v>45806.299716420079</v>
      </c>
      <c r="I210" s="1520">
        <f t="shared" si="135"/>
        <v>212.32254260820278</v>
      </c>
      <c r="J210" s="1521">
        <f t="shared" si="170"/>
        <v>0.4</v>
      </c>
      <c r="K210" s="1518">
        <f t="shared" si="162"/>
        <v>71.861044692970424</v>
      </c>
      <c r="L210" s="1518">
        <f t="shared" si="136"/>
        <v>0</v>
      </c>
      <c r="M210" s="1520">
        <f t="shared" si="163"/>
        <v>71.861044692970424</v>
      </c>
      <c r="N210" s="1522">
        <f t="shared" si="169"/>
        <v>0.5</v>
      </c>
      <c r="O210" s="1520">
        <f t="shared" si="137"/>
        <v>751.91700000000026</v>
      </c>
      <c r="P210" s="1482">
        <f t="shared" si="166"/>
        <v>823.77804469297064</v>
      </c>
      <c r="Q210" s="1485">
        <f t="shared" si="138"/>
        <v>58670.463341250186</v>
      </c>
      <c r="R210" s="1485">
        <f t="shared" si="164"/>
        <v>44982.521671727111</v>
      </c>
      <c r="S210" s="1523">
        <f t="shared" si="139"/>
        <v>0.76836629533347567</v>
      </c>
      <c r="T210" s="1105" t="str">
        <f t="shared" si="140"/>
        <v>Yes</v>
      </c>
      <c r="U210" s="1528">
        <f t="shared" si="141"/>
        <v>0.76836629533347567</v>
      </c>
      <c r="V210" s="1495">
        <f t="shared" si="142"/>
        <v>58565.895485055094</v>
      </c>
      <c r="W210" s="1492">
        <f t="shared" si="134"/>
        <v>0.43441051931889274</v>
      </c>
      <c r="X210" s="670">
        <f t="shared" si="143"/>
        <v>13687.941669523076</v>
      </c>
      <c r="Y210" s="1518">
        <f t="shared" si="144"/>
        <v>8359.8913932451032</v>
      </c>
      <c r="Z210" s="1532">
        <f t="shared" si="145"/>
        <v>5421.623132687032</v>
      </c>
      <c r="AA210" s="1532">
        <f t="shared" si="146"/>
        <v>0</v>
      </c>
      <c r="AB210" s="1532">
        <f t="shared" si="147"/>
        <v>31096.439289599883</v>
      </c>
      <c r="AC210" s="1532">
        <f t="shared" si="148"/>
        <v>58565.895485055094</v>
      </c>
      <c r="AD210" s="1488">
        <f t="shared" si="149"/>
        <v>0</v>
      </c>
      <c r="AE210" s="650">
        <f t="shared" si="150"/>
        <v>0.23371864386528468</v>
      </c>
      <c r="AF210" s="651">
        <f t="shared" si="151"/>
        <v>0.14274333763714736</v>
      </c>
      <c r="AG210" s="651">
        <f t="shared" si="152"/>
        <v>9.2573042515341153E-2</v>
      </c>
      <c r="AH210" s="651">
        <f t="shared" si="165"/>
        <v>0</v>
      </c>
      <c r="AI210" s="651">
        <f>AB210/AC210</f>
        <v>0.53096497598222681</v>
      </c>
      <c r="AJ210" s="651">
        <f t="shared" si="154"/>
        <v>1</v>
      </c>
      <c r="AK210" s="1499">
        <f t="shared" si="155"/>
        <v>127.39352556492166</v>
      </c>
      <c r="AL210" s="1500">
        <f t="shared" si="156"/>
        <v>12775.002524280831</v>
      </c>
      <c r="AM210" s="1500">
        <f t="shared" si="157"/>
        <v>785.54561967732195</v>
      </c>
      <c r="AN210" s="1500">
        <f t="shared" si="158"/>
        <v>13687.941669523074</v>
      </c>
      <c r="AO210" s="1185">
        <f t="shared" si="159"/>
        <v>0</v>
      </c>
    </row>
    <row r="211" spans="1:41">
      <c r="I211" s="106"/>
    </row>
    <row r="212" spans="1:41">
      <c r="I212" s="106"/>
    </row>
    <row r="213" spans="1:41">
      <c r="I213" s="104"/>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901" t="s">
        <v>556</v>
      </c>
      <c r="B4" s="1897" t="s">
        <v>557</v>
      </c>
      <c r="C4" s="579">
        <v>0.5</v>
      </c>
      <c r="D4" s="116">
        <f>2017+10</f>
        <v>2027</v>
      </c>
      <c r="E4" s="579">
        <f>C4</f>
        <v>0.5</v>
      </c>
      <c r="F4" s="116">
        <f>2017+5</f>
        <v>2022</v>
      </c>
      <c r="G4" s="579">
        <f>E4</f>
        <v>0.5</v>
      </c>
      <c r="H4" s="116">
        <f>F4</f>
        <v>2022</v>
      </c>
      <c r="J4" s="99"/>
      <c r="K4" s="99"/>
    </row>
    <row r="5" spans="1:11">
      <c r="A5" s="1851"/>
      <c r="B5" s="1877"/>
      <c r="C5" s="575">
        <v>0.65</v>
      </c>
      <c r="D5" s="130">
        <f>2017+20</f>
        <v>2037</v>
      </c>
      <c r="E5" s="575">
        <f t="shared" ref="E5:E6" si="0">C5</f>
        <v>0.65</v>
      </c>
      <c r="F5" s="130">
        <f>2017+10</f>
        <v>2027</v>
      </c>
      <c r="G5" s="575">
        <f t="shared" ref="G5:H6" si="1">E5</f>
        <v>0.65</v>
      </c>
      <c r="H5" s="130">
        <f t="shared" si="1"/>
        <v>2027</v>
      </c>
      <c r="J5" s="99"/>
      <c r="K5" s="99"/>
    </row>
    <row r="6" spans="1:11" ht="15.75" thickBot="1">
      <c r="A6" s="1852"/>
      <c r="B6" s="1878"/>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727"/>
      <c r="B28" s="727"/>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7"/>
      <c r="J56" s="334"/>
      <c r="K56" s="334"/>
      <c r="L56" s="334"/>
      <c r="M56" s="334"/>
      <c r="N56" s="334"/>
      <c r="O56" s="1331"/>
      <c r="P56" s="1331"/>
      <c r="Q56" s="198"/>
      <c r="R56" s="286"/>
      <c r="S56" s="286"/>
      <c r="T56" s="104"/>
      <c r="U56" s="104"/>
      <c r="V56" s="104"/>
      <c r="W56" s="620"/>
      <c r="X56" s="104"/>
      <c r="Y56" s="314"/>
      <c r="Z56" s="314"/>
      <c r="AA56" s="314"/>
    </row>
    <row r="57" spans="1:28" ht="16.5" thickBot="1">
      <c r="A57" s="337"/>
      <c r="B57" s="614" t="s">
        <v>593</v>
      </c>
      <c r="C57" s="614">
        <v>56521948</v>
      </c>
      <c r="D57" s="1348"/>
      <c r="E57" s="1348"/>
      <c r="F57" s="1348"/>
      <c r="G57" s="1348"/>
      <c r="H57" s="1348"/>
      <c r="I57" s="1348"/>
      <c r="J57" s="334"/>
      <c r="K57" s="334"/>
      <c r="L57" s="334"/>
      <c r="M57" s="334"/>
      <c r="N57" s="334"/>
      <c r="O57" s="1331"/>
      <c r="P57" s="1331"/>
      <c r="Q57" s="7"/>
      <c r="R57" s="10"/>
      <c r="S57" s="10"/>
      <c r="W57" s="313"/>
      <c r="Y57" s="314"/>
      <c r="Z57" s="314"/>
      <c r="AA57" s="314"/>
    </row>
    <row r="58" spans="1:28" ht="16.5" thickBot="1">
      <c r="A58" s="1305" t="s">
        <v>742</v>
      </c>
      <c r="B58" s="1305" t="s">
        <v>327</v>
      </c>
      <c r="C58" s="1306" t="s">
        <v>221</v>
      </c>
      <c r="D58" s="1307" t="s">
        <v>85</v>
      </c>
      <c r="E58" s="1307" t="s">
        <v>375</v>
      </c>
      <c r="F58" s="1307" t="s">
        <v>222</v>
      </c>
      <c r="G58" s="1307" t="s">
        <v>115</v>
      </c>
      <c r="H58" s="1307" t="s">
        <v>223</v>
      </c>
      <c r="I58" s="1307" t="s">
        <v>328</v>
      </c>
      <c r="J58" s="1307" t="s">
        <v>329</v>
      </c>
      <c r="K58" s="1307" t="s">
        <v>330</v>
      </c>
      <c r="L58" s="1307" t="s">
        <v>331</v>
      </c>
      <c r="M58" s="1307" t="s">
        <v>332</v>
      </c>
      <c r="N58" s="1328" t="s">
        <v>225</v>
      </c>
      <c r="O58" s="1341"/>
      <c r="P58" s="1341"/>
      <c r="Q58" s="7"/>
      <c r="R58" s="10"/>
      <c r="S58" s="10"/>
      <c r="W58" s="313"/>
      <c r="X58" s="315"/>
      <c r="Y58" s="313"/>
      <c r="Z58" s="313"/>
      <c r="AA58" s="313"/>
    </row>
    <row r="59" spans="1:28">
      <c r="A59" s="1308"/>
      <c r="B59" s="1308" t="s">
        <v>333</v>
      </c>
      <c r="C59" s="1309">
        <f>'Input data'!C13</f>
        <v>1233791.4119790548</v>
      </c>
      <c r="D59" s="1310">
        <f>'Input data'!D13</f>
        <v>1138884.3802883581</v>
      </c>
      <c r="E59" s="1310">
        <f>'Input data'!E13</f>
        <v>378326.54427023319</v>
      </c>
      <c r="F59" s="1310">
        <f>'Input data'!F13</f>
        <v>0</v>
      </c>
      <c r="G59" s="1310">
        <f>'Input data'!G13</f>
        <v>0</v>
      </c>
      <c r="H59" s="1310">
        <f>'Input data'!H13</f>
        <v>0</v>
      </c>
      <c r="I59" s="1310">
        <f>'Input data'!I13</f>
        <v>0</v>
      </c>
      <c r="J59" s="1310">
        <f>'Input data'!J13</f>
        <v>381000</v>
      </c>
      <c r="K59" s="1310">
        <f>'Input data'!K13</f>
        <v>338388.97868490184</v>
      </c>
      <c r="L59" s="1310">
        <f>'Input data'!L13</f>
        <v>297470.77450579114</v>
      </c>
      <c r="M59" s="1310">
        <f>'Input data'!M13</f>
        <v>0</v>
      </c>
      <c r="N59" s="1329">
        <f>'Input data'!N13</f>
        <v>3767862.0897283391</v>
      </c>
      <c r="O59" s="1350"/>
      <c r="P59" s="1350"/>
      <c r="Q59" s="1351"/>
      <c r="R59" s="10"/>
      <c r="S59" s="10"/>
      <c r="W59" s="314"/>
      <c r="Y59" s="314"/>
      <c r="Z59" s="314"/>
      <c r="AA59" s="314"/>
    </row>
    <row r="60" spans="1:28" ht="15.75">
      <c r="A60" s="1311" t="s">
        <v>334</v>
      </c>
      <c r="B60" s="1308" t="s">
        <v>335</v>
      </c>
      <c r="C60" s="1312">
        <f>'Input data'!C14</f>
        <v>964286</v>
      </c>
      <c r="D60" s="1349">
        <f>'Input data'!D14</f>
        <v>964286</v>
      </c>
      <c r="E60" s="1349">
        <f>'Input data'!E14</f>
        <v>0</v>
      </c>
      <c r="F60" s="1349">
        <f>'Input data'!F14</f>
        <v>0</v>
      </c>
      <c r="G60" s="1349">
        <f>'Input data'!G14</f>
        <v>0</v>
      </c>
      <c r="H60" s="1349">
        <f>'Input data'!H14</f>
        <v>0</v>
      </c>
      <c r="I60" s="1349">
        <f>'Input data'!I14</f>
        <v>2892858</v>
      </c>
      <c r="J60" s="1349">
        <f>'Input data'!J14</f>
        <v>0</v>
      </c>
      <c r="K60" s="1349">
        <f>'Input data'!K14</f>
        <v>0</v>
      </c>
      <c r="L60" s="1349">
        <f>'Input data'!L14</f>
        <v>0</v>
      </c>
      <c r="M60" s="1349">
        <f>'Input data'!M14</f>
        <v>0</v>
      </c>
      <c r="N60" s="1324">
        <f>'Input data'!N14</f>
        <v>4821430</v>
      </c>
      <c r="O60" s="1350"/>
      <c r="P60" s="1350"/>
      <c r="Q60" s="7"/>
      <c r="R60" s="10"/>
      <c r="S60" s="10"/>
      <c r="W60" s="313"/>
      <c r="Y60" s="314"/>
      <c r="Z60" s="314"/>
      <c r="AA60" s="314"/>
    </row>
    <row r="61" spans="1:28" ht="15.75">
      <c r="A61" s="1311" t="s">
        <v>336</v>
      </c>
      <c r="B61" s="1308" t="s">
        <v>337</v>
      </c>
      <c r="C61" s="1312">
        <f>'Input data'!C15</f>
        <v>72176.800000000003</v>
      </c>
      <c r="D61" s="1349">
        <f>'Input data'!D15</f>
        <v>72176.800000000003</v>
      </c>
      <c r="E61" s="1349">
        <f>'Input data'!E15</f>
        <v>0</v>
      </c>
      <c r="F61" s="1349">
        <f>'Input data'!F15</f>
        <v>0</v>
      </c>
      <c r="G61" s="1349">
        <f>'Input data'!G15</f>
        <v>0</v>
      </c>
      <c r="H61" s="1349">
        <f>'Input data'!H15</f>
        <v>0</v>
      </c>
      <c r="I61" s="1349">
        <f>'Input data'!I15</f>
        <v>216530.4</v>
      </c>
      <c r="J61" s="1349">
        <f>'Input data'!J15</f>
        <v>0</v>
      </c>
      <c r="K61" s="1349">
        <f>'Input data'!K15</f>
        <v>0</v>
      </c>
      <c r="L61" s="1349">
        <f>'Input data'!L15</f>
        <v>0</v>
      </c>
      <c r="M61" s="1349">
        <f>'Input data'!M15</f>
        <v>0</v>
      </c>
      <c r="N61" s="1324">
        <f>'Input data'!N15</f>
        <v>360884</v>
      </c>
      <c r="O61" s="1350"/>
      <c r="P61" s="1350"/>
      <c r="Q61" s="7"/>
      <c r="R61" s="10"/>
      <c r="S61" s="10"/>
      <c r="W61" s="313"/>
      <c r="Y61" s="314"/>
      <c r="Z61" s="314"/>
      <c r="AA61" s="313"/>
    </row>
    <row r="62" spans="1:28" ht="15.75">
      <c r="A62" s="1311" t="s">
        <v>338</v>
      </c>
      <c r="B62" s="1308" t="s">
        <v>339</v>
      </c>
      <c r="C62" s="1312">
        <f>'Input data'!C16</f>
        <v>0</v>
      </c>
      <c r="D62" s="1349">
        <f>'Input data'!D16</f>
        <v>0</v>
      </c>
      <c r="E62" s="1349">
        <f>'Input data'!E16</f>
        <v>520349.97572976683</v>
      </c>
      <c r="F62" s="1349">
        <f>'Input data'!F16</f>
        <v>0</v>
      </c>
      <c r="G62" s="1349">
        <f>'Input data'!G16</f>
        <v>0</v>
      </c>
      <c r="H62" s="1349">
        <f>'Input data'!H16</f>
        <v>0</v>
      </c>
      <c r="I62" s="1349">
        <f>'Input data'!I16</f>
        <v>0</v>
      </c>
      <c r="J62" s="1349">
        <f>'Input data'!J16</f>
        <v>237880.00199999998</v>
      </c>
      <c r="K62" s="1349">
        <f>'Input data'!K16</f>
        <v>465419.88531509798</v>
      </c>
      <c r="L62" s="1349">
        <f>'Input data'!L16</f>
        <v>409141.02549420868</v>
      </c>
      <c r="M62" s="1349">
        <f>'Input data'!M16</f>
        <v>123895.58799999999</v>
      </c>
      <c r="N62" s="1324">
        <f>'Input data'!N16</f>
        <v>1756686.4765390735</v>
      </c>
      <c r="O62" s="614"/>
      <c r="P62" s="614"/>
      <c r="Q62" s="10"/>
      <c r="R62" s="10"/>
      <c r="S62" s="10"/>
      <c r="W62" s="312"/>
      <c r="Y62" s="312"/>
      <c r="Z62" s="312"/>
      <c r="AA62" s="312"/>
      <c r="AB62" s="312"/>
    </row>
    <row r="63" spans="1:28" ht="15.75">
      <c r="A63" s="1311" t="s">
        <v>338</v>
      </c>
      <c r="B63" s="1308" t="s">
        <v>340</v>
      </c>
      <c r="C63" s="1312">
        <f>'Input data'!C17</f>
        <v>0</v>
      </c>
      <c r="D63" s="1349">
        <f>'Input data'!D17</f>
        <v>0</v>
      </c>
      <c r="E63" s="1349">
        <f>'Input data'!E17</f>
        <v>1241029.48</v>
      </c>
      <c r="F63" s="1349">
        <f>'Input data'!F17</f>
        <v>0</v>
      </c>
      <c r="G63" s="1349">
        <f>'Input data'!G17</f>
        <v>0</v>
      </c>
      <c r="H63" s="1349">
        <f>'Input data'!H17</f>
        <v>0</v>
      </c>
      <c r="I63" s="1349">
        <f>'Input data'!I17</f>
        <v>0</v>
      </c>
      <c r="J63" s="1349">
        <f>'Input data'!J17</f>
        <v>480373.99800000002</v>
      </c>
      <c r="K63" s="1349">
        <f>'Input data'!K17</f>
        <v>1987194.1360000002</v>
      </c>
      <c r="L63" s="1349">
        <f>'Input data'!L17</f>
        <v>2826447.2</v>
      </c>
      <c r="M63" s="1349">
        <f>'Input data'!M17</f>
        <v>38271.412000000004</v>
      </c>
      <c r="N63" s="1324">
        <f>'Input data'!N17</f>
        <v>6573316.2259999998</v>
      </c>
      <c r="O63" s="614"/>
      <c r="P63" s="614"/>
      <c r="Q63" s="10"/>
      <c r="R63" s="10"/>
      <c r="S63" s="10"/>
      <c r="W63" s="312"/>
      <c r="Y63" s="312"/>
      <c r="Z63" s="312"/>
      <c r="AA63" s="312"/>
      <c r="AB63" s="312"/>
    </row>
    <row r="64" spans="1:28" ht="15.75">
      <c r="A64" s="1311" t="s">
        <v>341</v>
      </c>
      <c r="B64" s="1308" t="s">
        <v>342</v>
      </c>
      <c r="C64" s="1312">
        <f>'Input data'!C18</f>
        <v>2500000</v>
      </c>
      <c r="D64" s="1349">
        <f>'Input data'!D18</f>
        <v>4200000</v>
      </c>
      <c r="E64" s="1349">
        <f>'Input data'!E18</f>
        <v>0</v>
      </c>
      <c r="F64" s="1349">
        <f>'Input data'!F18</f>
        <v>0</v>
      </c>
      <c r="G64" s="1349">
        <f>'Input data'!G18</f>
        <v>0</v>
      </c>
      <c r="H64" s="1349">
        <f>'Input data'!H18</f>
        <v>0</v>
      </c>
      <c r="I64" s="1349">
        <f>'Input data'!I18</f>
        <v>0</v>
      </c>
      <c r="J64" s="1349">
        <f>'Input data'!J18</f>
        <v>0</v>
      </c>
      <c r="K64" s="1349">
        <f>'Input data'!K18</f>
        <v>0</v>
      </c>
      <c r="L64" s="1349">
        <f>'Input data'!L18</f>
        <v>0</v>
      </c>
      <c r="M64" s="1349">
        <f>'Input data'!M18</f>
        <v>0</v>
      </c>
      <c r="N64" s="1324">
        <f>'Input data'!N18</f>
        <v>6700000</v>
      </c>
      <c r="O64" s="614"/>
      <c r="P64" s="614"/>
      <c r="Q64" s="10"/>
      <c r="R64" s="10"/>
      <c r="S64" s="10"/>
      <c r="W64" s="312"/>
      <c r="Y64" s="312"/>
      <c r="Z64" s="312"/>
      <c r="AA64" s="312"/>
      <c r="AB64" s="312"/>
    </row>
    <row r="65" spans="1:28" ht="15.75">
      <c r="A65" s="1313"/>
      <c r="B65" s="1314" t="s">
        <v>343</v>
      </c>
      <c r="C65" s="1312">
        <f>'Input data'!C19</f>
        <v>4770254.2119790548</v>
      </c>
      <c r="D65" s="1349">
        <f>'Input data'!D19</f>
        <v>6375347.1802883577</v>
      </c>
      <c r="E65" s="1349">
        <f>'Input data'!E19</f>
        <v>2139706</v>
      </c>
      <c r="F65" s="1349">
        <f>'Input data'!F19</f>
        <v>0</v>
      </c>
      <c r="G65" s="1349">
        <f>'Input data'!G19</f>
        <v>0</v>
      </c>
      <c r="H65" s="1349">
        <f>'Input data'!H19</f>
        <v>0</v>
      </c>
      <c r="I65" s="1349">
        <f>'Input data'!I19</f>
        <v>3109388.4</v>
      </c>
      <c r="J65" s="1349">
        <f>'Input data'!J19</f>
        <v>1099254</v>
      </c>
      <c r="K65" s="1349">
        <f>'Input data'!K19</f>
        <v>2791003</v>
      </c>
      <c r="L65" s="1349">
        <f>'Input data'!L19</f>
        <v>3533059</v>
      </c>
      <c r="M65" s="1349">
        <f>'Input data'!M19</f>
        <v>162167</v>
      </c>
      <c r="N65" s="1324">
        <f>'Input data'!N19</f>
        <v>23980178.792267412</v>
      </c>
      <c r="O65" s="615"/>
      <c r="P65" s="615"/>
      <c r="Q65" s="10"/>
      <c r="R65" s="10"/>
      <c r="S65" s="10"/>
      <c r="W65" s="312"/>
      <c r="Y65" s="312"/>
      <c r="Z65" s="312"/>
      <c r="AA65" s="312"/>
      <c r="AB65" s="312"/>
    </row>
    <row r="66" spans="1:28" ht="15.75">
      <c r="A66" s="1313"/>
      <c r="B66" s="1315" t="s">
        <v>496</v>
      </c>
      <c r="C66" s="1312">
        <f>'Input data'!C20</f>
        <v>2674712.2259895275</v>
      </c>
      <c r="D66" s="1349">
        <f>'Input data'!D20</f>
        <v>3392258.7101441789</v>
      </c>
      <c r="E66" s="1349">
        <f>'Input data'!E20</f>
        <v>657478.25029190676</v>
      </c>
      <c r="F66" s="1349">
        <f>'Input data'!F20</f>
        <v>0</v>
      </c>
      <c r="G66" s="1349">
        <f>'Input data'!G20</f>
        <v>0</v>
      </c>
      <c r="H66" s="1349">
        <f>'Input data'!H20</f>
        <v>0</v>
      </c>
      <c r="I66" s="1349">
        <f>'Input data'!I20</f>
        <v>2798449.56</v>
      </c>
      <c r="J66" s="1349">
        <f>'Input data'!J20</f>
        <v>404592.00179999997</v>
      </c>
      <c r="K66" s="1349">
        <f>'Input data'!K20</f>
        <v>588072.38612603908</v>
      </c>
      <c r="L66" s="1349">
        <f>'Input data'!L20</f>
        <v>516962.3101976834</v>
      </c>
      <c r="M66" s="1349">
        <f>'Input data'!M20</f>
        <v>111506.02919999999</v>
      </c>
      <c r="N66" s="1324">
        <f>'Input data'!N20</f>
        <v>11144031.473749338</v>
      </c>
      <c r="O66" s="615"/>
      <c r="P66" s="615"/>
      <c r="Q66" s="10"/>
      <c r="R66" s="10"/>
      <c r="S66" s="10"/>
      <c r="W66" s="312"/>
      <c r="Y66" s="312"/>
      <c r="Z66" s="312"/>
      <c r="AA66" s="312"/>
      <c r="AB66" s="312"/>
    </row>
    <row r="67" spans="1:28" ht="16.5" thickBot="1">
      <c r="A67" s="1313"/>
      <c r="B67" s="1315" t="s">
        <v>737</v>
      </c>
      <c r="C67" s="1312">
        <f>'Input data'!C21</f>
        <v>845541.98598952731</v>
      </c>
      <c r="D67" s="1349">
        <f>'Input data'!D21</f>
        <v>883088.47014417872</v>
      </c>
      <c r="E67" s="1349">
        <f>'Input data'!E21</f>
        <v>241198.26970809326</v>
      </c>
      <c r="F67" s="1349">
        <f>'Input data'!F21</f>
        <v>0</v>
      </c>
      <c r="G67" s="1349">
        <f>'Input data'!G21</f>
        <v>0</v>
      </c>
      <c r="H67" s="1349">
        <f>'Input data'!H21</f>
        <v>0</v>
      </c>
      <c r="I67" s="1349">
        <f>'Input data'!I21</f>
        <v>310938.83999999985</v>
      </c>
      <c r="J67" s="1349">
        <f>'Input data'!J21</f>
        <v>214288.00020000001</v>
      </c>
      <c r="K67" s="1349">
        <f>'Input data'!K21</f>
        <v>215736.47787396074</v>
      </c>
      <c r="L67" s="1349">
        <f>'Input data'!L21</f>
        <v>189649.4898023163</v>
      </c>
      <c r="M67" s="1349">
        <f>'Input data'!M21</f>
        <v>12389.558800000006</v>
      </c>
      <c r="N67" s="1324">
        <f>'Input data'!N21</f>
        <v>2912831.0925180763</v>
      </c>
      <c r="O67" s="615"/>
      <c r="P67" s="615"/>
      <c r="Q67" s="10"/>
      <c r="R67" s="10"/>
      <c r="S67" s="10"/>
      <c r="W67" s="312"/>
      <c r="Y67" s="312"/>
      <c r="Z67" s="312"/>
      <c r="AA67" s="312"/>
      <c r="AB67" s="312"/>
    </row>
    <row r="68" spans="1:28" ht="15.75">
      <c r="A68" s="1313"/>
      <c r="B68" s="1305" t="s">
        <v>344</v>
      </c>
      <c r="C68" s="1316">
        <f>'Input data'!C22</f>
        <v>0</v>
      </c>
      <c r="D68" s="1182">
        <f>'Input data'!D22</f>
        <v>0</v>
      </c>
      <c r="E68" s="1182">
        <f>'Input data'!E22</f>
        <v>0</v>
      </c>
      <c r="F68" s="1182">
        <f>'Input data'!F22</f>
        <v>0</v>
      </c>
      <c r="G68" s="1182">
        <f>'Input data'!G22</f>
        <v>0</v>
      </c>
      <c r="H68" s="1182">
        <f>'Input data'!H22</f>
        <v>0</v>
      </c>
      <c r="I68" s="1182">
        <f>'Input data'!I22</f>
        <v>0</v>
      </c>
      <c r="J68" s="1182">
        <f>'Input data'!J22</f>
        <v>0</v>
      </c>
      <c r="K68" s="1182">
        <f>'Input data'!K22</f>
        <v>0</v>
      </c>
      <c r="L68" s="1182">
        <f>'Input data'!L22</f>
        <v>0</v>
      </c>
      <c r="M68" s="1182">
        <f>'Input data'!M22</f>
        <v>0</v>
      </c>
      <c r="N68" s="1330">
        <f>'Input data'!N22</f>
        <v>0</v>
      </c>
      <c r="O68" s="616"/>
      <c r="P68" s="616"/>
      <c r="Q68" s="10"/>
      <c r="R68" s="10"/>
      <c r="S68" s="10"/>
      <c r="W68" s="312"/>
      <c r="Y68" s="312"/>
      <c r="Z68" s="312"/>
      <c r="AA68" s="312"/>
      <c r="AB68" s="312"/>
    </row>
    <row r="69" spans="1:28" ht="15.75">
      <c r="A69" s="1313"/>
      <c r="B69" s="1317"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1" t="s">
        <v>334</v>
      </c>
      <c r="B70" s="1317"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1" t="s">
        <v>336</v>
      </c>
      <c r="B71" s="1317"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1" t="s">
        <v>338</v>
      </c>
      <c r="B72" s="1317"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1" t="s">
        <v>338</v>
      </c>
      <c r="B73" s="1317"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1" t="s">
        <v>341</v>
      </c>
      <c r="B74" s="1317"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3"/>
      <c r="B75" s="1315"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3"/>
      <c r="B76" s="1315"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18"/>
      <c r="B77" s="1319" t="s">
        <v>738</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0" t="s">
        <v>549</v>
      </c>
      <c r="B78" s="1321" t="s">
        <v>327</v>
      </c>
      <c r="C78" s="1306" t="s">
        <v>545</v>
      </c>
      <c r="D78" s="1307" t="s">
        <v>546</v>
      </c>
      <c r="E78" s="1307" t="s">
        <v>547</v>
      </c>
      <c r="F78" s="1307" t="s">
        <v>548</v>
      </c>
      <c r="G78" s="1307" t="s">
        <v>498</v>
      </c>
      <c r="H78" s="1328" t="s">
        <v>544</v>
      </c>
      <c r="I78" s="1322"/>
      <c r="J78" s="1322"/>
      <c r="K78" s="1322"/>
      <c r="L78" s="1322"/>
      <c r="M78" s="1322"/>
      <c r="N78" s="1322"/>
      <c r="O78" s="339"/>
      <c r="P78" s="339"/>
      <c r="Q78" s="7"/>
      <c r="R78" s="338"/>
      <c r="S78" s="338"/>
      <c r="T78" s="4"/>
      <c r="U78" s="4"/>
      <c r="Y78" s="745"/>
    </row>
    <row r="79" spans="1:28" ht="15.75">
      <c r="A79" s="1313"/>
      <c r="B79" s="1323" t="s">
        <v>378</v>
      </c>
      <c r="C79" s="1312">
        <f>'Waste Summary 2017 SASOW'!J10+'Waste Summary 2017 SASOW'!J13</f>
        <v>49995051</v>
      </c>
      <c r="D79" s="1349">
        <f>'Waste Summary 2017 SASOW'!K10+'Waste Summary 2017 SASOW'!K13</f>
        <v>0</v>
      </c>
      <c r="E79" s="1349">
        <f>'Waste Summary 2017 SASOW'!L10+'Waste Summary 2017 SASOW'!L13</f>
        <v>46917968.670000002</v>
      </c>
      <c r="F79" s="1349">
        <f>'Waste Summary 2017 SASOW'!M10+'Waste Summary 2017 SASOW'!M13</f>
        <v>0</v>
      </c>
      <c r="G79" s="1349">
        <f>'Waste Summary 2017 SASOW'!N10+'Waste Summary 2017 SASOW'!N13</f>
        <v>0</v>
      </c>
      <c r="H79" s="1324">
        <f>'Waste Summary 2017 SASOW'!O10+'Waste Summary 2017 SASOW'!O13</f>
        <v>3077082.33</v>
      </c>
      <c r="L79" s="1322"/>
      <c r="M79" s="1322"/>
      <c r="N79" s="1322"/>
      <c r="O79" s="339"/>
      <c r="P79" s="339"/>
      <c r="Q79" s="7"/>
      <c r="R79" s="338"/>
      <c r="S79" s="338"/>
      <c r="T79" s="4"/>
      <c r="U79" s="4"/>
      <c r="Y79" s="745"/>
    </row>
    <row r="80" spans="1:28" ht="16.5" thickBot="1">
      <c r="A80" s="1318"/>
      <c r="B80" s="1318" t="s">
        <v>374</v>
      </c>
      <c r="C80" s="1325">
        <f t="shared" ref="C80:H80" si="9">C79/$C$79</f>
        <v>1</v>
      </c>
      <c r="D80" s="1326">
        <f t="shared" si="9"/>
        <v>0</v>
      </c>
      <c r="E80" s="1326">
        <f t="shared" si="9"/>
        <v>0.93845226140483384</v>
      </c>
      <c r="F80" s="1326">
        <f t="shared" si="9"/>
        <v>0</v>
      </c>
      <c r="G80" s="1326">
        <f t="shared" si="9"/>
        <v>0</v>
      </c>
      <c r="H80" s="1327">
        <f t="shared" si="9"/>
        <v>6.154773859516615E-2</v>
      </c>
      <c r="L80" s="1322"/>
      <c r="M80" s="1322"/>
      <c r="N80" s="1322"/>
      <c r="O80" s="339"/>
      <c r="P80" s="339"/>
      <c r="Q80" s="7"/>
      <c r="R80" s="338"/>
      <c r="S80" s="338"/>
      <c r="T80" s="4"/>
      <c r="U80" s="4"/>
      <c r="Y80" s="745"/>
    </row>
    <row r="81" spans="1:91" s="4" customFormat="1" ht="15.75">
      <c r="A81" s="99"/>
      <c r="B81" s="99"/>
      <c r="C81" s="1332"/>
      <c r="D81" s="1332"/>
      <c r="E81" s="1332"/>
      <c r="F81" s="1332"/>
      <c r="G81" s="1332"/>
      <c r="H81" s="1332"/>
      <c r="L81" s="1394"/>
      <c r="M81" s="1394"/>
      <c r="N81" s="1394"/>
      <c r="O81" s="1332"/>
      <c r="P81" s="1332"/>
      <c r="Q81" s="7"/>
      <c r="R81" s="1395"/>
      <c r="S81" s="1395"/>
      <c r="Y81" s="1396"/>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726</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24" t="s">
        <v>602</v>
      </c>
      <c r="B94" s="1825"/>
      <c r="C94" s="1825"/>
      <c r="D94" s="1826"/>
      <c r="E94" s="1858" t="s">
        <v>600</v>
      </c>
      <c r="F94" s="1859"/>
      <c r="G94" s="1860"/>
      <c r="H94" s="1932" t="s">
        <v>601</v>
      </c>
      <c r="I94" s="1933"/>
      <c r="J94" s="1933"/>
      <c r="K94" s="1934"/>
      <c r="L94" s="1832" t="s">
        <v>598</v>
      </c>
      <c r="M94" s="1924"/>
      <c r="N94" s="1924"/>
      <c r="O94" s="1924"/>
      <c r="P94" s="1925"/>
      <c r="Q94" s="1923" t="s">
        <v>775</v>
      </c>
      <c r="R94" s="1924"/>
      <c r="S94" s="1924"/>
      <c r="T94" s="1924"/>
      <c r="U94" s="1925"/>
      <c r="V94" s="1916" t="s">
        <v>599</v>
      </c>
      <c r="W94" s="1781" t="s">
        <v>608</v>
      </c>
      <c r="X94" s="1783"/>
      <c r="Y94" s="1866" t="s">
        <v>594</v>
      </c>
      <c r="Z94" s="1846" t="s">
        <v>763</v>
      </c>
      <c r="AA94" s="1918" t="s">
        <v>771</v>
      </c>
      <c r="AB94" s="1839" t="s">
        <v>773</v>
      </c>
      <c r="AC94" s="1848" t="s">
        <v>781</v>
      </c>
      <c r="AD94" s="1839" t="s">
        <v>773</v>
      </c>
      <c r="AE94" s="1839" t="s">
        <v>772</v>
      </c>
      <c r="AF94" s="1895" t="s">
        <v>774</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734</v>
      </c>
      <c r="BN94" s="1715"/>
      <c r="BO94" s="1715"/>
      <c r="BP94" s="1715"/>
      <c r="BQ94" s="1715"/>
      <c r="BR94" s="1715"/>
      <c r="BS94" s="1715"/>
      <c r="BT94" s="1716"/>
      <c r="BV94" s="1793" t="s">
        <v>660</v>
      </c>
      <c r="BW94" s="1794"/>
      <c r="BX94" s="1813"/>
      <c r="BY94" s="1793" t="s">
        <v>656</v>
      </c>
      <c r="BZ94" s="1794"/>
      <c r="CA94" s="1795"/>
      <c r="CB94" s="1812" t="s">
        <v>661</v>
      </c>
      <c r="CC94" s="1811"/>
      <c r="CD94" s="1812" t="s">
        <v>657</v>
      </c>
      <c r="CE94" s="1811"/>
      <c r="CG94" s="1802" t="s">
        <v>735</v>
      </c>
      <c r="CH94" s="1803"/>
      <c r="CI94" s="1803"/>
      <c r="CJ94" s="1803"/>
      <c r="CK94" s="1803"/>
      <c r="CL94" s="1803"/>
      <c r="CM94" s="1804"/>
    </row>
    <row r="95" spans="1:91" s="10" customFormat="1" ht="42.6" customHeight="1" thickBot="1">
      <c r="A95" s="1822" t="s">
        <v>217</v>
      </c>
      <c r="B95" s="703" t="s">
        <v>218</v>
      </c>
      <c r="C95" s="703" t="s">
        <v>390</v>
      </c>
      <c r="D95" s="513" t="s">
        <v>500</v>
      </c>
      <c r="E95" s="701" t="s">
        <v>501</v>
      </c>
      <c r="F95" s="699" t="s">
        <v>504</v>
      </c>
      <c r="G95" s="700" t="s">
        <v>528</v>
      </c>
      <c r="H95" s="746" t="s">
        <v>478</v>
      </c>
      <c r="I95" s="694" t="s">
        <v>288</v>
      </c>
      <c r="J95" s="693" t="s">
        <v>766</v>
      </c>
      <c r="K95" s="695" t="s">
        <v>596</v>
      </c>
      <c r="L95" s="726" t="s">
        <v>87</v>
      </c>
      <c r="M95" s="661" t="s">
        <v>323</v>
      </c>
      <c r="N95" s="661" t="s">
        <v>324</v>
      </c>
      <c r="O95" s="661" t="s">
        <v>325</v>
      </c>
      <c r="P95" s="660" t="s">
        <v>582</v>
      </c>
      <c r="Q95" s="503" t="s">
        <v>87</v>
      </c>
      <c r="R95" s="661" t="s">
        <v>323</v>
      </c>
      <c r="S95" s="661" t="s">
        <v>324</v>
      </c>
      <c r="T95" s="661" t="s">
        <v>325</v>
      </c>
      <c r="U95" s="1462" t="s">
        <v>582</v>
      </c>
      <c r="V95" s="1917"/>
      <c r="W95" s="1595" t="s">
        <v>605</v>
      </c>
      <c r="X95" s="1596" t="s">
        <v>576</v>
      </c>
      <c r="Y95" s="1867"/>
      <c r="Z95" s="1847"/>
      <c r="AA95" s="1919"/>
      <c r="AB95" s="1840"/>
      <c r="AC95" s="1849"/>
      <c r="AD95" s="1840"/>
      <c r="AE95" s="1840"/>
      <c r="AF95" s="1896"/>
      <c r="AG95" s="1579" t="s">
        <v>473</v>
      </c>
      <c r="AH95" s="1580" t="s">
        <v>489</v>
      </c>
      <c r="AI95" s="1636" t="s">
        <v>807</v>
      </c>
      <c r="AJ95" s="1580" t="s">
        <v>377</v>
      </c>
      <c r="AK95" s="1580" t="s">
        <v>225</v>
      </c>
      <c r="AL95" s="713" t="s">
        <v>591</v>
      </c>
      <c r="AM95" s="1579" t="s">
        <v>473</v>
      </c>
      <c r="AN95" s="1580" t="s">
        <v>489</v>
      </c>
      <c r="AO95" s="1636" t="s">
        <v>807</v>
      </c>
      <c r="AP95" s="1580" t="s">
        <v>377</v>
      </c>
      <c r="AQ95" s="1581"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0"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0" t="str">
        <f>D135</f>
        <v xml:space="preserve">Coal ash generated - ‘IRP realistic’ </v>
      </c>
      <c r="BY95" s="1098" t="s">
        <v>531</v>
      </c>
      <c r="BZ95" s="40" t="s">
        <v>624</v>
      </c>
      <c r="CA95" s="1099" t="s">
        <v>630</v>
      </c>
      <c r="CB95" s="1270" t="s">
        <v>267</v>
      </c>
      <c r="CC95" s="1271" t="s">
        <v>633</v>
      </c>
      <c r="CD95" s="1270" t="s">
        <v>267</v>
      </c>
      <c r="CE95" s="1271" t="s">
        <v>633</v>
      </c>
      <c r="CF95"/>
      <c r="CG95" s="1258" t="s">
        <v>87</v>
      </c>
      <c r="CH95" s="1259" t="s">
        <v>323</v>
      </c>
      <c r="CI95" s="1259" t="s">
        <v>324</v>
      </c>
      <c r="CJ95" s="1259" t="s">
        <v>325</v>
      </c>
      <c r="CK95" s="1260" t="s">
        <v>582</v>
      </c>
      <c r="CL95" s="1259" t="s">
        <v>303</v>
      </c>
      <c r="CM95" s="1805" t="s">
        <v>736</v>
      </c>
    </row>
    <row r="96" spans="1:91" ht="32.25" thickBot="1">
      <c r="A96" s="1857"/>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68" t="s">
        <v>228</v>
      </c>
      <c r="R96" s="1469" t="s">
        <v>228</v>
      </c>
      <c r="S96" s="1469" t="s">
        <v>228</v>
      </c>
      <c r="T96" s="1469" t="s">
        <v>228</v>
      </c>
      <c r="U96" s="1470" t="s">
        <v>228</v>
      </c>
      <c r="V96" s="689" t="s">
        <v>228</v>
      </c>
      <c r="W96" s="688" t="s">
        <v>229</v>
      </c>
      <c r="X96" s="554" t="s">
        <v>228</v>
      </c>
      <c r="Y96" s="1115" t="s">
        <v>228</v>
      </c>
      <c r="Z96" s="1116" t="s">
        <v>228</v>
      </c>
      <c r="AA96" s="1471" t="s">
        <v>228</v>
      </c>
      <c r="AB96" s="1841"/>
      <c r="AC96" s="1849"/>
      <c r="AD96" s="1841"/>
      <c r="AE96" s="1644" t="s">
        <v>28</v>
      </c>
      <c r="AF96" s="1645" t="s">
        <v>3</v>
      </c>
      <c r="AG96" s="191" t="s">
        <v>228</v>
      </c>
      <c r="AH96" s="1095" t="s">
        <v>228</v>
      </c>
      <c r="AI96" s="1095" t="s">
        <v>228</v>
      </c>
      <c r="AJ96" s="1095" t="s">
        <v>228</v>
      </c>
      <c r="AK96" s="1095" t="s">
        <v>228</v>
      </c>
      <c r="AL96" s="1096" t="s">
        <v>590</v>
      </c>
      <c r="AM96" s="191" t="s">
        <v>229</v>
      </c>
      <c r="AN96" s="1095" t="s">
        <v>229</v>
      </c>
      <c r="AO96" s="1095" t="s">
        <v>229</v>
      </c>
      <c r="AP96" s="1095" t="s">
        <v>229</v>
      </c>
      <c r="AQ96" s="1572"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1" t="s">
        <v>229</v>
      </c>
      <c r="BF96" s="723" t="s">
        <v>229</v>
      </c>
      <c r="BG96" s="723" t="s">
        <v>229</v>
      </c>
      <c r="BH96" s="723" t="s">
        <v>229</v>
      </c>
      <c r="BI96" s="723" t="s">
        <v>229</v>
      </c>
      <c r="BJ96" s="723" t="s">
        <v>229</v>
      </c>
      <c r="BK96" s="723" t="s">
        <v>229</v>
      </c>
      <c r="BL96" s="1089" t="s">
        <v>229</v>
      </c>
      <c r="BM96" s="1262" t="s">
        <v>229</v>
      </c>
      <c r="BN96" s="1263" t="s">
        <v>229</v>
      </c>
      <c r="BO96" s="1263" t="s">
        <v>229</v>
      </c>
      <c r="BP96" s="1263" t="s">
        <v>229</v>
      </c>
      <c r="BQ96" s="1263" t="s">
        <v>229</v>
      </c>
      <c r="BR96" s="1263" t="s">
        <v>229</v>
      </c>
      <c r="BS96" s="1263" t="s">
        <v>229</v>
      </c>
      <c r="BT96" s="1264" t="s">
        <v>229</v>
      </c>
      <c r="BV96" s="67" t="s">
        <v>625</v>
      </c>
      <c r="BW96" s="1158" t="s">
        <v>229</v>
      </c>
      <c r="BX96" s="1161" t="s">
        <v>625</v>
      </c>
      <c r="BY96" s="67" t="s">
        <v>625</v>
      </c>
      <c r="BZ96" s="1158" t="s">
        <v>229</v>
      </c>
      <c r="CA96" s="68" t="s">
        <v>625</v>
      </c>
      <c r="CB96" s="1265" t="s">
        <v>229</v>
      </c>
      <c r="CC96" s="1266" t="s">
        <v>229</v>
      </c>
      <c r="CD96" s="1265" t="s">
        <v>229</v>
      </c>
      <c r="CE96" s="1266" t="s">
        <v>229</v>
      </c>
      <c r="CG96" s="1273" t="s">
        <v>227</v>
      </c>
      <c r="CH96" s="1274" t="s">
        <v>227</v>
      </c>
      <c r="CI96" s="1274" t="s">
        <v>227</v>
      </c>
      <c r="CJ96" s="1274" t="s">
        <v>227</v>
      </c>
      <c r="CK96" s="1274" t="s">
        <v>227</v>
      </c>
      <c r="CL96" s="1274" t="s">
        <v>227</v>
      </c>
      <c r="CM96" s="1805"/>
    </row>
    <row r="97" spans="1:91">
      <c r="A97" s="127">
        <f>'Input data'!A117</f>
        <v>2017</v>
      </c>
      <c r="B97" s="662">
        <f>'Input data'!B117</f>
        <v>56.521948041648095</v>
      </c>
      <c r="C97" s="236">
        <f>'Input data'!C117</f>
        <v>3117.5115237718705</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7">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7">
        <f>H97*$M$75*P97*B97-H97*$M$75*$P$97*B97</f>
        <v>0</v>
      </c>
      <c r="V97" s="528">
        <f>SUM(Q97:U97)</f>
        <v>0</v>
      </c>
      <c r="W97" s="708">
        <v>0</v>
      </c>
      <c r="X97" s="1467">
        <f>W97*($C$76+$D$76)*$B$10*$I$97</f>
        <v>0</v>
      </c>
      <c r="Y97" s="956">
        <f>X97+V97</f>
        <v>0</v>
      </c>
      <c r="Z97" s="957">
        <f>$J$97-Y97</f>
        <v>11144.031481960794</v>
      </c>
      <c r="AA97" s="1467">
        <f>Z97-J97</f>
        <v>0</v>
      </c>
      <c r="AB97" s="1091">
        <f>AA97/Z97</f>
        <v>0</v>
      </c>
      <c r="AC97" s="1489"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7">
        <f>SUM(AR97:BB97)</f>
        <v>11144.031481960794</v>
      </c>
      <c r="BD97" s="1156">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85">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28">
        <f>AH97-CL97</f>
        <v>0</v>
      </c>
    </row>
    <row r="98" spans="1:91">
      <c r="A98" s="127">
        <f>'Input data'!A118</f>
        <v>2018</v>
      </c>
      <c r="B98" s="662">
        <f>'Input data'!B118</f>
        <v>57.436000617299655</v>
      </c>
      <c r="C98" s="236">
        <f>'Input data'!C118</f>
        <v>3154.0370052724184</v>
      </c>
      <c r="D98" s="236">
        <f>'Input data'!D118</f>
        <v>50359792.847133137</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108.79675618524169</v>
      </c>
      <c r="BW98" s="114">
        <f t="shared" ref="BW98:BW130" si="63">((AK98-AM98*AK98)+(AC138-AC138*AE138))/(AK98+AC138)</f>
        <v>0.31239939440446801</v>
      </c>
      <c r="BX98" s="1686">
        <f t="shared" si="24"/>
        <v>50.359792847133136</v>
      </c>
      <c r="BY98" s="527">
        <f t="shared" ref="BY98:BY130" si="64">(AK98+AC178)*1000/10^6</f>
        <v>108.79675618524169</v>
      </c>
      <c r="BZ98" s="417">
        <f t="shared" ref="BZ98:BZ130" si="65">((AK98-AM98*AK98)+(AC178-AC178*AE178))/(AK98+AC178)</f>
        <v>0.31239939440446801</v>
      </c>
      <c r="CA98" s="544">
        <f t="shared" si="25"/>
        <v>50.359792847133136</v>
      </c>
      <c r="CB98" s="649">
        <f t="shared" si="26"/>
        <v>2.3097802675159818E-2</v>
      </c>
      <c r="CC98" s="525">
        <f t="shared" ref="CC98:CC130" si="66">W178</f>
        <v>3.7534536819961217E-2</v>
      </c>
      <c r="CD98" s="417">
        <f t="shared" si="27"/>
        <v>2.3097802675159818E-2</v>
      </c>
      <c r="CE98" s="525">
        <f t="shared" ref="CE98:CE130" si="67">W178</f>
        <v>3.7534536819961217E-2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4436.7699999999986</v>
      </c>
      <c r="D99" s="1550">
        <f>'Input data'!D119</f>
        <v>53464172.913892828</v>
      </c>
      <c r="E99" s="1455">
        <f t="shared" ref="E99:E109" si="75">($E$110-$E$97)/($A$110-$A$97)+E98</f>
        <v>0.75867692307692314</v>
      </c>
      <c r="F99" s="1449">
        <f t="shared" ref="F99:F109" si="76">($F$110-$F$97)/($A$110-$A$97)+F98</f>
        <v>0.30196923076923077</v>
      </c>
      <c r="G99" s="1554">
        <f>B99*F99*'Input data'!$C$9</f>
        <v>539.43112442415634</v>
      </c>
      <c r="H99" s="1542">
        <f>'Input data'!I119</f>
        <v>424.26313389388866</v>
      </c>
      <c r="I99" s="1509">
        <f>'Input data'!K119</f>
        <v>24762.047773130591</v>
      </c>
      <c r="J99" s="1509">
        <f>J97*0.89</f>
        <v>9918.1880189451058</v>
      </c>
      <c r="K99" s="1511">
        <f t="shared" ref="K99:K130" si="77">I99*$B$10-J99</f>
        <v>1589.1923942165249</v>
      </c>
      <c r="L99" s="1504">
        <f t="shared" si="28"/>
        <v>0.59846153846153849</v>
      </c>
      <c r="M99" s="1504">
        <f t="shared" si="29"/>
        <v>0.46207692307692311</v>
      </c>
      <c r="N99" s="1504">
        <f t="shared" si="30"/>
        <v>0.74092307692307691</v>
      </c>
      <c r="O99" s="1504">
        <f t="shared" si="31"/>
        <v>0.81538461538461537</v>
      </c>
      <c r="P99" s="1504">
        <f t="shared" si="32"/>
        <v>0.23600000000000002</v>
      </c>
      <c r="Q99" s="1508">
        <f t="shared" si="33"/>
        <v>40.79022813076017</v>
      </c>
      <c r="R99" s="1509">
        <f t="shared" si="34"/>
        <v>28.464688971619694</v>
      </c>
      <c r="S99" s="1509">
        <f t="shared" si="35"/>
        <v>83.356397357562855</v>
      </c>
      <c r="T99" s="1509">
        <f t="shared" si="36"/>
        <v>56.126979831743938</v>
      </c>
      <c r="U99" s="1511">
        <f t="shared" si="37"/>
        <v>0</v>
      </c>
      <c r="V99" s="1509">
        <f t="shared" si="38"/>
        <v>208.73829429168666</v>
      </c>
      <c r="W99" s="1454">
        <v>0.1</v>
      </c>
      <c r="X99" s="530">
        <f t="shared" si="39"/>
        <v>606.6970940604142</v>
      </c>
      <c r="Y99" s="1508">
        <f t="shared" ref="Y99:Y130" si="78">X99+V99</f>
        <v>815.43538835210086</v>
      </c>
      <c r="Z99" s="1509">
        <f t="shared" ref="Z99:Z130" si="79">I99*$B$10-Y99</f>
        <v>10691.945024809529</v>
      </c>
      <c r="AA99" s="1511">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113.60149224673694</v>
      </c>
      <c r="BW99" s="114">
        <f t="shared" si="63"/>
        <v>0.37650882002073971</v>
      </c>
      <c r="BX99" s="1686">
        <f t="shared" si="24"/>
        <v>53.464172913892831</v>
      </c>
      <c r="BY99" s="527">
        <f t="shared" si="64"/>
        <v>113.60149224673694</v>
      </c>
      <c r="BZ99" s="417">
        <f t="shared" si="65"/>
        <v>0.37650882002073971</v>
      </c>
      <c r="CA99" s="544">
        <f t="shared" si="25"/>
        <v>53.464172913892831</v>
      </c>
      <c r="CB99" s="649">
        <f t="shared" si="26"/>
        <v>4.2261345922522509E-2</v>
      </c>
      <c r="CC99" s="525">
        <f t="shared" si="66"/>
        <v>0.15871146115466328</v>
      </c>
      <c r="CD99" s="417">
        <f t="shared" si="27"/>
        <v>4.2261345922522509E-2</v>
      </c>
      <c r="CE99" s="525">
        <f t="shared" si="67"/>
        <v>0.15871146115466328</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59.233695328537607</v>
      </c>
      <c r="C100" s="236">
        <f>'Input data'!C120</f>
        <v>4157.24</v>
      </c>
      <c r="D100" s="1550">
        <f>'Input data'!D120</f>
        <v>51247282.188414559</v>
      </c>
      <c r="E100" s="1455">
        <f t="shared" si="75"/>
        <v>0.78061538461538471</v>
      </c>
      <c r="F100" s="1449">
        <f t="shared" si="76"/>
        <v>0.30815384615384617</v>
      </c>
      <c r="G100" s="1554">
        <f>B100*F100*'Input data'!$C$9</f>
        <v>558.6740082346364</v>
      </c>
      <c r="H100" s="1542">
        <f>'Input data'!I120</f>
        <v>424.26313389388866</v>
      </c>
      <c r="I100" s="1509">
        <f>'Input data'!K120</f>
        <v>25130.67321220116</v>
      </c>
      <c r="J100" s="1509">
        <f>J97*0.81</f>
        <v>9026.6655003882443</v>
      </c>
      <c r="K100" s="1511">
        <f t="shared" si="77"/>
        <v>2652.0219547522283</v>
      </c>
      <c r="L100" s="1504">
        <f t="shared" si="28"/>
        <v>0.60769230769230775</v>
      </c>
      <c r="M100" s="1504">
        <f t="shared" si="29"/>
        <v>0.47461538461538466</v>
      </c>
      <c r="N100" s="1504">
        <f t="shared" si="30"/>
        <v>0.75538461538461532</v>
      </c>
      <c r="O100" s="1504">
        <f t="shared" si="31"/>
        <v>0.82307692307692304</v>
      </c>
      <c r="P100" s="1504">
        <f t="shared" si="32"/>
        <v>0.23600000000000002</v>
      </c>
      <c r="Q100" s="1508">
        <f t="shared" si="33"/>
        <v>62.096190678397306</v>
      </c>
      <c r="R100" s="1509">
        <f t="shared" si="34"/>
        <v>43.332651838003642</v>
      </c>
      <c r="S100" s="1509">
        <f t="shared" si="35"/>
        <v>126.89594988256931</v>
      </c>
      <c r="T100" s="1509">
        <f t="shared" si="36"/>
        <v>85.443788906055943</v>
      </c>
      <c r="U100" s="1511">
        <f t="shared" si="37"/>
        <v>0</v>
      </c>
      <c r="V100" s="1509">
        <f t="shared" si="38"/>
        <v>317.7685813050262</v>
      </c>
      <c r="W100" s="1454">
        <f>($N$142-$N$137)/($A$102-$A$97)+W99</f>
        <v>0.2</v>
      </c>
      <c r="X100" s="530">
        <f t="shared" si="39"/>
        <v>1213.3941881208284</v>
      </c>
      <c r="Y100" s="1508">
        <f t="shared" si="78"/>
        <v>1531.1627694258545</v>
      </c>
      <c r="Z100" s="1509">
        <f t="shared" si="79"/>
        <v>10147.524685714618</v>
      </c>
      <c r="AA100" s="1511">
        <f t="shared" si="80"/>
        <v>1120.8591853263733</v>
      </c>
      <c r="AB100" s="1091">
        <f t="shared" si="40"/>
        <v>0.11045641376012472</v>
      </c>
      <c r="AC100" s="135" t="str">
        <f t="shared" si="41"/>
        <v>Yes</v>
      </c>
      <c r="AD100" s="1091">
        <f t="shared" si="42"/>
        <v>0.11045641376012472</v>
      </c>
      <c r="AE100" s="649">
        <f t="shared" si="10"/>
        <v>6.225793333678542E-2</v>
      </c>
      <c r="AF100" s="530">
        <f t="shared" si="43"/>
        <v>397.8493879866673</v>
      </c>
      <c r="AG100" s="528">
        <f t="shared" si="44"/>
        <v>9026.6655003882443</v>
      </c>
      <c r="AH100" s="528">
        <f t="shared" si="81"/>
        <v>7206.4520822526001</v>
      </c>
      <c r="AI100" s="528">
        <f t="shared" si="82"/>
        <v>4617.5691834333375</v>
      </c>
      <c r="AJ100" s="528">
        <f t="shared" si="11"/>
        <v>2715.4026685732201</v>
      </c>
      <c r="AK100" s="528">
        <f t="shared" si="45"/>
        <v>23566.089434647402</v>
      </c>
      <c r="AL100" s="716">
        <f t="shared" si="12"/>
        <v>0</v>
      </c>
      <c r="AM100" s="417">
        <f t="shared" si="46"/>
        <v>0.38303620655521381</v>
      </c>
      <c r="AN100" s="417">
        <f t="shared" si="47"/>
        <v>0.30579753599922738</v>
      </c>
      <c r="AO100" s="417">
        <f t="shared" si="48"/>
        <v>0.19594125687414571</v>
      </c>
      <c r="AP100" s="417">
        <f t="shared" si="49"/>
        <v>0.11522500057141315</v>
      </c>
      <c r="AQ100" s="417">
        <f t="shared" si="50"/>
        <v>1</v>
      </c>
      <c r="AR100" s="1086">
        <f t="shared" si="13"/>
        <v>2017.5686102211457</v>
      </c>
      <c r="AS100" s="938">
        <f t="shared" si="14"/>
        <v>2558.8228239410473</v>
      </c>
      <c r="AT100" s="938">
        <f t="shared" si="15"/>
        <v>557.67784387397035</v>
      </c>
      <c r="AU100" s="938">
        <f t="shared" si="16"/>
        <v>0</v>
      </c>
      <c r="AV100" s="938">
        <f t="shared" si="17"/>
        <v>0</v>
      </c>
      <c r="AW100" s="938">
        <f t="shared" si="18"/>
        <v>0</v>
      </c>
      <c r="AX100" s="938">
        <f t="shared" si="19"/>
        <v>2608.7737880202512</v>
      </c>
      <c r="AY100" s="938">
        <f t="shared" si="20"/>
        <v>338.62292725705436</v>
      </c>
      <c r="AZ100" s="938">
        <f t="shared" si="21"/>
        <v>435.33402113437836</v>
      </c>
      <c r="BA100" s="938">
        <f t="shared" si="22"/>
        <v>405.91721031623803</v>
      </c>
      <c r="BB100" s="938">
        <f t="shared" si="23"/>
        <v>103.94827562415695</v>
      </c>
      <c r="BC100" s="530">
        <f t="shared" si="51"/>
        <v>9026.6655003882424</v>
      </c>
      <c r="BD100" s="724">
        <f t="shared" si="52"/>
        <v>0</v>
      </c>
      <c r="BE100" s="436">
        <f t="shared" si="53"/>
        <v>0.22351206103010784</v>
      </c>
      <c r="BF100" s="624">
        <f t="shared" si="54"/>
        <v>0.28347376158239063</v>
      </c>
      <c r="BG100" s="624">
        <f t="shared" si="55"/>
        <v>6.1781157599113901E-2</v>
      </c>
      <c r="BH100" s="624">
        <f t="shared" si="56"/>
        <v>0</v>
      </c>
      <c r="BI100" s="624">
        <f t="shared" si="57"/>
        <v>0</v>
      </c>
      <c r="BJ100" s="624">
        <f t="shared" si="58"/>
        <v>0</v>
      </c>
      <c r="BK100" s="624">
        <f t="shared" si="59"/>
        <v>0.43123301978838768</v>
      </c>
      <c r="BL100" s="624">
        <f t="shared" si="60"/>
        <v>1</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107.77625019609012</v>
      </c>
      <c r="BW100" s="114">
        <f t="shared" si="63"/>
        <v>0.40188279751177231</v>
      </c>
      <c r="BX100" s="1686">
        <f t="shared" si="24"/>
        <v>51.247282188414559</v>
      </c>
      <c r="BY100" s="527">
        <f t="shared" si="64"/>
        <v>107.77625019609012</v>
      </c>
      <c r="BZ100" s="417">
        <f t="shared" si="65"/>
        <v>0.40188279751177231</v>
      </c>
      <c r="CA100" s="544">
        <f t="shared" si="25"/>
        <v>51.247282188414559</v>
      </c>
      <c r="CB100" s="649">
        <f t="shared" si="26"/>
        <v>6.225793333678542E-2</v>
      </c>
      <c r="CC100" s="525">
        <f t="shared" si="66"/>
        <v>0.16840334018565795</v>
      </c>
      <c r="CD100" s="417">
        <f t="shared" si="27"/>
        <v>6.225793333678542E-2</v>
      </c>
      <c r="CE100" s="525">
        <f t="shared" si="67"/>
        <v>0.16840334018565795</v>
      </c>
      <c r="CG100" s="527">
        <f t="shared" si="68"/>
        <v>1362.6664065537148</v>
      </c>
      <c r="CH100" s="528">
        <f t="shared" si="69"/>
        <v>546.75350069628325</v>
      </c>
      <c r="CI100" s="528">
        <f t="shared" si="70"/>
        <v>2209.4294819979264</v>
      </c>
      <c r="CJ100" s="528">
        <f t="shared" si="71"/>
        <v>3047.4951376493482</v>
      </c>
      <c r="CK100" s="528">
        <f t="shared" si="72"/>
        <v>40.107555355327428</v>
      </c>
      <c r="CL100" s="528">
        <f t="shared" si="73"/>
        <v>7206.4520822526001</v>
      </c>
      <c r="CM100" s="646">
        <f t="shared" si="74"/>
        <v>0</v>
      </c>
    </row>
    <row r="101" spans="1:91">
      <c r="A101" s="873">
        <f>'Input data'!A121</f>
        <v>2021</v>
      </c>
      <c r="B101" s="1551">
        <f>'Input data'!B121</f>
        <v>60.170135702880636</v>
      </c>
      <c r="C101" s="1550">
        <f>'Input data'!C121</f>
        <v>4296.6100000000006</v>
      </c>
      <c r="D101" s="1550">
        <f>'Input data'!D121</f>
        <v>50719928.257477686</v>
      </c>
      <c r="E101" s="1455">
        <f t="shared" si="75"/>
        <v>0.80255384615384628</v>
      </c>
      <c r="F101" s="1449">
        <f t="shared" si="76"/>
        <v>0.31433846153846157</v>
      </c>
      <c r="G101" s="1554">
        <f>B101*F101*'Input data'!$C$9</f>
        <v>578.89601647789198</v>
      </c>
      <c r="H101" s="1542">
        <f>'Input data'!I121</f>
        <v>424.26313389388866</v>
      </c>
      <c r="I101" s="1509">
        <f>'Input data'!K121</f>
        <v>25527.970340124699</v>
      </c>
      <c r="J101" s="1509">
        <f>J97*0.65</f>
        <v>7243.6204632745166</v>
      </c>
      <c r="K101" s="1511">
        <f t="shared" si="77"/>
        <v>4619.6982965932502</v>
      </c>
      <c r="L101" s="1504">
        <f t="shared" si="28"/>
        <v>0.61692307692307702</v>
      </c>
      <c r="M101" s="1504">
        <f t="shared" si="29"/>
        <v>0.48715384615384622</v>
      </c>
      <c r="N101" s="1504">
        <f t="shared" si="30"/>
        <v>0.76984615384615374</v>
      </c>
      <c r="O101" s="1504">
        <f t="shared" si="31"/>
        <v>0.8307692307692307</v>
      </c>
      <c r="P101" s="1504">
        <f t="shared" si="32"/>
        <v>0.23600000000000002</v>
      </c>
      <c r="Q101" s="1508">
        <f t="shared" si="33"/>
        <v>84.103846614727445</v>
      </c>
      <c r="R101" s="1509">
        <f t="shared" si="34"/>
        <v>58.690278160021194</v>
      </c>
      <c r="S101" s="1509">
        <f t="shared" si="35"/>
        <v>171.86943978942918</v>
      </c>
      <c r="T101" s="1509">
        <f t="shared" si="36"/>
        <v>115.72612164816883</v>
      </c>
      <c r="U101" s="1511">
        <f t="shared" si="37"/>
        <v>0</v>
      </c>
      <c r="V101" s="1509">
        <f t="shared" si="38"/>
        <v>430.38968621234665</v>
      </c>
      <c r="W101" s="1454">
        <v>0.4</v>
      </c>
      <c r="X101" s="530">
        <f t="shared" si="39"/>
        <v>2426.7883762416568</v>
      </c>
      <c r="Y101" s="1508">
        <f t="shared" si="78"/>
        <v>2857.1780624540033</v>
      </c>
      <c r="Z101" s="1509">
        <f t="shared" si="79"/>
        <v>9006.1406974137644</v>
      </c>
      <c r="AA101" s="1511">
        <f t="shared" si="80"/>
        <v>1762.5202341392478</v>
      </c>
      <c r="AB101" s="1091">
        <f t="shared" si="40"/>
        <v>0.19570205411574121</v>
      </c>
      <c r="AC101" s="135" t="str">
        <f t="shared" si="41"/>
        <v>Yes</v>
      </c>
      <c r="AD101" s="1091">
        <f t="shared" si="42"/>
        <v>0.19570205411574121</v>
      </c>
      <c r="AE101" s="649">
        <f t="shared" si="10"/>
        <v>9.9162220196375661E-2</v>
      </c>
      <c r="AF101" s="530">
        <f t="shared" si="43"/>
        <v>382.19225958949846</v>
      </c>
      <c r="AG101" s="528">
        <f t="shared" si="44"/>
        <v>7243.6204632745166</v>
      </c>
      <c r="AH101" s="528">
        <f t="shared" si="81"/>
        <v>7427.9781156905256</v>
      </c>
      <c r="AI101" s="528">
        <f t="shared" si="82"/>
        <v>5830.9633715541659</v>
      </c>
      <c r="AJ101" s="528">
        <f t="shared" si="11"/>
        <v>2493.9981735714969</v>
      </c>
      <c r="AK101" s="528">
        <f t="shared" si="45"/>
        <v>22996.560124090705</v>
      </c>
      <c r="AL101" s="716">
        <f t="shared" si="12"/>
        <v>0</v>
      </c>
      <c r="AM101" s="417">
        <f t="shared" si="46"/>
        <v>0.31498712956144492</v>
      </c>
      <c r="AN101" s="417">
        <f t="shared" si="47"/>
        <v>0.32300387865005664</v>
      </c>
      <c r="AO101" s="417">
        <f t="shared" si="48"/>
        <v>0.25355806868896769</v>
      </c>
      <c r="AP101" s="417">
        <f t="shared" si="49"/>
        <v>0.10845092309953076</v>
      </c>
      <c r="AQ101" s="417">
        <f t="shared" si="50"/>
        <v>1</v>
      </c>
      <c r="AR101" s="1086">
        <f t="shared" si="13"/>
        <v>1429.6119480849479</v>
      </c>
      <c r="AS101" s="938">
        <f t="shared" si="14"/>
        <v>1813.1347125477046</v>
      </c>
      <c r="AT101" s="938">
        <f t="shared" si="15"/>
        <v>495.29559317440237</v>
      </c>
      <c r="AU101" s="938">
        <f t="shared" si="16"/>
        <v>0</v>
      </c>
      <c r="AV101" s="938">
        <f t="shared" si="17"/>
        <v>0</v>
      </c>
      <c r="AW101" s="938">
        <f t="shared" si="18"/>
        <v>0</v>
      </c>
      <c r="AX101" s="938">
        <f t="shared" si="19"/>
        <v>2396.0634413025591</v>
      </c>
      <c r="AY101" s="938">
        <f t="shared" si="20"/>
        <v>299.2116732617398</v>
      </c>
      <c r="AZ101" s="938">
        <f t="shared" si="21"/>
        <v>365.27983890301294</v>
      </c>
      <c r="BA101" s="938">
        <f t="shared" si="22"/>
        <v>349.55056145176536</v>
      </c>
      <c r="BB101" s="938">
        <f t="shared" si="23"/>
        <v>95.472694548382577</v>
      </c>
      <c r="BC101" s="530">
        <f t="shared" si="51"/>
        <v>7243.6204632745148</v>
      </c>
      <c r="BD101" s="724">
        <f t="shared" si="52"/>
        <v>0</v>
      </c>
      <c r="BE101" s="436">
        <f t="shared" si="53"/>
        <v>0.19736152043486341</v>
      </c>
      <c r="BF101" s="624">
        <f t="shared" si="54"/>
        <v>0.25030780142890974</v>
      </c>
      <c r="BG101" s="624">
        <f t="shared" si="55"/>
        <v>6.8376800756689768E-2</v>
      </c>
      <c r="BH101" s="624">
        <f t="shared" si="56"/>
        <v>0</v>
      </c>
      <c r="BI101" s="624">
        <f t="shared" si="57"/>
        <v>0</v>
      </c>
      <c r="BJ101" s="624">
        <f t="shared" si="58"/>
        <v>0</v>
      </c>
      <c r="BK101" s="624">
        <f t="shared" si="59"/>
        <v>0.48395387737953699</v>
      </c>
      <c r="BL101" s="624">
        <f t="shared" si="60"/>
        <v>0.99999999999999989</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98.518596994374505</v>
      </c>
      <c r="BW101" s="114">
        <f t="shared" si="63"/>
        <v>0.47492724757155907</v>
      </c>
      <c r="BX101" s="1686">
        <f t="shared" si="24"/>
        <v>50.719928257477683</v>
      </c>
      <c r="BY101" s="527">
        <f t="shared" si="64"/>
        <v>98.518596994374505</v>
      </c>
      <c r="BZ101" s="417">
        <f t="shared" si="65"/>
        <v>0.47492724757155907</v>
      </c>
      <c r="CA101" s="544">
        <f t="shared" si="25"/>
        <v>50.719928257477683</v>
      </c>
      <c r="CB101" s="649">
        <f t="shared" si="26"/>
        <v>9.9162220196375661E-2</v>
      </c>
      <c r="CC101" s="525">
        <f t="shared" si="66"/>
        <v>0.26257112936202054</v>
      </c>
      <c r="CD101" s="417">
        <f t="shared" si="27"/>
        <v>9.9162220196375661E-2</v>
      </c>
      <c r="CE101" s="525">
        <f t="shared" si="67"/>
        <v>0.26257112936202054</v>
      </c>
      <c r="CG101" s="527">
        <f t="shared" si="68"/>
        <v>1405.2351038544</v>
      </c>
      <c r="CH101" s="528">
        <f t="shared" si="69"/>
        <v>570.0698337230267</v>
      </c>
      <c r="CI101" s="528">
        <f t="shared" si="70"/>
        <v>2287.3262678359192</v>
      </c>
      <c r="CJ101" s="528">
        <f t="shared" si="71"/>
        <v>3124.6052845005711</v>
      </c>
      <c r="CK101" s="528">
        <f t="shared" si="72"/>
        <v>40.74162577660725</v>
      </c>
      <c r="CL101" s="528">
        <f t="shared" si="73"/>
        <v>7427.9781156905246</v>
      </c>
      <c r="CM101" s="646">
        <f t="shared" si="74"/>
        <v>0</v>
      </c>
    </row>
    <row r="102" spans="1:91" s="464" customFormat="1">
      <c r="A102" s="150">
        <f>'Input data'!A122</f>
        <v>2022</v>
      </c>
      <c r="B102" s="1506">
        <f>'Input data'!B122</f>
        <v>61.14166465104848</v>
      </c>
      <c r="C102" s="1507">
        <f>'Input data'!C122</f>
        <v>4408.5100000000011</v>
      </c>
      <c r="D102" s="1507">
        <f>'Input data'!D122</f>
        <v>50359792.847133137</v>
      </c>
      <c r="E102" s="1455">
        <f t="shared" si="75"/>
        <v>0.82449230769230786</v>
      </c>
      <c r="F102" s="1449">
        <f t="shared" si="76"/>
        <v>0.32052307692307697</v>
      </c>
      <c r="G102" s="1554">
        <f>B102*F102*'Input data'!$C$9</f>
        <v>599.81677678315214</v>
      </c>
      <c r="H102" s="1549">
        <f>'Input data'!I122</f>
        <v>424.26313389388866</v>
      </c>
      <c r="I102" s="1557">
        <f>'Input data'!K122</f>
        <v>25940.154256343019</v>
      </c>
      <c r="J102" s="1557">
        <f>J97*(1-$G$4)</f>
        <v>5572.0157409803969</v>
      </c>
      <c r="K102" s="1511">
        <f t="shared" si="77"/>
        <v>6482.8524887683625</v>
      </c>
      <c r="L102" s="1504">
        <f t="shared" si="28"/>
        <v>0.62615384615384628</v>
      </c>
      <c r="M102" s="1504">
        <f t="shared" si="29"/>
        <v>0.49969230769230777</v>
      </c>
      <c r="N102" s="1504">
        <f t="shared" si="30"/>
        <v>0.78430769230769215</v>
      </c>
      <c r="O102" s="1504">
        <f t="shared" si="31"/>
        <v>0.83846153846153837</v>
      </c>
      <c r="P102" s="1449">
        <f t="shared" si="32"/>
        <v>0.23600000000000002</v>
      </c>
      <c r="Q102" s="1508">
        <f t="shared" si="33"/>
        <v>106.8272724814276</v>
      </c>
      <c r="R102" s="1509">
        <f t="shared" si="34"/>
        <v>74.547390985960647</v>
      </c>
      <c r="S102" s="1509">
        <f t="shared" si="35"/>
        <v>218.30563303154031</v>
      </c>
      <c r="T102" s="1509">
        <f t="shared" si="36"/>
        <v>146.99334725033759</v>
      </c>
      <c r="U102" s="1511">
        <f t="shared" si="37"/>
        <v>0</v>
      </c>
      <c r="V102" s="1509">
        <f t="shared" si="38"/>
        <v>546.67364374926615</v>
      </c>
      <c r="W102" s="1454">
        <f>$E$26</f>
        <v>0.5</v>
      </c>
      <c r="X102" s="530">
        <f t="shared" si="39"/>
        <v>3033.4854703020706</v>
      </c>
      <c r="Y102" s="1508">
        <f t="shared" si="78"/>
        <v>3580.1591140513365</v>
      </c>
      <c r="Z102" s="1509">
        <f t="shared" si="79"/>
        <v>8474.7091156974238</v>
      </c>
      <c r="AA102" s="1511">
        <f t="shared" si="80"/>
        <v>2902.6933747170269</v>
      </c>
      <c r="AB102" s="1091">
        <f t="shared" si="40"/>
        <v>0.34251244911054984</v>
      </c>
      <c r="AC102" s="135" t="str">
        <f t="shared" si="41"/>
        <v>Yes</v>
      </c>
      <c r="AD102" s="1091">
        <f t="shared" si="42"/>
        <v>0.34251244911054984</v>
      </c>
      <c r="AE102" s="649">
        <f t="shared" si="10"/>
        <v>0.16197085374599185</v>
      </c>
      <c r="AF102" s="530">
        <f t="shared" si="43"/>
        <v>355.54487188414544</v>
      </c>
      <c r="AG102" s="528">
        <f t="shared" si="44"/>
        <v>5572.0157409803969</v>
      </c>
      <c r="AH102" s="528">
        <f t="shared" si="81"/>
        <v>7657.2476872232737</v>
      </c>
      <c r="AI102" s="528">
        <f t="shared" si="82"/>
        <v>6437.6604656145792</v>
      </c>
      <c r="AJ102" s="528">
        <f t="shared" si="11"/>
        <v>2071.6814313221653</v>
      </c>
      <c r="AK102" s="528">
        <f t="shared" si="45"/>
        <v>21738.605325140416</v>
      </c>
      <c r="AL102" s="716">
        <f t="shared" si="12"/>
        <v>0</v>
      </c>
      <c r="AM102" s="417">
        <f t="shared" si="46"/>
        <v>0.25631891547966201</v>
      </c>
      <c r="AN102" s="417">
        <f t="shared" si="47"/>
        <v>0.35224190203075106</v>
      </c>
      <c r="AO102" s="417">
        <f t="shared" si="48"/>
        <v>0.29613953468162507</v>
      </c>
      <c r="AP102" s="417">
        <f t="shared" si="49"/>
        <v>9.5299647807961838E-2</v>
      </c>
      <c r="AQ102" s="417">
        <f t="shared" si="50"/>
        <v>1</v>
      </c>
      <c r="AR102" s="1086">
        <f t="shared" si="13"/>
        <v>1023.0300879386098</v>
      </c>
      <c r="AS102" s="938">
        <f t="shared" si="14"/>
        <v>1297.4789186023268</v>
      </c>
      <c r="AT102" s="938">
        <f t="shared" si="15"/>
        <v>397.37807501228406</v>
      </c>
      <c r="AU102" s="938">
        <f t="shared" si="16"/>
        <v>0</v>
      </c>
      <c r="AV102" s="938">
        <f t="shared" si="17"/>
        <v>0</v>
      </c>
      <c r="AW102" s="938">
        <f t="shared" si="18"/>
        <v>0</v>
      </c>
      <c r="AX102" s="938">
        <f t="shared" si="19"/>
        <v>1990.3303026513206</v>
      </c>
      <c r="AY102" s="938">
        <f t="shared" si="20"/>
        <v>238.74240076053093</v>
      </c>
      <c r="AZ102" s="938">
        <f t="shared" si="21"/>
        <v>274.71918025536218</v>
      </c>
      <c r="BA102" s="938">
        <f t="shared" si="22"/>
        <v>271.03078003385514</v>
      </c>
      <c r="BB102" s="938">
        <f t="shared" si="23"/>
        <v>79.305995726105905</v>
      </c>
      <c r="BC102" s="530">
        <f t="shared" si="51"/>
        <v>5572.015740980396</v>
      </c>
      <c r="BD102" s="724">
        <f t="shared" si="52"/>
        <v>0</v>
      </c>
      <c r="BE102" s="436">
        <f t="shared" si="53"/>
        <v>0.18360143536827261</v>
      </c>
      <c r="BF102" s="624">
        <f t="shared" si="54"/>
        <v>0.23285629095764818</v>
      </c>
      <c r="BG102" s="624">
        <f t="shared" si="55"/>
        <v>7.1316753843621655E-2</v>
      </c>
      <c r="BH102" s="624">
        <f t="shared" si="56"/>
        <v>0</v>
      </c>
      <c r="BI102" s="624">
        <f t="shared" si="57"/>
        <v>0</v>
      </c>
      <c r="BJ102" s="624">
        <f t="shared" si="58"/>
        <v>0</v>
      </c>
      <c r="BK102" s="624">
        <f t="shared" si="59"/>
        <v>0.51222551983045739</v>
      </c>
      <c r="BL102" s="624">
        <f t="shared" si="60"/>
        <v>0.99999999999999989</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95.455152936877568</v>
      </c>
      <c r="BW102" s="114">
        <f t="shared" si="63"/>
        <v>0.51519909812264109</v>
      </c>
      <c r="BX102" s="1686">
        <f t="shared" si="24"/>
        <v>50.359792847133136</v>
      </c>
      <c r="BY102" s="527">
        <f t="shared" si="64"/>
        <v>95.455152936877568</v>
      </c>
      <c r="BZ102" s="417">
        <f t="shared" si="65"/>
        <v>0.51519909812264109</v>
      </c>
      <c r="CA102" s="544">
        <f t="shared" si="25"/>
        <v>50.359792847133136</v>
      </c>
      <c r="CB102" s="649">
        <f t="shared" si="26"/>
        <v>0.16197085374599185</v>
      </c>
      <c r="CC102" s="525">
        <f t="shared" si="66"/>
        <v>0.28706558067926824</v>
      </c>
      <c r="CD102" s="417">
        <f t="shared" si="27"/>
        <v>0.16197085374599185</v>
      </c>
      <c r="CE102" s="525">
        <f t="shared" si="67"/>
        <v>0.28706558067926824</v>
      </c>
      <c r="CF102" s="1"/>
      <c r="CG102" s="527">
        <f t="shared" si="68"/>
        <v>1449.2899966646964</v>
      </c>
      <c r="CH102" s="528">
        <f t="shared" si="69"/>
        <v>594.18386729423366</v>
      </c>
      <c r="CI102" s="528">
        <f t="shared" si="70"/>
        <v>2367.919398286801</v>
      </c>
      <c r="CJ102" s="528">
        <f t="shared" si="71"/>
        <v>3204.4549700573743</v>
      </c>
      <c r="CK102" s="528">
        <f t="shared" si="72"/>
        <v>41.39945492016858</v>
      </c>
      <c r="CL102" s="528">
        <f t="shared" si="73"/>
        <v>7657.2476872232737</v>
      </c>
      <c r="CM102" s="646">
        <f t="shared" si="74"/>
        <v>0</v>
      </c>
    </row>
    <row r="103" spans="1:91" s="4" customFormat="1">
      <c r="A103" s="150">
        <f>'Input data'!A123</f>
        <v>2023</v>
      </c>
      <c r="B103" s="1506">
        <f>'Input data'!B123</f>
        <v>62.126086164056694</v>
      </c>
      <c r="C103" s="1507">
        <f>'Input data'!C123</f>
        <v>4511.7199999999984</v>
      </c>
      <c r="D103" s="1507">
        <f>'Input data'!D123</f>
        <v>48748213.106871188</v>
      </c>
      <c r="E103" s="1455">
        <f t="shared" si="75"/>
        <v>0.84643076923076943</v>
      </c>
      <c r="F103" s="1449">
        <f t="shared" si="76"/>
        <v>0.32670769230769237</v>
      </c>
      <c r="G103" s="1554">
        <f>B103*F103*'Input data'!$C$9</f>
        <v>621.23426463587145</v>
      </c>
      <c r="H103" s="1549">
        <f>'Input data'!I123</f>
        <v>424.26313389388866</v>
      </c>
      <c r="I103" s="1557">
        <f>'Input data'!K123</f>
        <v>26357.808012524449</v>
      </c>
      <c r="J103" s="1557">
        <f>($J$107-$J$102)/($A$107-$A$102)+J102</f>
        <v>5237.6947965215732</v>
      </c>
      <c r="K103" s="1511">
        <f t="shared" si="77"/>
        <v>7011.2648386472447</v>
      </c>
      <c r="L103" s="1504">
        <f t="shared" si="28"/>
        <v>0.63538461538461555</v>
      </c>
      <c r="M103" s="1504">
        <f t="shared" si="29"/>
        <v>0.51223076923076927</v>
      </c>
      <c r="N103" s="1504">
        <f t="shared" si="30"/>
        <v>0.79876923076923056</v>
      </c>
      <c r="O103" s="1504">
        <f t="shared" si="31"/>
        <v>0.84615384615384603</v>
      </c>
      <c r="P103" s="1449">
        <f t="shared" si="32"/>
        <v>0.23600000000000002</v>
      </c>
      <c r="Q103" s="1508">
        <f t="shared" si="33"/>
        <v>130.25671524117115</v>
      </c>
      <c r="R103" s="1509">
        <f t="shared" si="34"/>
        <v>90.897184343246295</v>
      </c>
      <c r="S103" s="1509">
        <f t="shared" si="35"/>
        <v>266.18459890265058</v>
      </c>
      <c r="T103" s="1509">
        <f t="shared" si="36"/>
        <v>179.23204562264391</v>
      </c>
      <c r="U103" s="1511">
        <f t="shared" si="37"/>
        <v>0</v>
      </c>
      <c r="V103" s="1509">
        <f t="shared" si="38"/>
        <v>666.57054410971193</v>
      </c>
      <c r="W103" s="1454">
        <f>($N$147-$N$142)/($A$107-$A$102)+W102</f>
        <v>0.5</v>
      </c>
      <c r="X103" s="530">
        <f t="shared" si="39"/>
        <v>3033.4854703020706</v>
      </c>
      <c r="Y103" s="1508">
        <f t="shared" si="78"/>
        <v>3700.0560144117826</v>
      </c>
      <c r="Z103" s="1509">
        <f t="shared" si="79"/>
        <v>8548.9036207570352</v>
      </c>
      <c r="AA103" s="1511">
        <f t="shared" si="80"/>
        <v>3311.2088242354621</v>
      </c>
      <c r="AB103" s="1091">
        <f t="shared" si="40"/>
        <v>0.38732555320845258</v>
      </c>
      <c r="AC103" s="135" t="str">
        <f t="shared" si="41"/>
        <v>Yes</v>
      </c>
      <c r="AD103" s="1091">
        <f t="shared" si="42"/>
        <v>0.38732555320845258</v>
      </c>
      <c r="AE103" s="649">
        <f t="shared" si="10"/>
        <v>0.18321939450095748</v>
      </c>
      <c r="AF103" s="530">
        <f t="shared" si="43"/>
        <v>346.52989939277177</v>
      </c>
      <c r="AG103" s="528">
        <f t="shared" si="44"/>
        <v>5237.6947965215732</v>
      </c>
      <c r="AH103" s="528">
        <f t="shared" si="81"/>
        <v>7891.6295643697349</v>
      </c>
      <c r="AI103" s="528">
        <f t="shared" si="82"/>
        <v>6437.6604656145792</v>
      </c>
      <c r="AJ103" s="528">
        <f t="shared" si="11"/>
        <v>1961.5615615913489</v>
      </c>
      <c r="AK103" s="528">
        <f t="shared" si="45"/>
        <v>21528.546388097235</v>
      </c>
      <c r="AL103" s="716">
        <f t="shared" si="12"/>
        <v>0</v>
      </c>
      <c r="AM103" s="417">
        <f t="shared" si="46"/>
        <v>0.24329068493994582</v>
      </c>
      <c r="AN103" s="417">
        <f t="shared" si="47"/>
        <v>0.36656583413048649</v>
      </c>
      <c r="AO103" s="417">
        <f t="shared" si="48"/>
        <v>0.29902903566094235</v>
      </c>
      <c r="AP103" s="417">
        <f t="shared" si="49"/>
        <v>9.1114445268625416E-2</v>
      </c>
      <c r="AQ103" s="417">
        <f t="shared" si="50"/>
        <v>1.0000000000000002</v>
      </c>
      <c r="AR103" s="1086">
        <f t="shared" si="13"/>
        <v>981.84340443840131</v>
      </c>
      <c r="AS103" s="938">
        <f t="shared" si="14"/>
        <v>1245.2430614181599</v>
      </c>
      <c r="AT103" s="938">
        <f t="shared" si="15"/>
        <v>362.95468503975138</v>
      </c>
      <c r="AU103" s="938">
        <f t="shared" si="16"/>
        <v>0</v>
      </c>
      <c r="AV103" s="938">
        <f t="shared" si="17"/>
        <v>0</v>
      </c>
      <c r="AW103" s="938">
        <f t="shared" si="18"/>
        <v>0</v>
      </c>
      <c r="AX103" s="938">
        <f t="shared" si="19"/>
        <v>1884.5346381560416</v>
      </c>
      <c r="AY103" s="938">
        <f t="shared" si="20"/>
        <v>216.77035920501751</v>
      </c>
      <c r="AZ103" s="938">
        <f t="shared" si="21"/>
        <v>232.93577922368323</v>
      </c>
      <c r="BA103" s="938">
        <f t="shared" si="22"/>
        <v>238.32236986045115</v>
      </c>
      <c r="BB103" s="938">
        <f t="shared" si="23"/>
        <v>75.090499180067056</v>
      </c>
      <c r="BC103" s="530">
        <f t="shared" si="51"/>
        <v>5237.6947965215741</v>
      </c>
      <c r="BD103" s="724">
        <f t="shared" si="52"/>
        <v>0</v>
      </c>
      <c r="BE103" s="436">
        <f t="shared" si="53"/>
        <v>0.18745716246972946</v>
      </c>
      <c r="BF103" s="624">
        <f t="shared" si="54"/>
        <v>0.2377463960376506</v>
      </c>
      <c r="BG103" s="624">
        <f t="shared" si="55"/>
        <v>6.9296646547789428E-2</v>
      </c>
      <c r="BH103" s="624">
        <f t="shared" si="56"/>
        <v>0</v>
      </c>
      <c r="BI103" s="624">
        <f t="shared" si="57"/>
        <v>0</v>
      </c>
      <c r="BJ103" s="624">
        <f t="shared" si="58"/>
        <v>0</v>
      </c>
      <c r="BK103" s="624">
        <f t="shared" si="59"/>
        <v>0.50549979494483033</v>
      </c>
      <c r="BL103" s="624">
        <f t="shared" si="60"/>
        <v>0.99999999999999978</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94.162728281018403</v>
      </c>
      <c r="BW103" s="114">
        <f t="shared" si="63"/>
        <v>0.53940726161435248</v>
      </c>
      <c r="BX103" s="1686">
        <f t="shared" si="24"/>
        <v>48.748213106871191</v>
      </c>
      <c r="BY103" s="527">
        <f t="shared" si="64"/>
        <v>94.162728281018403</v>
      </c>
      <c r="BZ103" s="417">
        <f t="shared" si="65"/>
        <v>0.53940726161435248</v>
      </c>
      <c r="CA103" s="544">
        <f t="shared" si="25"/>
        <v>48.748213106871191</v>
      </c>
      <c r="CB103" s="649">
        <f t="shared" si="26"/>
        <v>0.18321939450095748</v>
      </c>
      <c r="CC103" s="525">
        <f t="shared" si="66"/>
        <v>0.29501172793092756</v>
      </c>
      <c r="CD103" s="417">
        <f t="shared" si="27"/>
        <v>0.18321939450095748</v>
      </c>
      <c r="CE103" s="525">
        <f t="shared" si="67"/>
        <v>0.29501172793092756</v>
      </c>
      <c r="CF103"/>
      <c r="CG103" s="527">
        <f t="shared" si="68"/>
        <v>1494.3339831834307</v>
      </c>
      <c r="CH103" s="528">
        <f t="shared" si="69"/>
        <v>618.90015392809494</v>
      </c>
      <c r="CI103" s="528">
        <f t="shared" si="70"/>
        <v>2450.4085771322084</v>
      </c>
      <c r="CJ103" s="528">
        <f t="shared" si="71"/>
        <v>3285.9208364151477</v>
      </c>
      <c r="CK103" s="528">
        <f t="shared" si="72"/>
        <v>42.066013710852879</v>
      </c>
      <c r="CL103" s="528">
        <f t="shared" si="73"/>
        <v>7891.6295643697349</v>
      </c>
      <c r="CM103" s="646">
        <f t="shared" si="74"/>
        <v>0</v>
      </c>
    </row>
    <row r="104" spans="1:91" s="4" customFormat="1">
      <c r="A104" s="150">
        <f>'Input data'!A124</f>
        <v>2024</v>
      </c>
      <c r="B104" s="1506">
        <f>'Input data'!B124</f>
        <v>63.126357518916684</v>
      </c>
      <c r="C104" s="1507">
        <f>'Input data'!C124</f>
        <v>4622.4800000000005</v>
      </c>
      <c r="D104" s="1507">
        <f>'Input data'!D124</f>
        <v>46900203.343432628</v>
      </c>
      <c r="E104" s="1455">
        <f t="shared" si="75"/>
        <v>0.868369230769231</v>
      </c>
      <c r="F104" s="1449">
        <f t="shared" si="76"/>
        <v>0.33289230769230777</v>
      </c>
      <c r="G104" s="1554">
        <f>B104*F104*'Input data'!$C$9</f>
        <v>643.18593275221235</v>
      </c>
      <c r="H104" s="1549">
        <f>'Input data'!I124</f>
        <v>424.26313389388866</v>
      </c>
      <c r="I104" s="1557">
        <f>'Input data'!K124</f>
        <v>26782.186272281633</v>
      </c>
      <c r="J104" s="1557">
        <f t="shared" ref="J104:J106" si="85">($J$107-$J$102)/($A$107-$A$102)+J103</f>
        <v>4903.3738520627494</v>
      </c>
      <c r="K104" s="1511">
        <f t="shared" si="77"/>
        <v>7542.8021893921659</v>
      </c>
      <c r="L104" s="1504">
        <f t="shared" si="28"/>
        <v>0.64461538461538481</v>
      </c>
      <c r="M104" s="1504">
        <f t="shared" si="29"/>
        <v>0.52476923076923077</v>
      </c>
      <c r="N104" s="1504">
        <f t="shared" si="30"/>
        <v>0.81323076923076898</v>
      </c>
      <c r="O104" s="1504">
        <f t="shared" si="31"/>
        <v>0.8538461538461537</v>
      </c>
      <c r="P104" s="1449">
        <f t="shared" si="32"/>
        <v>0.23600000000000002</v>
      </c>
      <c r="Q104" s="1508">
        <f t="shared" si="33"/>
        <v>154.41292427167764</v>
      </c>
      <c r="R104" s="1509">
        <f t="shared" si="34"/>
        <v>107.75413779255246</v>
      </c>
      <c r="S104" s="1509">
        <f t="shared" si="35"/>
        <v>315.54873955281801</v>
      </c>
      <c r="T104" s="1509">
        <f t="shared" si="36"/>
        <v>212.47076771854199</v>
      </c>
      <c r="U104" s="1511">
        <f t="shared" si="37"/>
        <v>0</v>
      </c>
      <c r="V104" s="1509">
        <f t="shared" si="38"/>
        <v>790.18656933559009</v>
      </c>
      <c r="W104" s="1454">
        <f>($N$147-$N$142)/($A$107-$A$102)+W103</f>
        <v>0.5</v>
      </c>
      <c r="X104" s="530">
        <f t="shared" si="39"/>
        <v>3033.4854703020706</v>
      </c>
      <c r="Y104" s="1508">
        <f t="shared" si="78"/>
        <v>3823.6720396376604</v>
      </c>
      <c r="Z104" s="1509">
        <f t="shared" si="79"/>
        <v>8622.5040018172549</v>
      </c>
      <c r="AA104" s="1511">
        <f t="shared" si="80"/>
        <v>3719.1301497545055</v>
      </c>
      <c r="AB104" s="1091">
        <f t="shared" si="40"/>
        <v>0.43132831819743683</v>
      </c>
      <c r="AC104" s="135" t="str">
        <f t="shared" si="41"/>
        <v>Yes</v>
      </c>
      <c r="AD104" s="1091">
        <f t="shared" si="42"/>
        <v>0.43132831819743683</v>
      </c>
      <c r="AE104" s="649">
        <f t="shared" si="10"/>
        <v>0.20385129219747689</v>
      </c>
      <c r="AF104" s="530">
        <f t="shared" si="43"/>
        <v>337.77654581786828</v>
      </c>
      <c r="AG104" s="528">
        <f t="shared" si="44"/>
        <v>4903.3738520627494</v>
      </c>
      <c r="AH104" s="528">
        <f t="shared" si="81"/>
        <v>8131.5738507394826</v>
      </c>
      <c r="AI104" s="528">
        <f t="shared" si="82"/>
        <v>6437.6604656145792</v>
      </c>
      <c r="AJ104" s="528">
        <f t="shared" si="11"/>
        <v>1849.9948243866861</v>
      </c>
      <c r="AK104" s="528">
        <f t="shared" si="45"/>
        <v>21322.602992803495</v>
      </c>
      <c r="AL104" s="716">
        <f t="shared" si="12"/>
        <v>0</v>
      </c>
      <c r="AM104" s="417">
        <f t="shared" si="46"/>
        <v>0.2299613163419901</v>
      </c>
      <c r="AN104" s="417">
        <f t="shared" si="47"/>
        <v>0.38135934217243256</v>
      </c>
      <c r="AO104" s="417">
        <f t="shared" si="48"/>
        <v>0.30191719405868633</v>
      </c>
      <c r="AP104" s="417">
        <f t="shared" si="49"/>
        <v>8.676214742689109E-2</v>
      </c>
      <c r="AQ104" s="417">
        <f t="shared" si="50"/>
        <v>1</v>
      </c>
      <c r="AR104" s="1086">
        <f t="shared" si="13"/>
        <v>938.24442039761743</v>
      </c>
      <c r="AS104" s="938">
        <f t="shared" si="14"/>
        <v>1189.9477545329235</v>
      </c>
      <c r="AT104" s="938">
        <f t="shared" si="15"/>
        <v>329.76677392625965</v>
      </c>
      <c r="AU104" s="938">
        <f t="shared" si="16"/>
        <v>0</v>
      </c>
      <c r="AV104" s="938">
        <f t="shared" si="17"/>
        <v>0</v>
      </c>
      <c r="AW104" s="938">
        <f t="shared" si="18"/>
        <v>0</v>
      </c>
      <c r="AX104" s="938">
        <f t="shared" si="19"/>
        <v>1777.3489220178901</v>
      </c>
      <c r="AY104" s="938">
        <f t="shared" si="20"/>
        <v>195.68740385566747</v>
      </c>
      <c r="AZ104" s="938">
        <f t="shared" si="21"/>
        <v>194.05240499705027</v>
      </c>
      <c r="BA104" s="938">
        <f t="shared" si="22"/>
        <v>207.506557206341</v>
      </c>
      <c r="BB104" s="938">
        <f t="shared" si="23"/>
        <v>70.819615128998564</v>
      </c>
      <c r="BC104" s="530">
        <f t="shared" si="51"/>
        <v>4903.3738520627476</v>
      </c>
      <c r="BD104" s="724">
        <f t="shared" si="52"/>
        <v>0</v>
      </c>
      <c r="BE104" s="436">
        <f t="shared" si="53"/>
        <v>0.19134670304670273</v>
      </c>
      <c r="BF104" s="624">
        <f t="shared" si="54"/>
        <v>0.24267938575239112</v>
      </c>
      <c r="BG104" s="624">
        <f t="shared" si="55"/>
        <v>6.7253035129584013E-2</v>
      </c>
      <c r="BH104" s="624">
        <f t="shared" si="56"/>
        <v>0</v>
      </c>
      <c r="BI104" s="624">
        <f t="shared" si="57"/>
        <v>0</v>
      </c>
      <c r="BJ104" s="624">
        <f t="shared" si="58"/>
        <v>0</v>
      </c>
      <c r="BK104" s="624">
        <f t="shared" si="59"/>
        <v>0.49872087607132221</v>
      </c>
      <c r="BL104" s="624">
        <f t="shared" si="60"/>
        <v>1</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92.676702115943286</v>
      </c>
      <c r="BW104" s="114">
        <f t="shared" si="63"/>
        <v>0.5644027417852433</v>
      </c>
      <c r="BX104" s="1686">
        <f t="shared" si="24"/>
        <v>46.900203343432629</v>
      </c>
      <c r="BY104" s="527">
        <f t="shared" si="64"/>
        <v>92.676702115943286</v>
      </c>
      <c r="BZ104" s="417">
        <f t="shared" si="65"/>
        <v>0.5644027417852433</v>
      </c>
      <c r="CA104" s="544">
        <f t="shared" si="25"/>
        <v>46.900203343432629</v>
      </c>
      <c r="CB104" s="649">
        <f t="shared" si="26"/>
        <v>0.20385129219747689</v>
      </c>
      <c r="CC104" s="525">
        <f t="shared" si="66"/>
        <v>0.30395392590951709</v>
      </c>
      <c r="CD104" s="417">
        <f t="shared" si="27"/>
        <v>0.20385129219747689</v>
      </c>
      <c r="CE104" s="525">
        <f t="shared" si="67"/>
        <v>0.30395392590951709</v>
      </c>
      <c r="CF104"/>
      <c r="CG104" s="527">
        <f t="shared" si="68"/>
        <v>1540.4527445198271</v>
      </c>
      <c r="CH104" s="528">
        <f t="shared" si="69"/>
        <v>644.25830676668909</v>
      </c>
      <c r="CI104" s="528">
        <f t="shared" si="70"/>
        <v>2534.9401782313071</v>
      </c>
      <c r="CJ104" s="528">
        <f t="shared" si="71"/>
        <v>3369.1793166797529</v>
      </c>
      <c r="CK104" s="528">
        <f t="shared" si="72"/>
        <v>42.743304541905701</v>
      </c>
      <c r="CL104" s="528">
        <f t="shared" si="73"/>
        <v>8131.5738507394817</v>
      </c>
      <c r="CM104" s="646">
        <f t="shared" si="74"/>
        <v>0</v>
      </c>
    </row>
    <row r="105" spans="1:91" s="4" customFormat="1">
      <c r="A105" s="150">
        <f>'Input data'!A125</f>
        <v>2025</v>
      </c>
      <c r="B105" s="1506">
        <f>'Input data'!B125</f>
        <v>64.142733908636146</v>
      </c>
      <c r="C105" s="1507">
        <f>'Input data'!C125</f>
        <v>4727.3100000000004</v>
      </c>
      <c r="D105" s="1507">
        <f>'Input data'!D125</f>
        <v>41859241.005426526</v>
      </c>
      <c r="E105" s="1455">
        <f t="shared" si="75"/>
        <v>0.89030769230769258</v>
      </c>
      <c r="F105" s="1449">
        <f t="shared" si="76"/>
        <v>0.33907692307692316</v>
      </c>
      <c r="G105" s="1554">
        <f>B105*F105*'Input data'!$C$9</f>
        <v>665.68343036180283</v>
      </c>
      <c r="H105" s="1549">
        <f>'Input data'!I125</f>
        <v>424.26313389388866</v>
      </c>
      <c r="I105" s="1557">
        <f>'Input data'!K125</f>
        <v>27213.39730459977</v>
      </c>
      <c r="J105" s="1557">
        <f t="shared" si="85"/>
        <v>4569.0529076039256</v>
      </c>
      <c r="K105" s="1511">
        <f t="shared" si="77"/>
        <v>8077.5148555979013</v>
      </c>
      <c r="L105" s="1504">
        <f t="shared" si="28"/>
        <v>0.65384615384615408</v>
      </c>
      <c r="M105" s="1504">
        <f t="shared" si="29"/>
        <v>0.53730769230769226</v>
      </c>
      <c r="N105" s="1504">
        <f t="shared" si="30"/>
        <v>0.82769230769230739</v>
      </c>
      <c r="O105" s="1504">
        <f t="shared" si="31"/>
        <v>0.86153846153846136</v>
      </c>
      <c r="P105" s="1449">
        <f t="shared" si="32"/>
        <v>0.23600000000000002</v>
      </c>
      <c r="Q105" s="1508">
        <f t="shared" si="33"/>
        <v>179.31322876650711</v>
      </c>
      <c r="R105" s="1509">
        <f t="shared" si="34"/>
        <v>125.13034418374559</v>
      </c>
      <c r="S105" s="1509">
        <f t="shared" si="35"/>
        <v>366.4334678544501</v>
      </c>
      <c r="T105" s="1509">
        <f t="shared" si="36"/>
        <v>246.73335834945055</v>
      </c>
      <c r="U105" s="1511">
        <f t="shared" si="37"/>
        <v>0</v>
      </c>
      <c r="V105" s="1509">
        <f t="shared" si="38"/>
        <v>917.61039915415336</v>
      </c>
      <c r="W105" s="1454">
        <f>($N$147-$N$142)/($A$107-$A$102)+W104</f>
        <v>0.5</v>
      </c>
      <c r="X105" s="530">
        <f t="shared" si="39"/>
        <v>3033.4854703020706</v>
      </c>
      <c r="Y105" s="1508">
        <f t="shared" si="78"/>
        <v>3951.0958694562241</v>
      </c>
      <c r="Z105" s="1509">
        <f t="shared" si="79"/>
        <v>8695.4718937456018</v>
      </c>
      <c r="AA105" s="1511">
        <f t="shared" si="80"/>
        <v>4126.4189861416762</v>
      </c>
      <c r="AB105" s="1091">
        <f t="shared" si="40"/>
        <v>0.47454802183992895</v>
      </c>
      <c r="AC105" s="135" t="str">
        <f t="shared" si="41"/>
        <v>Yes</v>
      </c>
      <c r="AD105" s="1091">
        <f t="shared" si="42"/>
        <v>0.47454802183992895</v>
      </c>
      <c r="AE105" s="649">
        <f t="shared" si="10"/>
        <v>0.22388125627716271</v>
      </c>
      <c r="AF105" s="530">
        <f t="shared" si="43"/>
        <v>329.2785704856388</v>
      </c>
      <c r="AG105" s="528">
        <f t="shared" si="44"/>
        <v>4569.0529076039256</v>
      </c>
      <c r="AH105" s="528">
        <f t="shared" si="81"/>
        <v>8377.1989041653123</v>
      </c>
      <c r="AI105" s="528">
        <f t="shared" si="82"/>
        <v>6437.6604656145792</v>
      </c>
      <c r="AJ105" s="528">
        <f t="shared" si="11"/>
        <v>1736.9154510926014</v>
      </c>
      <c r="AK105" s="528">
        <f t="shared" si="45"/>
        <v>21120.827728476419</v>
      </c>
      <c r="AL105" s="716">
        <f t="shared" si="12"/>
        <v>0</v>
      </c>
      <c r="AM105" s="417">
        <f t="shared" si="46"/>
        <v>0.21632925405871489</v>
      </c>
      <c r="AN105" s="417">
        <f t="shared" si="47"/>
        <v>0.39663213070341224</v>
      </c>
      <c r="AO105" s="417">
        <f t="shared" si="48"/>
        <v>0.30480152332926436</v>
      </c>
      <c r="AP105" s="417">
        <f t="shared" si="49"/>
        <v>8.2237091908608465E-2</v>
      </c>
      <c r="AQ105" s="417">
        <f t="shared" si="50"/>
        <v>1</v>
      </c>
      <c r="AR105" s="1086">
        <f t="shared" si="13"/>
        <v>892.20922375276882</v>
      </c>
      <c r="AS105" s="938">
        <f t="shared" si="14"/>
        <v>1131.5626709810228</v>
      </c>
      <c r="AT105" s="938">
        <f t="shared" si="15"/>
        <v>297.83249666046896</v>
      </c>
      <c r="AU105" s="938">
        <f t="shared" si="16"/>
        <v>0</v>
      </c>
      <c r="AV105" s="938">
        <f t="shared" si="17"/>
        <v>0</v>
      </c>
      <c r="AW105" s="938">
        <f t="shared" si="18"/>
        <v>0</v>
      </c>
      <c r="AX105" s="938">
        <f t="shared" si="19"/>
        <v>1668.7099682341516</v>
      </c>
      <c r="AY105" s="938">
        <f t="shared" si="20"/>
        <v>175.50742798428993</v>
      </c>
      <c r="AZ105" s="938">
        <f t="shared" si="21"/>
        <v>158.12321659327185</v>
      </c>
      <c r="BA105" s="938">
        <f t="shared" si="22"/>
        <v>178.61707751211677</v>
      </c>
      <c r="BB105" s="938">
        <f t="shared" si="23"/>
        <v>66.490825885833857</v>
      </c>
      <c r="BC105" s="530">
        <f t="shared" si="51"/>
        <v>4569.0529076039247</v>
      </c>
      <c r="BD105" s="724">
        <f t="shared" si="52"/>
        <v>0</v>
      </c>
      <c r="BE105" s="436">
        <f t="shared" si="53"/>
        <v>0.19527224608582083</v>
      </c>
      <c r="BF105" s="624">
        <f t="shared" si="54"/>
        <v>0.24765803632911534</v>
      </c>
      <c r="BG105" s="624">
        <f t="shared" si="55"/>
        <v>6.5184733616196297E-2</v>
      </c>
      <c r="BH105" s="624">
        <f t="shared" si="56"/>
        <v>0</v>
      </c>
      <c r="BI105" s="624">
        <f t="shared" si="57"/>
        <v>0</v>
      </c>
      <c r="BJ105" s="624">
        <f t="shared" si="58"/>
        <v>0</v>
      </c>
      <c r="BK105" s="624">
        <f t="shared" si="59"/>
        <v>0.49188498396886748</v>
      </c>
      <c r="BL105" s="624">
        <f t="shared" si="60"/>
        <v>0.99999999999999989</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87.971485159557005</v>
      </c>
      <c r="BW105" s="114">
        <f t="shared" si="63"/>
        <v>0.60062536111064291</v>
      </c>
      <c r="BX105" s="1686">
        <f t="shared" si="24"/>
        <v>41.859241005426526</v>
      </c>
      <c r="BY105" s="527">
        <f t="shared" si="64"/>
        <v>87.971485159557005</v>
      </c>
      <c r="BZ105" s="417">
        <f t="shared" si="65"/>
        <v>0.60062536111064291</v>
      </c>
      <c r="CA105" s="544">
        <f t="shared" si="25"/>
        <v>41.859241005426526</v>
      </c>
      <c r="CB105" s="649">
        <f t="shared" si="26"/>
        <v>0.22388125627716271</v>
      </c>
      <c r="CC105" s="525">
        <f t="shared" si="66"/>
        <v>0.3229197158617535</v>
      </c>
      <c r="CD105" s="417">
        <f t="shared" si="27"/>
        <v>0.22388125627716271</v>
      </c>
      <c r="CE105" s="525">
        <f t="shared" si="67"/>
        <v>0.3229197158617535</v>
      </c>
      <c r="CF105"/>
      <c r="CG105" s="527">
        <f t="shared" si="68"/>
        <v>1587.6692130367783</v>
      </c>
      <c r="CH105" s="528">
        <f t="shared" si="69"/>
        <v>670.27258751799377</v>
      </c>
      <c r="CI105" s="528">
        <f t="shared" si="70"/>
        <v>2621.5585865118987</v>
      </c>
      <c r="CJ105" s="528">
        <f t="shared" si="71"/>
        <v>3454.2670168923178</v>
      </c>
      <c r="CK105" s="528">
        <f t="shared" si="72"/>
        <v>43.431500206323115</v>
      </c>
      <c r="CL105" s="528">
        <f t="shared" si="73"/>
        <v>8377.1989041653123</v>
      </c>
      <c r="CM105" s="646">
        <f t="shared" si="74"/>
        <v>0</v>
      </c>
    </row>
    <row r="106" spans="1:91" s="4" customFormat="1">
      <c r="A106" s="150">
        <f>'Input data'!A126</f>
        <v>2026</v>
      </c>
      <c r="B106" s="1506">
        <f>'Input data'!B126</f>
        <v>65.115730264701668</v>
      </c>
      <c r="C106" s="1507">
        <f>'Input data'!C126</f>
        <v>4818.42</v>
      </c>
      <c r="D106" s="1507">
        <f>'Input data'!D126</f>
        <v>37757514.205797322</v>
      </c>
      <c r="E106" s="1455">
        <f t="shared" si="75"/>
        <v>0.91224615384615415</v>
      </c>
      <c r="F106" s="1449">
        <f t="shared" si="76"/>
        <v>0.34526153846153856</v>
      </c>
      <c r="G106" s="1554">
        <f>B106*F106*'Input data'!$C$9</f>
        <v>688.10729762499989</v>
      </c>
      <c r="H106" s="1549">
        <f>'Input data'!I126</f>
        <v>424.26313389388866</v>
      </c>
      <c r="I106" s="1557">
        <f>'Input data'!K126</f>
        <v>27626.203787891463</v>
      </c>
      <c r="J106" s="1557">
        <f t="shared" si="85"/>
        <v>4234.7319631451019</v>
      </c>
      <c r="K106" s="1511">
        <f t="shared" si="77"/>
        <v>8603.6745883418989</v>
      </c>
      <c r="L106" s="1504">
        <f t="shared" si="28"/>
        <v>0.66307692307692334</v>
      </c>
      <c r="M106" s="1504">
        <f t="shared" si="29"/>
        <v>0.54984615384615376</v>
      </c>
      <c r="N106" s="1504">
        <f t="shared" si="30"/>
        <v>0.84215384615384581</v>
      </c>
      <c r="O106" s="1504">
        <f t="shared" si="31"/>
        <v>0.86923076923076903</v>
      </c>
      <c r="P106" s="1449">
        <f t="shared" si="32"/>
        <v>0.23600000000000002</v>
      </c>
      <c r="Q106" s="1508">
        <f t="shared" si="33"/>
        <v>204.78743290891521</v>
      </c>
      <c r="R106" s="1509">
        <f t="shared" si="34"/>
        <v>142.90703558612518</v>
      </c>
      <c r="S106" s="1509">
        <f t="shared" si="35"/>
        <v>418.49098212122908</v>
      </c>
      <c r="T106" s="1509">
        <f t="shared" si="36"/>
        <v>281.78562963234708</v>
      </c>
      <c r="U106" s="1511">
        <f t="shared" si="37"/>
        <v>0</v>
      </c>
      <c r="V106" s="1509">
        <f t="shared" si="38"/>
        <v>1047.9710802486165</v>
      </c>
      <c r="W106" s="1454">
        <f>($N$147-$N$142)/($A$107-$A$102)+W105</f>
        <v>0.5</v>
      </c>
      <c r="X106" s="530">
        <f t="shared" si="39"/>
        <v>3033.4854703020706</v>
      </c>
      <c r="Y106" s="1508">
        <f t="shared" si="78"/>
        <v>4081.4565505506871</v>
      </c>
      <c r="Z106" s="1509">
        <f t="shared" si="79"/>
        <v>8756.9500009363146</v>
      </c>
      <c r="AA106" s="1511">
        <f t="shared" si="80"/>
        <v>4522.2180377912127</v>
      </c>
      <c r="AB106" s="1091">
        <f t="shared" si="40"/>
        <v>0.51641473770064761</v>
      </c>
      <c r="AC106" s="135" t="str">
        <f t="shared" si="41"/>
        <v>Yes</v>
      </c>
      <c r="AD106" s="1091">
        <f t="shared" si="42"/>
        <v>0.51641473770064761</v>
      </c>
      <c r="AE106" s="649">
        <f t="shared" si="10"/>
        <v>0.24289710140574805</v>
      </c>
      <c r="AF106" s="530">
        <f t="shared" si="43"/>
        <v>321.21084843774435</v>
      </c>
      <c r="AG106" s="528">
        <f t="shared" si="44"/>
        <v>4234.7319631451019</v>
      </c>
      <c r="AH106" s="528">
        <f t="shared" si="81"/>
        <v>8620.7158539567481</v>
      </c>
      <c r="AI106" s="528">
        <f t="shared" si="82"/>
        <v>6437.6604656145792</v>
      </c>
      <c r="AJ106" s="528">
        <f t="shared" si="11"/>
        <v>1622.7706822517018</v>
      </c>
      <c r="AK106" s="528">
        <f t="shared" si="45"/>
        <v>20915.878964968131</v>
      </c>
      <c r="AL106" s="716">
        <f t="shared" si="12"/>
        <v>0</v>
      </c>
      <c r="AM106" s="417">
        <f t="shared" si="46"/>
        <v>0.20246492964688823</v>
      </c>
      <c r="AN106" s="417">
        <f t="shared" si="47"/>
        <v>0.41216129947947816</v>
      </c>
      <c r="AO106" s="417">
        <f t="shared" si="48"/>
        <v>0.30778818697492821</v>
      </c>
      <c r="AP106" s="417">
        <f t="shared" si="49"/>
        <v>7.7585583898705374E-2</v>
      </c>
      <c r="AQ106" s="417">
        <f t="shared" si="50"/>
        <v>1</v>
      </c>
      <c r="AR106" s="1086">
        <f t="shared" si="13"/>
        <v>843.38629930862862</v>
      </c>
      <c r="AS106" s="938">
        <f t="shared" si="14"/>
        <v>1069.641994397181</v>
      </c>
      <c r="AT106" s="938">
        <f t="shared" si="15"/>
        <v>267.2562802352889</v>
      </c>
      <c r="AU106" s="938">
        <f t="shared" si="16"/>
        <v>0</v>
      </c>
      <c r="AV106" s="938">
        <f t="shared" si="17"/>
        <v>0</v>
      </c>
      <c r="AW106" s="938">
        <f t="shared" si="18"/>
        <v>0</v>
      </c>
      <c r="AX106" s="938">
        <f t="shared" si="19"/>
        <v>1559.0474550319259</v>
      </c>
      <c r="AY106" s="938">
        <f t="shared" si="20"/>
        <v>156.29497946851095</v>
      </c>
      <c r="AZ106" s="938">
        <f t="shared" si="21"/>
        <v>125.24561247236078</v>
      </c>
      <c r="BA106" s="938">
        <f t="shared" si="22"/>
        <v>151.73808997430231</v>
      </c>
      <c r="BB106" s="938">
        <f t="shared" si="23"/>
        <v>62.12125225690172</v>
      </c>
      <c r="BC106" s="530">
        <f t="shared" si="51"/>
        <v>4234.731963145101</v>
      </c>
      <c r="BD106" s="724">
        <f t="shared" si="52"/>
        <v>0</v>
      </c>
      <c r="BE106" s="436">
        <f t="shared" si="53"/>
        <v>0.19915931082501204</v>
      </c>
      <c r="BF106" s="624">
        <f t="shared" si="54"/>
        <v>0.25258788601174337</v>
      </c>
      <c r="BG106" s="624">
        <f t="shared" si="55"/>
        <v>6.3110553999927738E-2</v>
      </c>
      <c r="BH106" s="624">
        <f t="shared" si="56"/>
        <v>0</v>
      </c>
      <c r="BI106" s="624">
        <f t="shared" si="57"/>
        <v>0</v>
      </c>
      <c r="BJ106" s="624">
        <f t="shared" si="58"/>
        <v>0</v>
      </c>
      <c r="BK106" s="624">
        <f t="shared" si="59"/>
        <v>0.48514224916331672</v>
      </c>
      <c r="BL106" s="624">
        <f t="shared" si="60"/>
        <v>0.99999999999999989</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84.131980311407801</v>
      </c>
      <c r="BW106" s="114">
        <f t="shared" si="63"/>
        <v>0.63365564336219404</v>
      </c>
      <c r="BX106" s="1686">
        <f t="shared" si="24"/>
        <v>37.757514205797321</v>
      </c>
      <c r="BY106" s="527">
        <f t="shared" si="64"/>
        <v>84.131980311407801</v>
      </c>
      <c r="BZ106" s="417">
        <f t="shared" si="65"/>
        <v>0.63365564336219404</v>
      </c>
      <c r="CA106" s="544">
        <f t="shared" si="25"/>
        <v>37.757514205797321</v>
      </c>
      <c r="CB106" s="649">
        <f t="shared" si="26"/>
        <v>0.24289710140574805</v>
      </c>
      <c r="CC106" s="525">
        <f t="shared" si="66"/>
        <v>0.33962889078288261</v>
      </c>
      <c r="CD106" s="417">
        <f t="shared" si="27"/>
        <v>0.24289710140574805</v>
      </c>
      <c r="CE106" s="525">
        <f t="shared" si="67"/>
        <v>0.33962889078288261</v>
      </c>
      <c r="CF106"/>
      <c r="CG106" s="527">
        <f t="shared" si="68"/>
        <v>1634.5071034026316</v>
      </c>
      <c r="CH106" s="528">
        <f t="shared" si="69"/>
        <v>696.31867100860461</v>
      </c>
      <c r="CI106" s="528">
        <f t="shared" si="70"/>
        <v>2707.8246289971808</v>
      </c>
      <c r="CJ106" s="528">
        <f t="shared" si="71"/>
        <v>3537.9751276061484</v>
      </c>
      <c r="CK106" s="528">
        <f t="shared" si="72"/>
        <v>44.090322942182866</v>
      </c>
      <c r="CL106" s="528">
        <f t="shared" si="73"/>
        <v>8620.7158539567499</v>
      </c>
      <c r="CM106" s="646">
        <f t="shared" si="74"/>
        <v>0</v>
      </c>
    </row>
    <row r="107" spans="1:91" s="464" customFormat="1">
      <c r="A107" s="150">
        <f>'Input data'!A127</f>
        <v>2027</v>
      </c>
      <c r="B107" s="1506">
        <f>'Input data'!B127</f>
        <v>66.042835586617315</v>
      </c>
      <c r="C107" s="1507">
        <f>'Input data'!C127</f>
        <v>4908.8799999999992</v>
      </c>
      <c r="D107" s="1507">
        <f>'Input data'!D127</f>
        <v>35019614.880897872</v>
      </c>
      <c r="E107" s="1455">
        <f t="shared" si="75"/>
        <v>0.93418461538461572</v>
      </c>
      <c r="F107" s="1449">
        <f t="shared" si="76"/>
        <v>0.35144615384615396</v>
      </c>
      <c r="G107" s="1554">
        <f>B107*F107*'Input data'!$C$9</f>
        <v>710.40588973088313</v>
      </c>
      <c r="H107" s="1549">
        <f>'Input data'!I127</f>
        <v>424.26313389388866</v>
      </c>
      <c r="I107" s="1557">
        <f>'Input data'!K127</f>
        <v>28019.540397217097</v>
      </c>
      <c r="J107" s="1557">
        <f>J97*(1-$G$5)</f>
        <v>3900.4110186862777</v>
      </c>
      <c r="K107" s="1511">
        <f t="shared" si="77"/>
        <v>9120.7863114714874</v>
      </c>
      <c r="L107" s="1504">
        <f t="shared" si="28"/>
        <v>0.67230769230769261</v>
      </c>
      <c r="M107" s="1504">
        <f t="shared" si="29"/>
        <v>0.56238461538461526</v>
      </c>
      <c r="N107" s="1504">
        <f t="shared" si="30"/>
        <v>0.85661538461538422</v>
      </c>
      <c r="O107" s="1504">
        <f t="shared" si="31"/>
        <v>0.87692307692307669</v>
      </c>
      <c r="P107" s="1449">
        <f t="shared" si="32"/>
        <v>0.23600000000000002</v>
      </c>
      <c r="Q107" s="1508">
        <f t="shared" si="33"/>
        <v>230.78128581952865</v>
      </c>
      <c r="R107" s="1509">
        <f t="shared" si="34"/>
        <v>161.04635404991859</v>
      </c>
      <c r="S107" s="1509">
        <f t="shared" si="35"/>
        <v>471.61041859815305</v>
      </c>
      <c r="T107" s="1509">
        <f t="shared" si="36"/>
        <v>317.5529328547359</v>
      </c>
      <c r="U107" s="1511">
        <f t="shared" si="37"/>
        <v>0</v>
      </c>
      <c r="V107" s="1509">
        <f t="shared" si="38"/>
        <v>1180.9909913223362</v>
      </c>
      <c r="W107" s="1454">
        <f>$C$27</f>
        <v>0.5</v>
      </c>
      <c r="X107" s="530">
        <f t="shared" si="39"/>
        <v>3033.4854703020706</v>
      </c>
      <c r="Y107" s="1508">
        <f t="shared" si="78"/>
        <v>4214.4764616244065</v>
      </c>
      <c r="Z107" s="1509">
        <f t="shared" si="79"/>
        <v>8806.720868533359</v>
      </c>
      <c r="AA107" s="1511">
        <f t="shared" si="80"/>
        <v>4906.3098498470808</v>
      </c>
      <c r="AB107" s="1091">
        <f t="shared" si="40"/>
        <v>0.55710972597955866</v>
      </c>
      <c r="AC107" s="135" t="str">
        <f t="shared" si="41"/>
        <v>Yes</v>
      </c>
      <c r="AD107" s="1091">
        <f t="shared" si="42"/>
        <v>0.55710972597955866</v>
      </c>
      <c r="AE107" s="649">
        <f t="shared" si="10"/>
        <v>0.26098012918869418</v>
      </c>
      <c r="AF107" s="530">
        <f t="shared" si="43"/>
        <v>313.53888640026133</v>
      </c>
      <c r="AG107" s="528">
        <f t="shared" si="44"/>
        <v>3900.4110186862777</v>
      </c>
      <c r="AH107" s="528">
        <f t="shared" si="81"/>
        <v>8861.555057737065</v>
      </c>
      <c r="AI107" s="528">
        <f t="shared" si="82"/>
        <v>6437.6604656145792</v>
      </c>
      <c r="AJ107" s="528">
        <f t="shared" si="11"/>
        <v>1507.3705825056252</v>
      </c>
      <c r="AK107" s="528">
        <f t="shared" si="45"/>
        <v>20706.997124543544</v>
      </c>
      <c r="AL107" s="716">
        <f t="shared" si="12"/>
        <v>0</v>
      </c>
      <c r="AM107" s="417">
        <f t="shared" si="46"/>
        <v>0.18836198195358839</v>
      </c>
      <c r="AN107" s="417">
        <f t="shared" si="47"/>
        <v>0.42794978936050848</v>
      </c>
      <c r="AO107" s="417">
        <f t="shared" si="48"/>
        <v>0.31089300041405632</v>
      </c>
      <c r="AP107" s="417">
        <f t="shared" si="49"/>
        <v>7.2795228271846923E-2</v>
      </c>
      <c r="AQ107" s="417">
        <f t="shared" si="50"/>
        <v>1</v>
      </c>
      <c r="AR107" s="1086">
        <f t="shared" si="13"/>
        <v>791.84364802808568</v>
      </c>
      <c r="AS107" s="938">
        <f t="shared" si="14"/>
        <v>1004.2719683990903</v>
      </c>
      <c r="AT107" s="938">
        <f t="shared" si="15"/>
        <v>238.02980433376032</v>
      </c>
      <c r="AU107" s="938">
        <f t="shared" si="16"/>
        <v>0</v>
      </c>
      <c r="AV107" s="938">
        <f t="shared" si="17"/>
        <v>0</v>
      </c>
      <c r="AW107" s="938">
        <f t="shared" si="18"/>
        <v>0</v>
      </c>
      <c r="AX107" s="938">
        <f t="shared" si="19"/>
        <v>1448.1789054658789</v>
      </c>
      <c r="AY107" s="938">
        <f t="shared" si="20"/>
        <v>138.04778741443795</v>
      </c>
      <c r="AZ107" s="938">
        <f t="shared" si="21"/>
        <v>95.451853845878773</v>
      </c>
      <c r="BA107" s="938">
        <f t="shared" si="22"/>
        <v>126.88342786862439</v>
      </c>
      <c r="BB107" s="938">
        <f t="shared" si="23"/>
        <v>57.70362333052104</v>
      </c>
      <c r="BC107" s="530">
        <f t="shared" si="51"/>
        <v>3900.4110186862777</v>
      </c>
      <c r="BD107" s="724">
        <f t="shared" si="52"/>
        <v>0</v>
      </c>
      <c r="BE107" s="436">
        <f t="shared" si="53"/>
        <v>0.20301543715123427</v>
      </c>
      <c r="BF107" s="624">
        <f t="shared" si="54"/>
        <v>0.25747849741675316</v>
      </c>
      <c r="BG107" s="624">
        <f t="shared" si="55"/>
        <v>6.1026851578819673E-2</v>
      </c>
      <c r="BH107" s="624">
        <f t="shared" si="56"/>
        <v>0</v>
      </c>
      <c r="BI107" s="624">
        <f t="shared" si="57"/>
        <v>0</v>
      </c>
      <c r="BJ107" s="624">
        <f t="shared" si="58"/>
        <v>0</v>
      </c>
      <c r="BK107" s="624">
        <f t="shared" si="59"/>
        <v>0.47847921385319281</v>
      </c>
      <c r="BL107" s="624">
        <f t="shared" si="60"/>
        <v>0.99999999999999989</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81.855981060852642</v>
      </c>
      <c r="BW107" s="114">
        <f t="shared" si="63"/>
        <v>0.65971565450245506</v>
      </c>
      <c r="BX107" s="1686">
        <f t="shared" si="24"/>
        <v>35.019614880897869</v>
      </c>
      <c r="BY107" s="527">
        <f t="shared" si="64"/>
        <v>81.855981060852642</v>
      </c>
      <c r="BZ107" s="417">
        <f t="shared" si="65"/>
        <v>0.65971565450245506</v>
      </c>
      <c r="CA107" s="544">
        <f t="shared" si="25"/>
        <v>35.019614880897869</v>
      </c>
      <c r="CB107" s="649">
        <f t="shared" si="26"/>
        <v>0.26098012918869418</v>
      </c>
      <c r="CC107" s="525">
        <f t="shared" si="66"/>
        <v>0.35002220753292401</v>
      </c>
      <c r="CD107" s="417">
        <f t="shared" si="27"/>
        <v>0.26098012918869418</v>
      </c>
      <c r="CE107" s="525">
        <f t="shared" si="67"/>
        <v>0.35002220753292401</v>
      </c>
      <c r="CF107" s="1"/>
      <c r="CG107" s="527">
        <f t="shared" si="68"/>
        <v>1680.8570317188946</v>
      </c>
      <c r="CH107" s="528">
        <f t="shared" si="69"/>
        <v>722.33735856377643</v>
      </c>
      <c r="CI107" s="528">
        <f t="shared" si="70"/>
        <v>2793.5391603771532</v>
      </c>
      <c r="CJ107" s="528">
        <f t="shared" si="71"/>
        <v>3620.1034345440071</v>
      </c>
      <c r="CK107" s="528">
        <f t="shared" si="72"/>
        <v>44.718072533234221</v>
      </c>
      <c r="CL107" s="528">
        <f t="shared" si="73"/>
        <v>8861.5550577370668</v>
      </c>
      <c r="CM107" s="646">
        <f t="shared" si="74"/>
        <v>0</v>
      </c>
    </row>
    <row r="108" spans="1:91" s="4" customFormat="1">
      <c r="A108" s="150">
        <f>'Input data'!A128</f>
        <v>2028</v>
      </c>
      <c r="B108" s="1506">
        <f>'Input data'!B128</f>
        <v>66.921626677758155</v>
      </c>
      <c r="C108" s="1507">
        <f>'Input data'!C128</f>
        <v>5001.3400000000011</v>
      </c>
      <c r="D108" s="1507">
        <f>'Input data'!D128</f>
        <v>32897025.730580334</v>
      </c>
      <c r="E108" s="1455">
        <f t="shared" si="75"/>
        <v>0.9561230769230773</v>
      </c>
      <c r="F108" s="1449">
        <f t="shared" si="76"/>
        <v>0.35763076923076936</v>
      </c>
      <c r="G108" s="1554">
        <f>B108*F108*'Input data'!$C$9</f>
        <v>732.52662171288353</v>
      </c>
      <c r="H108" s="1549">
        <f>'Input data'!I128</f>
        <v>424.26313389388866</v>
      </c>
      <c r="I108" s="1557">
        <f>'Input data'!K128</f>
        <v>28392.379059582541</v>
      </c>
      <c r="J108" s="1557">
        <f>($J$112-$J$107)/($A$112-$A$107)+J107</f>
        <v>3566.0900742274539</v>
      </c>
      <c r="K108" s="1511">
        <f t="shared" si="77"/>
        <v>9628.3722605002895</v>
      </c>
      <c r="L108" s="1504">
        <f t="shared" si="28"/>
        <v>0.68153846153846187</v>
      </c>
      <c r="M108" s="1504">
        <f t="shared" si="29"/>
        <v>0.57492307692307676</v>
      </c>
      <c r="N108" s="1504">
        <f t="shared" si="30"/>
        <v>0.87107692307692264</v>
      </c>
      <c r="O108" s="1504">
        <f t="shared" si="31"/>
        <v>0.88461538461538436</v>
      </c>
      <c r="P108" s="1449">
        <f t="shared" si="32"/>
        <v>0.23600000000000002</v>
      </c>
      <c r="Q108" s="1508">
        <f t="shared" si="33"/>
        <v>257.23736433044314</v>
      </c>
      <c r="R108" s="1509">
        <f t="shared" si="34"/>
        <v>179.5082279038196</v>
      </c>
      <c r="S108" s="1509">
        <f t="shared" si="35"/>
        <v>525.674430836802</v>
      </c>
      <c r="T108" s="1509">
        <f t="shared" si="36"/>
        <v>353.95625426419383</v>
      </c>
      <c r="U108" s="1511">
        <f t="shared" si="37"/>
        <v>0</v>
      </c>
      <c r="V108" s="1509">
        <f t="shared" si="38"/>
        <v>1316.3762773352587</v>
      </c>
      <c r="W108" s="1454">
        <f>W107</f>
        <v>0.5</v>
      </c>
      <c r="X108" s="530">
        <f t="shared" si="39"/>
        <v>3033.4854703020706</v>
      </c>
      <c r="Y108" s="1508">
        <f t="shared" si="78"/>
        <v>4349.8617476373292</v>
      </c>
      <c r="Z108" s="1509">
        <f t="shared" si="79"/>
        <v>8844.6005870904137</v>
      </c>
      <c r="AA108" s="1511">
        <f t="shared" si="80"/>
        <v>5278.5105128629602</v>
      </c>
      <c r="AB108" s="1091">
        <f t="shared" si="40"/>
        <v>0.59680597907015476</v>
      </c>
      <c r="AC108" s="135" t="str">
        <f t="shared" si="41"/>
        <v>Yes</v>
      </c>
      <c r="AD108" s="1091">
        <f t="shared" si="42"/>
        <v>0.59680597907015476</v>
      </c>
      <c r="AE108" s="649">
        <f t="shared" si="10"/>
        <v>0.27820714876718022</v>
      </c>
      <c r="AF108" s="530">
        <f t="shared" si="43"/>
        <v>306.23009708624147</v>
      </c>
      <c r="AG108" s="528">
        <f t="shared" si="44"/>
        <v>3566.0900742274539</v>
      </c>
      <c r="AH108" s="528">
        <f t="shared" si="81"/>
        <v>9099.1408506868756</v>
      </c>
      <c r="AI108" s="528">
        <f t="shared" si="82"/>
        <v>6437.6604656145792</v>
      </c>
      <c r="AJ108" s="528">
        <f t="shared" si="11"/>
        <v>1390.524844170181</v>
      </c>
      <c r="AK108" s="528">
        <f t="shared" si="45"/>
        <v>20493.416234699089</v>
      </c>
      <c r="AL108" s="716">
        <f t="shared" si="12"/>
        <v>0</v>
      </c>
      <c r="AM108" s="417">
        <f t="shared" si="46"/>
        <v>0.17401149878512756</v>
      </c>
      <c r="AN108" s="417">
        <f t="shared" si="47"/>
        <v>0.44400312502706951</v>
      </c>
      <c r="AO108" s="417">
        <f t="shared" si="48"/>
        <v>0.31413310459748761</v>
      </c>
      <c r="AP108" s="417">
        <f t="shared" si="49"/>
        <v>6.7852271590315386E-2</v>
      </c>
      <c r="AQ108" s="417">
        <f t="shared" si="50"/>
        <v>1</v>
      </c>
      <c r="AR108" s="1086">
        <f t="shared" si="13"/>
        <v>737.63787198365071</v>
      </c>
      <c r="AS108" s="938">
        <f t="shared" si="14"/>
        <v>935.52437972762823</v>
      </c>
      <c r="AT108" s="938">
        <f t="shared" si="15"/>
        <v>210.14984397380184</v>
      </c>
      <c r="AU108" s="938">
        <f t="shared" si="16"/>
        <v>0</v>
      </c>
      <c r="AV108" s="938">
        <f t="shared" si="17"/>
        <v>0</v>
      </c>
      <c r="AW108" s="938">
        <f t="shared" si="18"/>
        <v>0</v>
      </c>
      <c r="AX108" s="938">
        <f t="shared" si="19"/>
        <v>1335.9214848853997</v>
      </c>
      <c r="AY108" s="938">
        <f t="shared" si="20"/>
        <v>120.7671435413521</v>
      </c>
      <c r="AZ108" s="938">
        <f t="shared" si="21"/>
        <v>68.784711009108662</v>
      </c>
      <c r="BA108" s="938">
        <f t="shared" si="22"/>
        <v>104.07398516449905</v>
      </c>
      <c r="BB108" s="938">
        <f t="shared" si="23"/>
        <v>53.230653942013056</v>
      </c>
      <c r="BC108" s="530">
        <f t="shared" si="51"/>
        <v>3566.0900742274534</v>
      </c>
      <c r="BD108" s="724">
        <f t="shared" si="52"/>
        <v>0</v>
      </c>
      <c r="BE108" s="436">
        <f t="shared" si="53"/>
        <v>0.20684779594173608</v>
      </c>
      <c r="BF108" s="624">
        <f t="shared" si="54"/>
        <v>0.26233896515648086</v>
      </c>
      <c r="BG108" s="624">
        <f t="shared" si="55"/>
        <v>5.8930043717229444E-2</v>
      </c>
      <c r="BH108" s="624">
        <f t="shared" si="56"/>
        <v>0</v>
      </c>
      <c r="BI108" s="624">
        <f t="shared" si="57"/>
        <v>0</v>
      </c>
      <c r="BJ108" s="624">
        <f t="shared" si="58"/>
        <v>0</v>
      </c>
      <c r="BK108" s="624">
        <f t="shared" si="59"/>
        <v>0.47188319518455357</v>
      </c>
      <c r="BL108" s="624">
        <f t="shared" si="60"/>
        <v>1</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80.236516781439207</v>
      </c>
      <c r="BW108" s="114">
        <f t="shared" si="63"/>
        <v>0.68260341092778454</v>
      </c>
      <c r="BX108" s="1686">
        <f t="shared" si="24"/>
        <v>32.897025730580332</v>
      </c>
      <c r="BY108" s="527">
        <f t="shared" si="64"/>
        <v>80.236516781439207</v>
      </c>
      <c r="BZ108" s="417">
        <f t="shared" si="65"/>
        <v>0.68260341092778454</v>
      </c>
      <c r="CA108" s="544">
        <f t="shared" si="25"/>
        <v>32.897025730580332</v>
      </c>
      <c r="CB108" s="649">
        <f t="shared" si="26"/>
        <v>0.27820714876718022</v>
      </c>
      <c r="CC108" s="525">
        <f t="shared" si="66"/>
        <v>0.35807302697893617</v>
      </c>
      <c r="CD108" s="417">
        <f t="shared" si="27"/>
        <v>0.27820714876718022</v>
      </c>
      <c r="CE108" s="525">
        <f t="shared" si="67"/>
        <v>0.35807302697893617</v>
      </c>
      <c r="CF108"/>
      <c r="CG108" s="527">
        <f t="shared" si="68"/>
        <v>1726.6083696725154</v>
      </c>
      <c r="CH108" s="528">
        <f t="shared" si="69"/>
        <v>748.26798402294946</v>
      </c>
      <c r="CI108" s="528">
        <f t="shared" si="70"/>
        <v>2878.4996396498846</v>
      </c>
      <c r="CJ108" s="528">
        <f t="shared" si="71"/>
        <v>3700.4517491256743</v>
      </c>
      <c r="CK108" s="528">
        <f t="shared" si="72"/>
        <v>45.313108215850484</v>
      </c>
      <c r="CL108" s="528">
        <f t="shared" si="73"/>
        <v>9099.1408506868738</v>
      </c>
      <c r="CM108" s="646">
        <f t="shared" si="74"/>
        <v>0</v>
      </c>
    </row>
    <row r="109" spans="1:91" s="4" customFormat="1">
      <c r="A109" s="150">
        <f>'Input data'!A129</f>
        <v>2029</v>
      </c>
      <c r="B109" s="1506">
        <f>'Input data'!B129</f>
        <v>67.749778587208695</v>
      </c>
      <c r="C109" s="1507">
        <f>'Input data'!C129</f>
        <v>5124.16</v>
      </c>
      <c r="D109" s="1507">
        <f>'Input data'!D129</f>
        <v>31986451.408819646</v>
      </c>
      <c r="E109" s="1455">
        <f t="shared" si="75"/>
        <v>0.97806153846153887</v>
      </c>
      <c r="F109" s="1449">
        <f t="shared" si="76"/>
        <v>0.36381538461538476</v>
      </c>
      <c r="G109" s="1554">
        <f>B109*F109*'Input data'!$C$9</f>
        <v>754.41616782543099</v>
      </c>
      <c r="H109" s="1549">
        <f>'Input data'!I129</f>
        <v>424.26313389388866</v>
      </c>
      <c r="I109" s="1557">
        <f>'Input data'!K129</f>
        <v>28743.733384026233</v>
      </c>
      <c r="J109" s="1557">
        <f t="shared" ref="J109:J111" si="86">($J$112-$J$107)/($A$112-$A$107)+J108</f>
        <v>3231.7691297686301</v>
      </c>
      <c r="K109" s="1511">
        <f t="shared" si="77"/>
        <v>10125.974041351417</v>
      </c>
      <c r="L109" s="1504">
        <f t="shared" si="28"/>
        <v>0.69076923076923114</v>
      </c>
      <c r="M109" s="1504">
        <f t="shared" si="29"/>
        <v>0.58746153846153826</v>
      </c>
      <c r="N109" s="1504">
        <f t="shared" si="30"/>
        <v>0.88553846153846105</v>
      </c>
      <c r="O109" s="1504">
        <f t="shared" si="31"/>
        <v>0.89230769230769202</v>
      </c>
      <c r="P109" s="1449">
        <f t="shared" si="32"/>
        <v>0.23600000000000002</v>
      </c>
      <c r="Q109" s="1508">
        <f t="shared" si="33"/>
        <v>284.09527018272388</v>
      </c>
      <c r="R109" s="1509">
        <f t="shared" si="34"/>
        <v>198.25050936553305</v>
      </c>
      <c r="S109" s="1509">
        <f t="shared" si="35"/>
        <v>580.55959267600338</v>
      </c>
      <c r="T109" s="1509">
        <f t="shared" si="36"/>
        <v>390.91248641032053</v>
      </c>
      <c r="U109" s="1511">
        <f t="shared" si="37"/>
        <v>0</v>
      </c>
      <c r="V109" s="1509">
        <f t="shared" si="38"/>
        <v>1453.8178586345807</v>
      </c>
      <c r="W109" s="1454">
        <f t="shared" ref="W109:W130" si="87">W108</f>
        <v>0.5</v>
      </c>
      <c r="X109" s="530">
        <f t="shared" si="39"/>
        <v>3033.4854703020706</v>
      </c>
      <c r="Y109" s="1508">
        <f t="shared" si="78"/>
        <v>4487.3033289366513</v>
      </c>
      <c r="Z109" s="1509">
        <f t="shared" si="79"/>
        <v>8870.4398421833976</v>
      </c>
      <c r="AA109" s="1511">
        <f t="shared" si="80"/>
        <v>5638.670712414767</v>
      </c>
      <c r="AB109" s="1091">
        <f t="shared" si="40"/>
        <v>0.63566979910060994</v>
      </c>
      <c r="AC109" s="135" t="str">
        <f t="shared" si="41"/>
        <v>Yes</v>
      </c>
      <c r="AD109" s="1091">
        <f t="shared" si="42"/>
        <v>0.63566979910060994</v>
      </c>
      <c r="AE109" s="649">
        <f t="shared" si="10"/>
        <v>0.29465096067231977</v>
      </c>
      <c r="AF109" s="530">
        <f t="shared" si="43"/>
        <v>299.25359391420528</v>
      </c>
      <c r="AG109" s="528">
        <f t="shared" si="44"/>
        <v>3231.7691297686301</v>
      </c>
      <c r="AH109" s="528">
        <f t="shared" si="81"/>
        <v>9332.8937690261737</v>
      </c>
      <c r="AI109" s="528">
        <f t="shared" si="82"/>
        <v>6437.6604656145792</v>
      </c>
      <c r="AJ109" s="528">
        <f t="shared" si="11"/>
        <v>1272.0413647044879</v>
      </c>
      <c r="AK109" s="528">
        <f t="shared" si="45"/>
        <v>20274.364729113873</v>
      </c>
      <c r="AL109" s="716">
        <f t="shared" si="12"/>
        <v>0</v>
      </c>
      <c r="AM109" s="417">
        <f t="shared" si="46"/>
        <v>0.15940174565015239</v>
      </c>
      <c r="AN109" s="417">
        <f t="shared" si="47"/>
        <v>0.46032977574010941</v>
      </c>
      <c r="AO109" s="417">
        <f t="shared" si="48"/>
        <v>0.31752711128700051</v>
      </c>
      <c r="AP109" s="417">
        <f t="shared" si="49"/>
        <v>6.2741367322737551E-2</v>
      </c>
      <c r="AQ109" s="417">
        <f t="shared" si="50"/>
        <v>0.99999999999999978</v>
      </c>
      <c r="AR109" s="1086">
        <f t="shared" si="13"/>
        <v>680.814977850324</v>
      </c>
      <c r="AS109" s="938">
        <f t="shared" si="14"/>
        <v>863.45757729318439</v>
      </c>
      <c r="AT109" s="938">
        <f t="shared" si="15"/>
        <v>183.6180767903162</v>
      </c>
      <c r="AU109" s="938">
        <f t="shared" si="16"/>
        <v>0</v>
      </c>
      <c r="AV109" s="938">
        <f t="shared" si="17"/>
        <v>0</v>
      </c>
      <c r="AW109" s="938">
        <f t="shared" si="18"/>
        <v>0</v>
      </c>
      <c r="AX109" s="938">
        <f t="shared" si="19"/>
        <v>1222.0906342639162</v>
      </c>
      <c r="AY109" s="938">
        <f t="shared" si="20"/>
        <v>104.45779417485201</v>
      </c>
      <c r="AZ109" s="938">
        <f t="shared" si="21"/>
        <v>45.297438480697515</v>
      </c>
      <c r="BA109" s="938">
        <f t="shared" si="22"/>
        <v>83.337640697514118</v>
      </c>
      <c r="BB109" s="938">
        <f t="shared" si="23"/>
        <v>48.69499021782574</v>
      </c>
      <c r="BC109" s="530">
        <f t="shared" si="51"/>
        <v>3231.7691297686297</v>
      </c>
      <c r="BD109" s="724">
        <f t="shared" si="52"/>
        <v>0</v>
      </c>
      <c r="BE109" s="436">
        <f t="shared" si="53"/>
        <v>0.21066324682019139</v>
      </c>
      <c r="BF109" s="624">
        <f t="shared" si="54"/>
        <v>0.26717798908952428</v>
      </c>
      <c r="BG109" s="624">
        <f t="shared" si="55"/>
        <v>5.6816582316776408E-2</v>
      </c>
      <c r="BH109" s="624">
        <f t="shared" si="56"/>
        <v>0</v>
      </c>
      <c r="BI109" s="624">
        <f t="shared" si="57"/>
        <v>0</v>
      </c>
      <c r="BJ109" s="624">
        <f t="shared" si="58"/>
        <v>0</v>
      </c>
      <c r="BK109" s="624">
        <f t="shared" si="59"/>
        <v>0.46534218177350811</v>
      </c>
      <c r="BL109" s="624">
        <f t="shared" si="60"/>
        <v>1.0000000000000002</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79.287099189019543</v>
      </c>
      <c r="BW109" s="114">
        <f t="shared" si="63"/>
        <v>0.70668115321330049</v>
      </c>
      <c r="BX109" s="1686">
        <f t="shared" si="24"/>
        <v>31.986451408819647</v>
      </c>
      <c r="BY109" s="527">
        <f t="shared" si="64"/>
        <v>79.287099189019543</v>
      </c>
      <c r="BZ109" s="417">
        <f t="shared" si="65"/>
        <v>0.70668115321330049</v>
      </c>
      <c r="CA109" s="544">
        <f t="shared" si="25"/>
        <v>31.986451408819647</v>
      </c>
      <c r="CB109" s="649">
        <f t="shared" si="26"/>
        <v>0.29465096067231977</v>
      </c>
      <c r="CC109" s="525">
        <f t="shared" si="66"/>
        <v>0.36976079216659063</v>
      </c>
      <c r="CD109" s="417">
        <f t="shared" si="27"/>
        <v>0.29465096067231977</v>
      </c>
      <c r="CE109" s="525">
        <f t="shared" si="67"/>
        <v>0.36976079216659063</v>
      </c>
      <c r="CF109"/>
      <c r="CG109" s="527">
        <f t="shared" si="68"/>
        <v>1771.6496710005927</v>
      </c>
      <c r="CH109" s="528">
        <f t="shared" si="69"/>
        <v>774.04864009436483</v>
      </c>
      <c r="CI109" s="528">
        <f t="shared" si="70"/>
        <v>2962.5009002155011</v>
      </c>
      <c r="CJ109" s="528">
        <f t="shared" si="71"/>
        <v>3778.8207019664433</v>
      </c>
      <c r="CK109" s="528">
        <f t="shared" si="72"/>
        <v>45.873855749271804</v>
      </c>
      <c r="CL109" s="528">
        <f t="shared" si="73"/>
        <v>9332.8937690261737</v>
      </c>
      <c r="CM109" s="646">
        <f t="shared" si="74"/>
        <v>0</v>
      </c>
    </row>
    <row r="110" spans="1:91" s="464" customFormat="1">
      <c r="A110" s="150">
        <f>'Input data'!A130</f>
        <v>2030</v>
      </c>
      <c r="B110" s="1506">
        <f>'Input data'!B130</f>
        <v>68.525074762177482</v>
      </c>
      <c r="C110" s="1507">
        <f>'Input data'!C130</f>
        <v>5234.6499999999996</v>
      </c>
      <c r="D110" s="1507">
        <f>'Input data'!D130</f>
        <v>29783743.542171866</v>
      </c>
      <c r="E110" s="1455">
        <f>C53</f>
        <v>1</v>
      </c>
      <c r="F110" s="1449">
        <f>D53</f>
        <v>0.37</v>
      </c>
      <c r="G110" s="1554">
        <f>B110*F110*'Input data'!$C$9</f>
        <v>776.0206695023935</v>
      </c>
      <c r="H110" s="1549">
        <f>'Input data'!I130</f>
        <v>424.26313389388866</v>
      </c>
      <c r="I110" s="1557">
        <f>'Input data'!K130</f>
        <v>29072.662968914436</v>
      </c>
      <c r="J110" s="1557">
        <f t="shared" si="86"/>
        <v>2897.4481853098064</v>
      </c>
      <c r="K110" s="1511">
        <f t="shared" si="77"/>
        <v>10613.154632037043</v>
      </c>
      <c r="L110" s="1449">
        <f>C19</f>
        <v>0.7</v>
      </c>
      <c r="M110" s="1449">
        <f>D19</f>
        <v>0.6</v>
      </c>
      <c r="N110" s="1449">
        <f>E19</f>
        <v>0.9</v>
      </c>
      <c r="O110" s="1449">
        <f>F19</f>
        <v>0.9</v>
      </c>
      <c r="P110" s="1449">
        <f>G19</f>
        <v>0.23600000000000002</v>
      </c>
      <c r="Q110" s="1508">
        <f t="shared" si="33"/>
        <v>311.29184780201786</v>
      </c>
      <c r="R110" s="1509">
        <f t="shared" si="34"/>
        <v>217.22912651236811</v>
      </c>
      <c r="S110" s="1509">
        <f t="shared" si="35"/>
        <v>636.1368432746649</v>
      </c>
      <c r="T110" s="1509">
        <f t="shared" si="36"/>
        <v>428.33472780199236</v>
      </c>
      <c r="U110" s="1511">
        <f t="shared" si="37"/>
        <v>0</v>
      </c>
      <c r="V110" s="1509">
        <f t="shared" si="38"/>
        <v>1592.9925453910432</v>
      </c>
      <c r="W110" s="1454">
        <f t="shared" si="87"/>
        <v>0.5</v>
      </c>
      <c r="X110" s="530">
        <f t="shared" si="39"/>
        <v>3033.4854703020706</v>
      </c>
      <c r="Y110" s="1508">
        <f t="shared" si="78"/>
        <v>4626.4780156931138</v>
      </c>
      <c r="Z110" s="1509">
        <f t="shared" si="79"/>
        <v>8884.1248016537356</v>
      </c>
      <c r="AA110" s="1511">
        <f t="shared" si="80"/>
        <v>5986.6766163439297</v>
      </c>
      <c r="AB110" s="1091">
        <f t="shared" si="40"/>
        <v>0.67386228244222091</v>
      </c>
      <c r="AC110" s="135" t="str">
        <f t="shared" si="41"/>
        <v>Yes</v>
      </c>
      <c r="AD110" s="1091">
        <f t="shared" si="42"/>
        <v>0.67386228244222091</v>
      </c>
      <c r="AE110" s="649">
        <f t="shared" si="10"/>
        <v>0.31038080902495269</v>
      </c>
      <c r="AF110" s="530">
        <f t="shared" si="43"/>
        <v>292.57999915644166</v>
      </c>
      <c r="AG110" s="528">
        <f t="shared" si="44"/>
        <v>2897.4481853098064</v>
      </c>
      <c r="AH110" s="528">
        <f t="shared" si="81"/>
        <v>9562.2328451429985</v>
      </c>
      <c r="AI110" s="528">
        <f t="shared" si="82"/>
        <v>6437.6604656145792</v>
      </c>
      <c r="AJ110" s="528">
        <f t="shared" si="11"/>
        <v>1151.7248200456045</v>
      </c>
      <c r="AK110" s="528">
        <f t="shared" si="45"/>
        <v>20049.066316112989</v>
      </c>
      <c r="AL110" s="716">
        <f t="shared" si="12"/>
        <v>0</v>
      </c>
      <c r="AM110" s="417">
        <f t="shared" si="46"/>
        <v>0.14451786131213459</v>
      </c>
      <c r="AN110" s="417">
        <f t="shared" si="47"/>
        <v>0.47694155400434007</v>
      </c>
      <c r="AO110" s="417">
        <f t="shared" si="48"/>
        <v>0.32109527516704228</v>
      </c>
      <c r="AP110" s="417">
        <f t="shared" si="49"/>
        <v>5.7445309516483009E-2</v>
      </c>
      <c r="AQ110" s="417">
        <f t="shared" si="50"/>
        <v>0.99999999999999989</v>
      </c>
      <c r="AR110" s="1086">
        <f t="shared" si="13"/>
        <v>621.41105218407256</v>
      </c>
      <c r="AS110" s="938">
        <f t="shared" si="14"/>
        <v>788.11732861146049</v>
      </c>
      <c r="AT110" s="938">
        <f t="shared" si="15"/>
        <v>158.44094762333731</v>
      </c>
      <c r="AU110" s="938">
        <f t="shared" si="16"/>
        <v>0</v>
      </c>
      <c r="AV110" s="938">
        <f t="shared" si="17"/>
        <v>0</v>
      </c>
      <c r="AW110" s="938">
        <f t="shared" si="18"/>
        <v>0</v>
      </c>
      <c r="AX110" s="938">
        <f t="shared" si="19"/>
        <v>1106.4986995560566</v>
      </c>
      <c r="AY110" s="938">
        <f t="shared" si="20"/>
        <v>89.127872306888889</v>
      </c>
      <c r="AZ110" s="938">
        <f t="shared" si="21"/>
        <v>25.053868321773106</v>
      </c>
      <c r="BA110" s="938">
        <f t="shared" si="22"/>
        <v>64.709261744831949</v>
      </c>
      <c r="BB110" s="938">
        <f t="shared" si="23"/>
        <v>44.089154961384999</v>
      </c>
      <c r="BC110" s="530">
        <f t="shared" si="51"/>
        <v>2897.4481853098059</v>
      </c>
      <c r="BD110" s="724">
        <f t="shared" si="52"/>
        <v>0</v>
      </c>
      <c r="BE110" s="436">
        <f t="shared" si="53"/>
        <v>0.21446839164705511</v>
      </c>
      <c r="BF110" s="624">
        <f t="shared" si="54"/>
        <v>0.27200394216098539</v>
      </c>
      <c r="BG110" s="624">
        <f t="shared" si="55"/>
        <v>5.468292700681935E-2</v>
      </c>
      <c r="BH110" s="624">
        <f t="shared" si="56"/>
        <v>0</v>
      </c>
      <c r="BI110" s="624">
        <f t="shared" si="57"/>
        <v>0</v>
      </c>
      <c r="BJ110" s="624">
        <f t="shared" si="58"/>
        <v>0</v>
      </c>
      <c r="BK110" s="624">
        <f t="shared" si="59"/>
        <v>0.45884473918514024</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77.425635465611222</v>
      </c>
      <c r="BW110" s="114">
        <f t="shared" si="63"/>
        <v>0.73177237505739356</v>
      </c>
      <c r="BX110" s="1686">
        <f t="shared" si="24"/>
        <v>29.783743542171866</v>
      </c>
      <c r="BY110" s="527">
        <f t="shared" si="64"/>
        <v>77.425635465611222</v>
      </c>
      <c r="BZ110" s="417">
        <f t="shared" si="65"/>
        <v>0.73177237505739356</v>
      </c>
      <c r="CA110" s="544">
        <f t="shared" si="25"/>
        <v>29.783743542171866</v>
      </c>
      <c r="CB110" s="649">
        <f t="shared" si="26"/>
        <v>0.31038080902495269</v>
      </c>
      <c r="CC110" s="525">
        <f t="shared" si="66"/>
        <v>0.38146510228185027</v>
      </c>
      <c r="CD110" s="417">
        <f t="shared" si="27"/>
        <v>0.31038080902495269</v>
      </c>
      <c r="CE110" s="525">
        <f t="shared" si="67"/>
        <v>0.38146510228185027</v>
      </c>
      <c r="CF110" s="1"/>
      <c r="CG110" s="527">
        <f t="shared" si="68"/>
        <v>1815.8691121784373</v>
      </c>
      <c r="CH110" s="528">
        <f t="shared" si="69"/>
        <v>799.61641660994394</v>
      </c>
      <c r="CI110" s="528">
        <f t="shared" si="70"/>
        <v>3045.3359518468028</v>
      </c>
      <c r="CJ110" s="528">
        <f t="shared" si="71"/>
        <v>3855.0125502179371</v>
      </c>
      <c r="CK110" s="528">
        <f t="shared" si="72"/>
        <v>46.398814289877208</v>
      </c>
      <c r="CL110" s="528">
        <f t="shared" si="73"/>
        <v>9562.2328451430003</v>
      </c>
      <c r="CM110" s="646">
        <f t="shared" si="74"/>
        <v>0</v>
      </c>
    </row>
    <row r="111" spans="1:91" s="4" customFormat="1">
      <c r="A111" s="150">
        <f>'Input data'!A131</f>
        <v>2031</v>
      </c>
      <c r="B111" s="1506">
        <f>'Input data'!B131</f>
        <v>69.286388472916428</v>
      </c>
      <c r="C111" s="1507">
        <f>'Input data'!C131</f>
        <v>5365.4400000000005</v>
      </c>
      <c r="D111" s="1507">
        <f>'Input data'!D131</f>
        <v>28782558.928955987</v>
      </c>
      <c r="E111" s="1455">
        <f>E110</f>
        <v>1</v>
      </c>
      <c r="F111" s="1449">
        <f>F110</f>
        <v>0.37</v>
      </c>
      <c r="G111" s="1554">
        <f>B111*F111*'Input data'!$C$9</f>
        <v>784.64226061425143</v>
      </c>
      <c r="H111" s="1549">
        <f>'Input data'!I131</f>
        <v>424.26313389388866</v>
      </c>
      <c r="I111" s="1557">
        <f>'Input data'!K131</f>
        <v>29395.660309708928</v>
      </c>
      <c r="J111" s="1557">
        <f t="shared" si="86"/>
        <v>2563.1272408509826</v>
      </c>
      <c r="K111" s="1511">
        <f t="shared" si="77"/>
        <v>11097.578399453627</v>
      </c>
      <c r="L111" s="1449">
        <f>L110</f>
        <v>0.7</v>
      </c>
      <c r="M111" s="1449">
        <f t="shared" ref="M111:P126" si="88">M110</f>
        <v>0.6</v>
      </c>
      <c r="N111" s="1449">
        <f t="shared" si="88"/>
        <v>0.9</v>
      </c>
      <c r="O111" s="1449">
        <f t="shared" si="88"/>
        <v>0.9</v>
      </c>
      <c r="P111" s="1449">
        <f t="shared" si="88"/>
        <v>0.23600000000000002</v>
      </c>
      <c r="Q111" s="1508">
        <f t="shared" si="33"/>
        <v>314.75030082225067</v>
      </c>
      <c r="R111" s="1509">
        <f t="shared" si="34"/>
        <v>219.64254252044509</v>
      </c>
      <c r="S111" s="1509">
        <f t="shared" si="35"/>
        <v>643.20432481148919</v>
      </c>
      <c r="T111" s="1509">
        <f t="shared" si="36"/>
        <v>433.09352744129319</v>
      </c>
      <c r="U111" s="1511">
        <f t="shared" si="37"/>
        <v>0</v>
      </c>
      <c r="V111" s="1509">
        <f t="shared" si="38"/>
        <v>1610.6906955954782</v>
      </c>
      <c r="W111" s="1454">
        <f t="shared" si="87"/>
        <v>0.5</v>
      </c>
      <c r="X111" s="530">
        <f t="shared" si="39"/>
        <v>3033.4854703020706</v>
      </c>
      <c r="Y111" s="1508">
        <f t="shared" si="78"/>
        <v>4644.1761658975483</v>
      </c>
      <c r="Z111" s="1509">
        <f t="shared" si="79"/>
        <v>9016.5294744070616</v>
      </c>
      <c r="AA111" s="1511">
        <f t="shared" si="80"/>
        <v>6453.4022335560785</v>
      </c>
      <c r="AB111" s="1091">
        <f t="shared" si="40"/>
        <v>0.71573017665762828</v>
      </c>
      <c r="AC111" s="135" t="str">
        <f t="shared" si="41"/>
        <v>Yes</v>
      </c>
      <c r="AD111" s="1091">
        <f t="shared" si="42"/>
        <v>0.71573017665762828</v>
      </c>
      <c r="AE111" s="649">
        <f t="shared" si="10"/>
        <v>0.33036774602210461</v>
      </c>
      <c r="AF111" s="530">
        <f t="shared" si="43"/>
        <v>284.10027862909033</v>
      </c>
      <c r="AG111" s="528">
        <f t="shared" si="44"/>
        <v>2563.1272408509826</v>
      </c>
      <c r="AH111" s="528">
        <f t="shared" si="81"/>
        <v>9668.4692702115026</v>
      </c>
      <c r="AI111" s="528">
        <f t="shared" si="82"/>
        <v>6437.6604656145792</v>
      </c>
      <c r="AJ111" s="528">
        <f t="shared" si="11"/>
        <v>1015.0252936818848</v>
      </c>
      <c r="AK111" s="528">
        <f t="shared" si="45"/>
        <v>19684.282270358948</v>
      </c>
      <c r="AL111" s="716">
        <f t="shared" si="12"/>
        <v>0</v>
      </c>
      <c r="AM111" s="417">
        <f t="shared" si="46"/>
        <v>0.13021187187051261</v>
      </c>
      <c r="AN111" s="417">
        <f t="shared" si="47"/>
        <v>0.49117712992617002</v>
      </c>
      <c r="AO111" s="417">
        <f t="shared" si="48"/>
        <v>0.32704573004973408</v>
      </c>
      <c r="AP111" s="417">
        <f t="shared" si="49"/>
        <v>5.156526815358331E-2</v>
      </c>
      <c r="AQ111" s="417">
        <f t="shared" si="50"/>
        <v>1</v>
      </c>
      <c r="AR111" s="1086">
        <f t="shared" si="13"/>
        <v>551.87875822528918</v>
      </c>
      <c r="AS111" s="938">
        <f t="shared" si="14"/>
        <v>699.9315688403409</v>
      </c>
      <c r="AT111" s="938">
        <f t="shared" si="15"/>
        <v>139.63541168301478</v>
      </c>
      <c r="AU111" s="938">
        <f t="shared" si="16"/>
        <v>0</v>
      </c>
      <c r="AV111" s="938">
        <f t="shared" si="17"/>
        <v>0</v>
      </c>
      <c r="AW111" s="938">
        <f t="shared" si="18"/>
        <v>0</v>
      </c>
      <c r="AX111" s="938">
        <f t="shared" si="19"/>
        <v>975.16711277528771</v>
      </c>
      <c r="AY111" s="938">
        <f t="shared" si="20"/>
        <v>78.549183962154444</v>
      </c>
      <c r="AZ111" s="938">
        <f t="shared" si="21"/>
        <v>22.080196248760274</v>
      </c>
      <c r="BA111" s="938">
        <f t="shared" si="22"/>
        <v>57.02884600844596</v>
      </c>
      <c r="BB111" s="938">
        <f t="shared" si="23"/>
        <v>38.856163107689149</v>
      </c>
      <c r="BC111" s="530">
        <f t="shared" si="51"/>
        <v>2563.1272408509826</v>
      </c>
      <c r="BD111" s="724">
        <f t="shared" si="52"/>
        <v>0</v>
      </c>
      <c r="BE111" s="436">
        <f t="shared" si="53"/>
        <v>0.21531461623499432</v>
      </c>
      <c r="BF111" s="624">
        <f t="shared" si="54"/>
        <v>0.27307718387322705</v>
      </c>
      <c r="BG111" s="624">
        <f t="shared" si="55"/>
        <v>5.4478532886511909E-2</v>
      </c>
      <c r="BH111" s="624">
        <f t="shared" si="56"/>
        <v>0</v>
      </c>
      <c r="BI111" s="624">
        <f t="shared" si="57"/>
        <v>0</v>
      </c>
      <c r="BJ111" s="624">
        <f t="shared" si="58"/>
        <v>0</v>
      </c>
      <c r="BK111" s="624">
        <f t="shared" si="59"/>
        <v>0.45712966700526669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76.730298546442867</v>
      </c>
      <c r="BW111" s="114">
        <f t="shared" si="63"/>
        <v>0.74152762371672021</v>
      </c>
      <c r="BX111" s="1686">
        <f t="shared" si="24"/>
        <v>28.782558928955986</v>
      </c>
      <c r="BY111" s="527">
        <f t="shared" si="64"/>
        <v>76.730298546442867</v>
      </c>
      <c r="BZ111" s="417">
        <f t="shared" si="65"/>
        <v>0.74152762371672021</v>
      </c>
      <c r="CA111" s="544">
        <f t="shared" si="25"/>
        <v>28.782558928955986</v>
      </c>
      <c r="CB111" s="649">
        <f t="shared" si="26"/>
        <v>0.33036774602210461</v>
      </c>
      <c r="CC111" s="525">
        <f t="shared" si="66"/>
        <v>0.38879974895291702</v>
      </c>
      <c r="CD111" s="417">
        <f t="shared" si="27"/>
        <v>0.33036774602210461</v>
      </c>
      <c r="CE111" s="525">
        <f t="shared" si="67"/>
        <v>0.38879974895291702</v>
      </c>
      <c r="CF111"/>
      <c r="CG111" s="527">
        <f t="shared" si="68"/>
        <v>1836.0434214631293</v>
      </c>
      <c r="CH111" s="528">
        <f t="shared" si="69"/>
        <v>808.50015651697584</v>
      </c>
      <c r="CI111" s="528">
        <f t="shared" si="70"/>
        <v>3079.169640055004</v>
      </c>
      <c r="CJ111" s="528">
        <f t="shared" si="71"/>
        <v>3897.8417469716414</v>
      </c>
      <c r="CK111" s="528">
        <f t="shared" si="72"/>
        <v>46.914305204750477</v>
      </c>
      <c r="CL111" s="528">
        <f t="shared" si="73"/>
        <v>9668.4692702115026</v>
      </c>
      <c r="CM111" s="646">
        <f t="shared" si="74"/>
        <v>0</v>
      </c>
    </row>
    <row r="112" spans="1:91" s="4" customFormat="1">
      <c r="A112" s="150">
        <f>'Input data'!A132</f>
        <v>2032</v>
      </c>
      <c r="B112" s="1506">
        <f>'Input data'!B132</f>
        <v>70.033051881823098</v>
      </c>
      <c r="C112" s="1507">
        <f>'Input data'!C132</f>
        <v>5502.3</v>
      </c>
      <c r="D112" s="1507">
        <f>'Input data'!D132</f>
        <v>27987384.812012181</v>
      </c>
      <c r="E112" s="1455">
        <f t="shared" ref="E112:F127" si="89">E111</f>
        <v>1</v>
      </c>
      <c r="F112" s="1449">
        <f t="shared" si="89"/>
        <v>0.37</v>
      </c>
      <c r="G112" s="1554">
        <f>B112*F112*'Input data'!$C$9</f>
        <v>793.09794257422948</v>
      </c>
      <c r="H112" s="1549">
        <f>'Input data'!I132</f>
        <v>424.26313389388866</v>
      </c>
      <c r="I112" s="1557">
        <f>'Input data'!K132</f>
        <v>29712.442067535565</v>
      </c>
      <c r="J112" s="1557">
        <f>J97*(1-$G$6)</f>
        <v>2228.8062963921584</v>
      </c>
      <c r="K112" s="1511">
        <f t="shared" si="77"/>
        <v>11579.11367079929</v>
      </c>
      <c r="L112" s="1449">
        <f>C20</f>
        <v>0.7</v>
      </c>
      <c r="M112" s="1449">
        <f>D20</f>
        <v>0.6</v>
      </c>
      <c r="N112" s="1449">
        <f t="shared" si="88"/>
        <v>0.9</v>
      </c>
      <c r="O112" s="1449">
        <f t="shared" si="88"/>
        <v>0.9</v>
      </c>
      <c r="P112" s="1449">
        <f t="shared" si="88"/>
        <v>0.23600000000000002</v>
      </c>
      <c r="Q112" s="1508">
        <f t="shared" si="33"/>
        <v>318.14220127695853</v>
      </c>
      <c r="R112" s="1509">
        <f t="shared" si="34"/>
        <v>222.00951607980949</v>
      </c>
      <c r="S112" s="1509">
        <f t="shared" si="35"/>
        <v>650.13580362532548</v>
      </c>
      <c r="T112" s="1509">
        <f t="shared" si="36"/>
        <v>437.76075136076679</v>
      </c>
      <c r="U112" s="1511">
        <f t="shared" si="37"/>
        <v>0</v>
      </c>
      <c r="V112" s="1509">
        <f t="shared" si="38"/>
        <v>1628.0482723428604</v>
      </c>
      <c r="W112" s="1454">
        <f t="shared" si="87"/>
        <v>0.5</v>
      </c>
      <c r="X112" s="530">
        <f t="shared" si="39"/>
        <v>3033.4854703020706</v>
      </c>
      <c r="Y112" s="1508">
        <f t="shared" si="78"/>
        <v>4661.5337426449314</v>
      </c>
      <c r="Z112" s="1509">
        <f t="shared" si="79"/>
        <v>9146.386224546517</v>
      </c>
      <c r="AA112" s="1511">
        <f t="shared" si="80"/>
        <v>6917.5799281543586</v>
      </c>
      <c r="AB112" s="1091">
        <f t="shared" si="40"/>
        <v>0.75631837081068987</v>
      </c>
      <c r="AC112" s="135" t="str">
        <f t="shared" si="41"/>
        <v>Yes</v>
      </c>
      <c r="AD112" s="1091">
        <f t="shared" si="42"/>
        <v>0.75631837081068987</v>
      </c>
      <c r="AE112" s="649">
        <f t="shared" si="10"/>
        <v>0.34981432630700504</v>
      </c>
      <c r="AF112" s="530">
        <f t="shared" si="43"/>
        <v>275.8498115338993</v>
      </c>
      <c r="AG112" s="528">
        <f t="shared" si="44"/>
        <v>2228.8062963921584</v>
      </c>
      <c r="AH112" s="528">
        <f t="shared" si="81"/>
        <v>9772.6613400150436</v>
      </c>
      <c r="AI112" s="528">
        <f t="shared" si="82"/>
        <v>6437.6604656145792</v>
      </c>
      <c r="AJ112" s="528">
        <f t="shared" si="11"/>
        <v>879.47606072291592</v>
      </c>
      <c r="AK112" s="528">
        <f t="shared" si="45"/>
        <v>19318.604162744694</v>
      </c>
      <c r="AL112" s="716">
        <f t="shared" si="12"/>
        <v>0</v>
      </c>
      <c r="AM112" s="417">
        <f t="shared" si="46"/>
        <v>0.11537098009856941</v>
      </c>
      <c r="AN112" s="417">
        <f t="shared" si="47"/>
        <v>0.50586788039589869</v>
      </c>
      <c r="AO112" s="417">
        <f t="shared" si="48"/>
        <v>0.33323631518002733</v>
      </c>
      <c r="AP112" s="417">
        <f t="shared" si="49"/>
        <v>4.5524824325504698E-2</v>
      </c>
      <c r="AQ112" s="417">
        <f t="shared" si="50"/>
        <v>1</v>
      </c>
      <c r="AR112" s="1086">
        <f t="shared" si="13"/>
        <v>481.69130848723802</v>
      </c>
      <c r="AS112" s="938">
        <f t="shared" si="14"/>
        <v>610.91489429748378</v>
      </c>
      <c r="AT112" s="938">
        <f t="shared" si="15"/>
        <v>120.98811977279513</v>
      </c>
      <c r="AU112" s="938">
        <f t="shared" si="16"/>
        <v>0</v>
      </c>
      <c r="AV112" s="938">
        <f t="shared" si="17"/>
        <v>0</v>
      </c>
      <c r="AW112" s="938">
        <f t="shared" si="18"/>
        <v>0</v>
      </c>
      <c r="AX112" s="938">
        <f t="shared" si="19"/>
        <v>844.94064948783239</v>
      </c>
      <c r="AY112" s="938">
        <f t="shared" si="20"/>
        <v>68.05951271760722</v>
      </c>
      <c r="AZ112" s="938">
        <f t="shared" si="21"/>
        <v>19.131546905997233</v>
      </c>
      <c r="BA112" s="938">
        <f t="shared" si="22"/>
        <v>49.413059110230272</v>
      </c>
      <c r="BB112" s="938">
        <f t="shared" si="23"/>
        <v>33.6672056129742</v>
      </c>
      <c r="BC112" s="530">
        <f t="shared" si="51"/>
        <v>2228.8062963921584</v>
      </c>
      <c r="BD112" s="724">
        <f t="shared" si="52"/>
        <v>0</v>
      </c>
      <c r="BE112" s="436">
        <f t="shared" si="53"/>
        <v>0.21612075902108113</v>
      </c>
      <c r="BF112" s="624">
        <f t="shared" si="54"/>
        <v>0.27409959101712505</v>
      </c>
      <c r="BG112" s="624">
        <f t="shared" si="55"/>
        <v>5.4283819984106536E-2</v>
      </c>
      <c r="BH112" s="624">
        <f t="shared" si="56"/>
        <v>0</v>
      </c>
      <c r="BI112" s="624">
        <f t="shared" si="57"/>
        <v>0</v>
      </c>
      <c r="BJ112" s="624">
        <f t="shared" si="58"/>
        <v>0</v>
      </c>
      <c r="BK112" s="624">
        <f t="shared" si="59"/>
        <v>0.45549582997768723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76.271202265834958</v>
      </c>
      <c r="BW112" s="114">
        <f t="shared" si="63"/>
        <v>0.75061049755970777</v>
      </c>
      <c r="BX112" s="1686">
        <f t="shared" si="24"/>
        <v>27.987384812012181</v>
      </c>
      <c r="BY112" s="527">
        <f t="shared" si="64"/>
        <v>76.271202265834958</v>
      </c>
      <c r="BZ112" s="417">
        <f t="shared" si="65"/>
        <v>0.75061049755970777</v>
      </c>
      <c r="CA112" s="544">
        <f t="shared" si="25"/>
        <v>27.987384812012181</v>
      </c>
      <c r="CB112" s="649">
        <f t="shared" si="26"/>
        <v>0.34981432630700504</v>
      </c>
      <c r="CC112" s="525">
        <f t="shared" si="66"/>
        <v>0.39531655758213946</v>
      </c>
      <c r="CD112" s="417">
        <f t="shared" si="27"/>
        <v>0.34981432630700504</v>
      </c>
      <c r="CE112" s="525">
        <f t="shared" si="67"/>
        <v>0.39531655758213946</v>
      </c>
      <c r="CF112"/>
      <c r="CG112" s="527">
        <f t="shared" si="68"/>
        <v>1855.8295074489245</v>
      </c>
      <c r="CH112" s="528">
        <f t="shared" si="69"/>
        <v>817.21294262506558</v>
      </c>
      <c r="CI112" s="528">
        <f t="shared" si="70"/>
        <v>3112.3522513978382</v>
      </c>
      <c r="CJ112" s="528">
        <f t="shared" si="71"/>
        <v>3939.8467622469038</v>
      </c>
      <c r="CK112" s="528">
        <f t="shared" si="72"/>
        <v>47.419876296312843</v>
      </c>
      <c r="CL112" s="528">
        <f t="shared" si="73"/>
        <v>9772.6613400150454</v>
      </c>
      <c r="CM112" s="646">
        <f t="shared" si="74"/>
        <v>0</v>
      </c>
    </row>
    <row r="113" spans="1:91">
      <c r="A113" s="873">
        <f>'Input data'!A133</f>
        <v>2033</v>
      </c>
      <c r="B113" s="1551">
        <f>'Input data'!B133</f>
        <v>70.764404167450692</v>
      </c>
      <c r="C113" s="1550">
        <f>'Input data'!C133</f>
        <v>5663.260000000002</v>
      </c>
      <c r="D113" s="1550">
        <f>'Input data'!D133</f>
        <v>28989172.151095852</v>
      </c>
      <c r="E113" s="1455">
        <f t="shared" si="89"/>
        <v>1</v>
      </c>
      <c r="F113" s="1449">
        <f t="shared" si="89"/>
        <v>0.37</v>
      </c>
      <c r="G113" s="1554">
        <f>B113*F113*'Input data'!$C$9</f>
        <v>801.38023182826612</v>
      </c>
      <c r="H113" s="1542">
        <f>'Input data'!I133</f>
        <v>424.26313389388866</v>
      </c>
      <c r="I113" s="1509">
        <f>'Input data'!K133</f>
        <v>30022.727880216386</v>
      </c>
      <c r="J113" s="1509">
        <f>J112</f>
        <v>2228.8062963921584</v>
      </c>
      <c r="K113" s="1511">
        <f t="shared" si="77"/>
        <v>11723.309212138955</v>
      </c>
      <c r="L113" s="1504">
        <f t="shared" ref="L113:P127" si="90">L112</f>
        <v>0.7</v>
      </c>
      <c r="M113" s="1504">
        <f t="shared" si="88"/>
        <v>0.6</v>
      </c>
      <c r="N113" s="1504">
        <f t="shared" si="88"/>
        <v>0.9</v>
      </c>
      <c r="O113" s="1504">
        <f t="shared" si="88"/>
        <v>0.9</v>
      </c>
      <c r="P113" s="1504">
        <f t="shared" si="88"/>
        <v>0.23600000000000002</v>
      </c>
      <c r="Q113" s="1508">
        <f t="shared" si="33"/>
        <v>321.46454722371413</v>
      </c>
      <c r="R113" s="1509">
        <f t="shared" si="34"/>
        <v>224.32795234173375</v>
      </c>
      <c r="S113" s="1509">
        <f t="shared" si="35"/>
        <v>656.92514513156266</v>
      </c>
      <c r="T113" s="1509">
        <f t="shared" si="36"/>
        <v>442.33226891516324</v>
      </c>
      <c r="U113" s="1511">
        <f t="shared" si="37"/>
        <v>0</v>
      </c>
      <c r="V113" s="1509">
        <f t="shared" si="38"/>
        <v>1645.0499136121739</v>
      </c>
      <c r="W113" s="1454">
        <f t="shared" si="87"/>
        <v>0.5</v>
      </c>
      <c r="X113" s="530">
        <f t="shared" si="39"/>
        <v>3033.4854703020706</v>
      </c>
      <c r="Y113" s="1508">
        <f t="shared" si="78"/>
        <v>4678.5353839142444</v>
      </c>
      <c r="Z113" s="1509">
        <f t="shared" si="79"/>
        <v>9273.5801246168685</v>
      </c>
      <c r="AA113" s="1511">
        <f t="shared" si="80"/>
        <v>7044.7738282247101</v>
      </c>
      <c r="AB113" s="1091">
        <f t="shared" si="40"/>
        <v>0.75966064168942093</v>
      </c>
      <c r="AC113" s="135" t="str">
        <f t="shared" si="41"/>
        <v>Yes</v>
      </c>
      <c r="AD113" s="1091">
        <f t="shared" si="42"/>
        <v>0.75966064168942093</v>
      </c>
      <c r="AE113" s="649">
        <f t="shared" si="10"/>
        <v>0.35323480765047022</v>
      </c>
      <c r="AF113" s="530">
        <f t="shared" si="43"/>
        <v>274.39862739969521</v>
      </c>
      <c r="AG113" s="528">
        <f t="shared" si="44"/>
        <v>2228.8062963921584</v>
      </c>
      <c r="AH113" s="528">
        <f t="shared" si="81"/>
        <v>9874.716841176767</v>
      </c>
      <c r="AI113" s="528">
        <f t="shared" si="82"/>
        <v>6437.6604656145792</v>
      </c>
      <c r="AJ113" s="528">
        <f t="shared" si="11"/>
        <v>876.47176912223472</v>
      </c>
      <c r="AK113" s="528">
        <f t="shared" si="45"/>
        <v>19417.65537230574</v>
      </c>
      <c r="AL113" s="716">
        <f t="shared" si="12"/>
        <v>0</v>
      </c>
      <c r="AM113" s="417">
        <f t="shared" si="46"/>
        <v>0.11478246233430292</v>
      </c>
      <c r="AN113" s="417">
        <f t="shared" si="47"/>
        <v>0.50854321244471645</v>
      </c>
      <c r="AO113" s="417">
        <f t="shared" si="48"/>
        <v>0.33153644671211108</v>
      </c>
      <c r="AP113" s="417">
        <f t="shared" si="49"/>
        <v>4.5137878508869557E-2</v>
      </c>
      <c r="AQ113" s="417">
        <f t="shared" si="50"/>
        <v>0.99999999999999989</v>
      </c>
      <c r="AR113" s="1086">
        <f t="shared" si="13"/>
        <v>483.40241888451675</v>
      </c>
      <c r="AS113" s="938">
        <f t="shared" si="14"/>
        <v>613.08504519924657</v>
      </c>
      <c r="AT113" s="938">
        <f t="shared" si="15"/>
        <v>120.57482416618494</v>
      </c>
      <c r="AU113" s="938">
        <f t="shared" si="16"/>
        <v>0</v>
      </c>
      <c r="AV113" s="938">
        <f t="shared" si="17"/>
        <v>0</v>
      </c>
      <c r="AW113" s="938">
        <f t="shared" si="18"/>
        <v>0</v>
      </c>
      <c r="AX113" s="938">
        <f t="shared" si="19"/>
        <v>842.0543309060123</v>
      </c>
      <c r="AY113" s="938">
        <f t="shared" si="20"/>
        <v>67.827021315583281</v>
      </c>
      <c r="AZ113" s="938">
        <f t="shared" si="21"/>
        <v>19.06619351180646</v>
      </c>
      <c r="BA113" s="938">
        <f t="shared" si="22"/>
        <v>49.244264022929428</v>
      </c>
      <c r="BB113" s="938">
        <f t="shared" si="23"/>
        <v>33.552198385877745</v>
      </c>
      <c r="BC113" s="530">
        <f t="shared" si="51"/>
        <v>2228.806296392157</v>
      </c>
      <c r="BD113" s="724">
        <f t="shared" si="52"/>
        <v>0</v>
      </c>
      <c r="BE113" s="436">
        <f t="shared" si="53"/>
        <v>0.2168884840584919</v>
      </c>
      <c r="BF113" s="624">
        <f t="shared" si="54"/>
        <v>0.27507327406229415</v>
      </c>
      <c r="BG113" s="624">
        <f t="shared" si="55"/>
        <v>5.4098386370032885E-2</v>
      </c>
      <c r="BH113" s="624">
        <f t="shared" si="56"/>
        <v>0</v>
      </c>
      <c r="BI113" s="624">
        <f t="shared" si="57"/>
        <v>0</v>
      </c>
      <c r="BJ113" s="624">
        <f t="shared" si="58"/>
        <v>0</v>
      </c>
      <c r="BK113" s="624">
        <f t="shared" si="59"/>
        <v>0.45393985550918126</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78.197370616746369</v>
      </c>
      <c r="BW113" s="114">
        <f t="shared" si="63"/>
        <v>0.7490668876422879</v>
      </c>
      <c r="BX113" s="1686">
        <f t="shared" si="24"/>
        <v>28.989172151095854</v>
      </c>
      <c r="BY113" s="527">
        <f t="shared" si="64"/>
        <v>78.197370616746369</v>
      </c>
      <c r="BZ113" s="417">
        <f t="shared" si="65"/>
        <v>0.7490668876422879</v>
      </c>
      <c r="CA113" s="544">
        <f t="shared" si="25"/>
        <v>28.989172151095854</v>
      </c>
      <c r="CB113" s="649">
        <f t="shared" si="26"/>
        <v>0.35323480765047022</v>
      </c>
      <c r="CC113" s="525">
        <f t="shared" si="66"/>
        <v>0.39479791092534633</v>
      </c>
      <c r="CD113" s="417">
        <f t="shared" si="27"/>
        <v>0.35323480765047022</v>
      </c>
      <c r="CE113" s="525">
        <f t="shared" si="67"/>
        <v>0.39479791092534633</v>
      </c>
      <c r="CG113" s="527">
        <f t="shared" si="68"/>
        <v>1875.2098588049987</v>
      </c>
      <c r="CH113" s="528">
        <f t="shared" si="69"/>
        <v>825.74706383460284</v>
      </c>
      <c r="CI113" s="528">
        <f t="shared" si="70"/>
        <v>3144.8544181830157</v>
      </c>
      <c r="CJ113" s="528">
        <f t="shared" si="71"/>
        <v>3980.990420236476</v>
      </c>
      <c r="CK113" s="528">
        <f t="shared" si="72"/>
        <v>47.915080117674336</v>
      </c>
      <c r="CL113" s="528">
        <f t="shared" si="73"/>
        <v>9874.7168411767689</v>
      </c>
      <c r="CM113" s="646">
        <f t="shared" si="74"/>
        <v>0</v>
      </c>
    </row>
    <row r="114" spans="1:91">
      <c r="A114" s="873">
        <f>'Input data'!A134</f>
        <v>2034</v>
      </c>
      <c r="B114" s="1551">
        <f>'Input data'!B134</f>
        <v>71.479792486390252</v>
      </c>
      <c r="C114" s="1550">
        <f>'Input data'!C134</f>
        <v>5838.79</v>
      </c>
      <c r="D114" s="1550">
        <f>'Input data'!D134</f>
        <v>30478258.098855209</v>
      </c>
      <c r="E114" s="1455">
        <f t="shared" si="89"/>
        <v>1</v>
      </c>
      <c r="F114" s="1449">
        <f t="shared" si="89"/>
        <v>0.37</v>
      </c>
      <c r="G114" s="1554">
        <f>B114*F114*'Input data'!$C$9</f>
        <v>809.48173517057376</v>
      </c>
      <c r="H114" s="1542">
        <f>'Input data'!I134</f>
        <v>424.26313389388866</v>
      </c>
      <c r="I114" s="1509">
        <f>'Input data'!K134</f>
        <v>30326.240770360764</v>
      </c>
      <c r="J114" s="1509">
        <f t="shared" ref="J114:J130" si="91">J113</f>
        <v>2228.8062963921584</v>
      </c>
      <c r="K114" s="1511">
        <f t="shared" si="77"/>
        <v>11864.357251428313</v>
      </c>
      <c r="L114" s="1504">
        <f t="shared" si="90"/>
        <v>0.7</v>
      </c>
      <c r="M114" s="1504">
        <f t="shared" si="88"/>
        <v>0.6</v>
      </c>
      <c r="N114" s="1504">
        <f t="shared" si="88"/>
        <v>0.9</v>
      </c>
      <c r="O114" s="1504">
        <f t="shared" si="88"/>
        <v>0.9</v>
      </c>
      <c r="P114" s="1504">
        <f t="shared" si="88"/>
        <v>0.23600000000000002</v>
      </c>
      <c r="Q114" s="1508">
        <f t="shared" si="33"/>
        <v>324.71437296227123</v>
      </c>
      <c r="R114" s="1509">
        <f t="shared" si="34"/>
        <v>226.59578174841056</v>
      </c>
      <c r="S114" s="1509">
        <f t="shared" si="35"/>
        <v>663.56628880787684</v>
      </c>
      <c r="T114" s="1509">
        <f t="shared" si="36"/>
        <v>446.80399932814271</v>
      </c>
      <c r="U114" s="1511">
        <f t="shared" si="37"/>
        <v>0</v>
      </c>
      <c r="V114" s="1509">
        <f t="shared" si="38"/>
        <v>1661.6804428467012</v>
      </c>
      <c r="W114" s="1454">
        <f t="shared" si="87"/>
        <v>0.5</v>
      </c>
      <c r="X114" s="530">
        <f t="shared" si="39"/>
        <v>3033.4854703020706</v>
      </c>
      <c r="Y114" s="1508">
        <f t="shared" si="78"/>
        <v>4695.1659131487722</v>
      </c>
      <c r="Z114" s="1509">
        <f t="shared" si="79"/>
        <v>9397.9976346716994</v>
      </c>
      <c r="AA114" s="1511">
        <f t="shared" si="80"/>
        <v>7169.191338279541</v>
      </c>
      <c r="AB114" s="1091">
        <f t="shared" si="40"/>
        <v>0.76284242845843009</v>
      </c>
      <c r="AC114" s="135" t="str">
        <f t="shared" si="41"/>
        <v>Yes</v>
      </c>
      <c r="AD114" s="1091">
        <f t="shared" si="42"/>
        <v>0.76284242845843009</v>
      </c>
      <c r="AE114" s="649">
        <f t="shared" si="10"/>
        <v>0.35651031341358341</v>
      </c>
      <c r="AF114" s="530">
        <f t="shared" si="43"/>
        <v>273.0089510595493</v>
      </c>
      <c r="AG114" s="528">
        <f t="shared" si="44"/>
        <v>2228.8062963921584</v>
      </c>
      <c r="AH114" s="528">
        <f t="shared" si="81"/>
        <v>9974.5446736036101</v>
      </c>
      <c r="AI114" s="528">
        <f t="shared" si="82"/>
        <v>6437.6604656145792</v>
      </c>
      <c r="AJ114" s="528">
        <f t="shared" si="11"/>
        <v>873.61173305330874</v>
      </c>
      <c r="AK114" s="528">
        <f t="shared" si="45"/>
        <v>19514.623168663657</v>
      </c>
      <c r="AL114" s="716">
        <f t="shared" si="12"/>
        <v>0</v>
      </c>
      <c r="AM114" s="417">
        <f t="shared" si="46"/>
        <v>0.11421211043271122</v>
      </c>
      <c r="AN114" s="417">
        <f t="shared" si="47"/>
        <v>0.51113181061167567</v>
      </c>
      <c r="AO114" s="417">
        <f t="shared" si="48"/>
        <v>0.32988904832925986</v>
      </c>
      <c r="AP114" s="417">
        <f t="shared" si="49"/>
        <v>4.4767030626353253E-2</v>
      </c>
      <c r="AQ114" s="417">
        <f t="shared" si="50"/>
        <v>1</v>
      </c>
      <c r="AR114" s="1086">
        <f t="shared" si="13"/>
        <v>485.03136776984582</v>
      </c>
      <c r="AS114" s="938">
        <f t="shared" si="14"/>
        <v>615.15099307616003</v>
      </c>
      <c r="AT114" s="938">
        <f t="shared" si="15"/>
        <v>120.18137356313237</v>
      </c>
      <c r="AU114" s="938">
        <f t="shared" si="16"/>
        <v>0</v>
      </c>
      <c r="AV114" s="938">
        <f t="shared" si="17"/>
        <v>0</v>
      </c>
      <c r="AW114" s="938">
        <f t="shared" si="18"/>
        <v>0</v>
      </c>
      <c r="AX114" s="938">
        <f t="shared" si="19"/>
        <v>839.30660320589664</v>
      </c>
      <c r="AY114" s="938">
        <f t="shared" si="20"/>
        <v>67.605693334187279</v>
      </c>
      <c r="AZ114" s="938">
        <f t="shared" si="21"/>
        <v>19.003978158087182</v>
      </c>
      <c r="BA114" s="938">
        <f t="shared" si="22"/>
        <v>49.083573882921392</v>
      </c>
      <c r="BB114" s="938">
        <f t="shared" si="23"/>
        <v>33.442713401927286</v>
      </c>
      <c r="BC114" s="530">
        <f t="shared" si="51"/>
        <v>2228.8062963921584</v>
      </c>
      <c r="BD114" s="724">
        <f t="shared" si="52"/>
        <v>0</v>
      </c>
      <c r="BE114" s="436">
        <f t="shared" si="53"/>
        <v>0.21761934563581498</v>
      </c>
      <c r="BF114" s="624">
        <f t="shared" si="54"/>
        <v>0.27600020426715638</v>
      </c>
      <c r="BG114" s="624">
        <f t="shared" si="55"/>
        <v>5.3921856626874161E-2</v>
      </c>
      <c r="BH114" s="624">
        <f t="shared" si="56"/>
        <v>0</v>
      </c>
      <c r="BI114" s="624">
        <f t="shared" si="57"/>
        <v>0</v>
      </c>
      <c r="BJ114" s="624">
        <f t="shared" si="58"/>
        <v>0</v>
      </c>
      <c r="BK114" s="624">
        <f t="shared" si="59"/>
        <v>0.45245859347015432</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80.683462508178934</v>
      </c>
      <c r="BW114" s="114">
        <f t="shared" si="63"/>
        <v>0.74572532563751104</v>
      </c>
      <c r="BX114" s="1686">
        <f t="shared" si="24"/>
        <v>30.478258098855207</v>
      </c>
      <c r="BY114" s="527">
        <f t="shared" si="64"/>
        <v>80.683462508178934</v>
      </c>
      <c r="BZ114" s="417">
        <f t="shared" si="65"/>
        <v>0.74572532563751104</v>
      </c>
      <c r="CA114" s="544">
        <f t="shared" si="25"/>
        <v>30.478258098855207</v>
      </c>
      <c r="CB114" s="649">
        <f t="shared" si="26"/>
        <v>0.35651031341358341</v>
      </c>
      <c r="CC114" s="525">
        <f t="shared" si="66"/>
        <v>0.39271446917828801</v>
      </c>
      <c r="CD114" s="417">
        <f t="shared" si="27"/>
        <v>0.35651031341358341</v>
      </c>
      <c r="CE114" s="525">
        <f t="shared" si="67"/>
        <v>0.39271446917828801</v>
      </c>
      <c r="CG114" s="527">
        <f t="shared" si="68"/>
        <v>1894.1671756132482</v>
      </c>
      <c r="CH114" s="528">
        <f t="shared" si="69"/>
        <v>834.09490214138862</v>
      </c>
      <c r="CI114" s="528">
        <f t="shared" si="70"/>
        <v>3176.6471272717527</v>
      </c>
      <c r="CJ114" s="528">
        <f t="shared" si="71"/>
        <v>4021.2359939532885</v>
      </c>
      <c r="CK114" s="528">
        <f t="shared" si="72"/>
        <v>48.399474623930963</v>
      </c>
      <c r="CL114" s="528">
        <f t="shared" si="73"/>
        <v>9974.5446736036101</v>
      </c>
      <c r="CM114" s="646">
        <f t="shared" si="74"/>
        <v>0</v>
      </c>
    </row>
    <row r="115" spans="1:91">
      <c r="A115" s="873">
        <f>'Input data'!A135</f>
        <v>2035</v>
      </c>
      <c r="B115" s="1551">
        <f>'Input data'!B135</f>
        <v>72.178572932855872</v>
      </c>
      <c r="C115" s="1550">
        <f>'Input data'!C135</f>
        <v>5978.8699999999981</v>
      </c>
      <c r="D115" s="1550">
        <f>'Input data'!D135</f>
        <v>23293526.984521989</v>
      </c>
      <c r="E115" s="1455">
        <f t="shared" si="89"/>
        <v>1</v>
      </c>
      <c r="F115" s="1449">
        <f t="shared" si="89"/>
        <v>0.37</v>
      </c>
      <c r="G115" s="1554">
        <f>B115*F115*'Input data'!$C$9</f>
        <v>817.39516061058134</v>
      </c>
      <c r="H115" s="1542">
        <f>'Input data'!I135</f>
        <v>424.26313389388866</v>
      </c>
      <c r="I115" s="1509">
        <f>'Input data'!K135</f>
        <v>30622.707552482039</v>
      </c>
      <c r="J115" s="1509">
        <f t="shared" si="91"/>
        <v>2228.8062963921584</v>
      </c>
      <c r="K115" s="1511">
        <f t="shared" si="77"/>
        <v>12002.130834331958</v>
      </c>
      <c r="L115" s="1504">
        <f t="shared" si="90"/>
        <v>0.7</v>
      </c>
      <c r="M115" s="1504">
        <f t="shared" si="88"/>
        <v>0.6</v>
      </c>
      <c r="N115" s="1504">
        <f t="shared" si="88"/>
        <v>0.9</v>
      </c>
      <c r="O115" s="1504">
        <f t="shared" si="88"/>
        <v>0.9</v>
      </c>
      <c r="P115" s="1504">
        <f t="shared" si="88"/>
        <v>0.23600000000000002</v>
      </c>
      <c r="Q115" s="1508">
        <f t="shared" si="33"/>
        <v>327.88875339371384</v>
      </c>
      <c r="R115" s="1509">
        <f t="shared" si="34"/>
        <v>228.81096307490259</v>
      </c>
      <c r="S115" s="1509">
        <f t="shared" si="35"/>
        <v>670.05325710232182</v>
      </c>
      <c r="T115" s="1509">
        <f t="shared" si="36"/>
        <v>451.1719176904212</v>
      </c>
      <c r="U115" s="1511">
        <f t="shared" si="37"/>
        <v>0</v>
      </c>
      <c r="V115" s="1509">
        <f t="shared" si="38"/>
        <v>1677.9248912613593</v>
      </c>
      <c r="W115" s="1454">
        <f t="shared" si="87"/>
        <v>0.5</v>
      </c>
      <c r="X115" s="530">
        <f t="shared" si="39"/>
        <v>3033.4854703020706</v>
      </c>
      <c r="Y115" s="1508">
        <f t="shared" si="78"/>
        <v>4711.4103615634303</v>
      </c>
      <c r="Z115" s="1509">
        <f t="shared" si="79"/>
        <v>9519.5267691606859</v>
      </c>
      <c r="AA115" s="1511">
        <f t="shared" si="80"/>
        <v>7290.7204727685275</v>
      </c>
      <c r="AB115" s="1091">
        <f t="shared" si="40"/>
        <v>0.76587005316140655</v>
      </c>
      <c r="AC115" s="135" t="str">
        <f t="shared" si="41"/>
        <v>Yes</v>
      </c>
      <c r="AD115" s="1091">
        <f t="shared" si="42"/>
        <v>0.76587005316140655</v>
      </c>
      <c r="AE115" s="649">
        <f t="shared" si="10"/>
        <v>0.35964473479152448</v>
      </c>
      <c r="AF115" s="530">
        <f t="shared" si="43"/>
        <v>271.67913162280007</v>
      </c>
      <c r="AG115" s="528">
        <f t="shared" si="44"/>
        <v>2228.8062963921584</v>
      </c>
      <c r="AH115" s="528">
        <f t="shared" si="81"/>
        <v>10072.054984390244</v>
      </c>
      <c r="AI115" s="528">
        <f t="shared" si="82"/>
        <v>6437.6604656145792</v>
      </c>
      <c r="AJ115" s="528">
        <f t="shared" si="11"/>
        <v>870.89026977424032</v>
      </c>
      <c r="AK115" s="528">
        <f t="shared" si="45"/>
        <v>19609.412016171224</v>
      </c>
      <c r="AL115" s="716">
        <f t="shared" si="12"/>
        <v>0</v>
      </c>
      <c r="AM115" s="417">
        <f t="shared" si="46"/>
        <v>0.11366002685619216</v>
      </c>
      <c r="AN115" s="417">
        <f t="shared" si="47"/>
        <v>0.51363370692013399</v>
      </c>
      <c r="AO115" s="417">
        <f t="shared" si="48"/>
        <v>0.32829441598277687</v>
      </c>
      <c r="AP115" s="417">
        <f t="shared" si="49"/>
        <v>4.4411850240896888E-2</v>
      </c>
      <c r="AQ115" s="417">
        <f t="shared" si="50"/>
        <v>0.99999999999999989</v>
      </c>
      <c r="AR115" s="1086">
        <f t="shared" si="13"/>
        <v>486.58139177935681</v>
      </c>
      <c r="AS115" s="938">
        <f t="shared" si="14"/>
        <v>617.11684285846729</v>
      </c>
      <c r="AT115" s="938">
        <f t="shared" si="15"/>
        <v>119.80698619789295</v>
      </c>
      <c r="AU115" s="938">
        <f t="shared" si="16"/>
        <v>0</v>
      </c>
      <c r="AV115" s="938">
        <f t="shared" si="17"/>
        <v>0</v>
      </c>
      <c r="AW115" s="938">
        <f t="shared" si="18"/>
        <v>0</v>
      </c>
      <c r="AX115" s="938">
        <f t="shared" si="19"/>
        <v>836.69200679643529</v>
      </c>
      <c r="AY115" s="938">
        <f t="shared" si="20"/>
        <v>67.395089006310542</v>
      </c>
      <c r="AZ115" s="938">
        <f t="shared" si="21"/>
        <v>18.944777226189505</v>
      </c>
      <c r="BA115" s="938">
        <f t="shared" si="22"/>
        <v>48.930669407312998</v>
      </c>
      <c r="BB115" s="938">
        <f t="shared" si="23"/>
        <v>33.338533120193141</v>
      </c>
      <c r="BC115" s="530">
        <f t="shared" si="51"/>
        <v>2228.8062963921584</v>
      </c>
      <c r="BD115" s="724">
        <f t="shared" si="52"/>
        <v>0</v>
      </c>
      <c r="BE115" s="436">
        <f t="shared" si="53"/>
        <v>0.2183147959367317</v>
      </c>
      <c r="BF115" s="624">
        <f t="shared" si="54"/>
        <v>0.2768822233934885</v>
      </c>
      <c r="BG115" s="624">
        <f t="shared" si="55"/>
        <v>5.3753879999275146E-2</v>
      </c>
      <c r="BH115" s="624">
        <f t="shared" si="56"/>
        <v>0</v>
      </c>
      <c r="BI115" s="624">
        <f t="shared" si="57"/>
        <v>0</v>
      </c>
      <c r="BJ115" s="624">
        <f t="shared" si="58"/>
        <v>0</v>
      </c>
      <c r="BK115" s="624">
        <f t="shared" si="59"/>
        <v>0.45104910067050474</v>
      </c>
      <c r="BL115" s="624">
        <f t="shared" si="60"/>
        <v>1</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74.311786883385537</v>
      </c>
      <c r="BW115" s="114">
        <f t="shared" si="63"/>
        <v>0.78193334911277168</v>
      </c>
      <c r="BX115" s="1686">
        <f t="shared" si="24"/>
        <v>23.293526984521989</v>
      </c>
      <c r="BY115" s="527">
        <f t="shared" si="64"/>
        <v>74.311786883385537</v>
      </c>
      <c r="BZ115" s="417">
        <f t="shared" si="65"/>
        <v>0.78193334911277168</v>
      </c>
      <c r="CA115" s="544">
        <f t="shared" si="25"/>
        <v>23.293526984521989</v>
      </c>
      <c r="CB115" s="649">
        <f t="shared" si="26"/>
        <v>0.35964473479152448</v>
      </c>
      <c r="CC115" s="525">
        <f t="shared" si="66"/>
        <v>0.42554960402631026</v>
      </c>
      <c r="CD115" s="417">
        <f t="shared" si="27"/>
        <v>0.35964473479152448</v>
      </c>
      <c r="CE115" s="525">
        <f t="shared" si="67"/>
        <v>0.42554960402631026</v>
      </c>
      <c r="CG115" s="527">
        <f t="shared" si="68"/>
        <v>1912.684394796664</v>
      </c>
      <c r="CH115" s="528">
        <f t="shared" si="69"/>
        <v>842.2489438339976</v>
      </c>
      <c r="CI115" s="528">
        <f t="shared" si="70"/>
        <v>3207.7017627238815</v>
      </c>
      <c r="CJ115" s="528">
        <f t="shared" si="71"/>
        <v>4060.5472592137935</v>
      </c>
      <c r="CK115" s="528">
        <f t="shared" si="72"/>
        <v>48.872623821906771</v>
      </c>
      <c r="CL115" s="528">
        <f t="shared" si="73"/>
        <v>10072.054984390243</v>
      </c>
      <c r="CM115" s="646">
        <f t="shared" si="74"/>
        <v>0</v>
      </c>
    </row>
    <row r="116" spans="1:91">
      <c r="A116" s="873">
        <f>'Input data'!A136</f>
        <v>2036</v>
      </c>
      <c r="B116" s="1551">
        <f>'Input data'!B136</f>
        <v>72.865243718484663</v>
      </c>
      <c r="C116" s="1550">
        <f>'Input data'!C136</f>
        <v>6119.1299999999983</v>
      </c>
      <c r="D116" s="1550">
        <f>'Input data'!D136</f>
        <v>16814169.506355952</v>
      </c>
      <c r="E116" s="1455">
        <f t="shared" si="89"/>
        <v>1</v>
      </c>
      <c r="F116" s="1449">
        <f t="shared" si="89"/>
        <v>0.37</v>
      </c>
      <c r="G116" s="1554">
        <f>B116*F116*'Input data'!$C$9</f>
        <v>825.17144870133882</v>
      </c>
      <c r="H116" s="1542">
        <f>'Input data'!I136</f>
        <v>424.26313389388866</v>
      </c>
      <c r="I116" s="1509">
        <f>'Input data'!K136</f>
        <v>30914.036651946288</v>
      </c>
      <c r="J116" s="1509">
        <f t="shared" si="91"/>
        <v>2228.8062963921584</v>
      </c>
      <c r="K116" s="1511">
        <f t="shared" si="77"/>
        <v>12137.516841324346</v>
      </c>
      <c r="L116" s="1504">
        <f t="shared" si="90"/>
        <v>0.7</v>
      </c>
      <c r="M116" s="1504">
        <f t="shared" si="88"/>
        <v>0.6</v>
      </c>
      <c r="N116" s="1504">
        <f t="shared" si="88"/>
        <v>0.9</v>
      </c>
      <c r="O116" s="1504">
        <f t="shared" si="88"/>
        <v>0.9</v>
      </c>
      <c r="P116" s="1504">
        <f t="shared" si="88"/>
        <v>0.23600000000000002</v>
      </c>
      <c r="Q116" s="1508">
        <f t="shared" si="33"/>
        <v>331.00812274036412</v>
      </c>
      <c r="R116" s="1509">
        <f t="shared" si="34"/>
        <v>230.98775595665279</v>
      </c>
      <c r="S116" s="1509">
        <f t="shared" si="35"/>
        <v>676.42780813279978</v>
      </c>
      <c r="T116" s="1509">
        <f t="shared" si="36"/>
        <v>455.46414130451603</v>
      </c>
      <c r="U116" s="1511">
        <f t="shared" si="37"/>
        <v>0</v>
      </c>
      <c r="V116" s="1509">
        <f t="shared" si="38"/>
        <v>1693.8878281343327</v>
      </c>
      <c r="W116" s="1454">
        <f t="shared" si="87"/>
        <v>0.5</v>
      </c>
      <c r="X116" s="530">
        <f t="shared" si="39"/>
        <v>3033.4854703020706</v>
      </c>
      <c r="Y116" s="1508">
        <f t="shared" si="78"/>
        <v>4727.3732984364033</v>
      </c>
      <c r="Z116" s="1509">
        <f t="shared" si="79"/>
        <v>9638.9498392801015</v>
      </c>
      <c r="AA116" s="1511">
        <f t="shared" si="80"/>
        <v>7410.1435428879431</v>
      </c>
      <c r="AB116" s="1091">
        <f t="shared" si="40"/>
        <v>0.76877083774111432</v>
      </c>
      <c r="AC116" s="135" t="str">
        <f t="shared" si="41"/>
        <v>Yes</v>
      </c>
      <c r="AD116" s="1091">
        <f t="shared" si="42"/>
        <v>0.76877083774111432</v>
      </c>
      <c r="AE116" s="649">
        <f t="shared" si="10"/>
        <v>0.36266411035080748</v>
      </c>
      <c r="AF116" s="530">
        <f t="shared" si="43"/>
        <v>270.39812188561598</v>
      </c>
      <c r="AG116" s="528">
        <f t="shared" si="44"/>
        <v>2228.8062963921584</v>
      </c>
      <c r="AH116" s="528">
        <f t="shared" si="81"/>
        <v>10167.875469999753</v>
      </c>
      <c r="AI116" s="528">
        <f t="shared" si="82"/>
        <v>6437.6604656145792</v>
      </c>
      <c r="AJ116" s="528">
        <f t="shared" si="11"/>
        <v>868.2828202094372</v>
      </c>
      <c r="AK116" s="528">
        <f t="shared" si="45"/>
        <v>19702.625052215932</v>
      </c>
      <c r="AL116" s="716">
        <f t="shared" si="12"/>
        <v>0</v>
      </c>
      <c r="AM116" s="417">
        <f t="shared" si="46"/>
        <v>0.11312230174838997</v>
      </c>
      <c r="AN116" s="417">
        <f t="shared" si="47"/>
        <v>0.5160670440133146</v>
      </c>
      <c r="AO116" s="417">
        <f t="shared" si="48"/>
        <v>0.32674125648503588</v>
      </c>
      <c r="AP116" s="417">
        <f t="shared" si="49"/>
        <v>4.4069397753259403E-2</v>
      </c>
      <c r="AQ116" s="417">
        <f t="shared" si="50"/>
        <v>0.99999999999999978</v>
      </c>
      <c r="AR116" s="1086">
        <f t="shared" si="13"/>
        <v>488.06647866629652</v>
      </c>
      <c r="AS116" s="938">
        <f t="shared" si="14"/>
        <v>619.00033480148488</v>
      </c>
      <c r="AT116" s="938">
        <f t="shared" si="15"/>
        <v>119.44828351758507</v>
      </c>
      <c r="AU116" s="938">
        <f t="shared" si="16"/>
        <v>0</v>
      </c>
      <c r="AV116" s="938">
        <f t="shared" si="17"/>
        <v>0</v>
      </c>
      <c r="AW116" s="938">
        <f t="shared" si="18"/>
        <v>0</v>
      </c>
      <c r="AX116" s="938">
        <f t="shared" si="19"/>
        <v>834.18694699187336</v>
      </c>
      <c r="AY116" s="938">
        <f t="shared" si="20"/>
        <v>67.193307792765779</v>
      </c>
      <c r="AZ116" s="938">
        <f t="shared" si="21"/>
        <v>18.888056474048717</v>
      </c>
      <c r="BA116" s="938">
        <f t="shared" si="22"/>
        <v>48.784170752913596</v>
      </c>
      <c r="BB116" s="938">
        <f t="shared" si="23"/>
        <v>33.238717395190314</v>
      </c>
      <c r="BC116" s="530">
        <f t="shared" si="51"/>
        <v>2228.8062963921579</v>
      </c>
      <c r="BD116" s="724">
        <f t="shared" si="52"/>
        <v>0</v>
      </c>
      <c r="BE116" s="436">
        <f t="shared" si="53"/>
        <v>0.21898111085577324</v>
      </c>
      <c r="BF116" s="624">
        <f t="shared" si="54"/>
        <v>0.27772729097341525</v>
      </c>
      <c r="BG116" s="624">
        <f t="shared" si="55"/>
        <v>5.3592940629672452E-2</v>
      </c>
      <c r="BH116" s="624">
        <f t="shared" si="56"/>
        <v>0</v>
      </c>
      <c r="BI116" s="624">
        <f t="shared" si="57"/>
        <v>0</v>
      </c>
      <c r="BJ116" s="624">
        <f t="shared" si="58"/>
        <v>0</v>
      </c>
      <c r="BK116" s="624">
        <f t="shared" si="59"/>
        <v>0.44969865754113919</v>
      </c>
      <c r="BL116" s="624">
        <f t="shared" si="60"/>
        <v>1.0000000000000002</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72.244272007283868</v>
      </c>
      <c r="BW116" s="114">
        <f t="shared" si="63"/>
        <v>0.7796815232035218</v>
      </c>
      <c r="BX116" s="1686">
        <f t="shared" si="24"/>
        <v>16.814169506355952</v>
      </c>
      <c r="BY116" s="527">
        <f t="shared" si="64"/>
        <v>72.244272007283868</v>
      </c>
      <c r="BZ116" s="417">
        <f t="shared" si="65"/>
        <v>0.7796815232035218</v>
      </c>
      <c r="CA116" s="544">
        <f t="shared" si="25"/>
        <v>16.814169506355952</v>
      </c>
      <c r="CB116" s="649">
        <f t="shared" si="26"/>
        <v>0.36266411035080748</v>
      </c>
      <c r="CC116" s="525">
        <f t="shared" si="66"/>
        <v>0.41900369056731934</v>
      </c>
      <c r="CD116" s="417">
        <f t="shared" si="27"/>
        <v>0.36266411035080748</v>
      </c>
      <c r="CE116" s="525">
        <f t="shared" si="67"/>
        <v>0.41900369056731934</v>
      </c>
      <c r="CG116" s="527">
        <f t="shared" si="68"/>
        <v>1930.8807159854566</v>
      </c>
      <c r="CH116" s="528">
        <f t="shared" si="69"/>
        <v>850.26167836804723</v>
      </c>
      <c r="CI116" s="528">
        <f t="shared" si="70"/>
        <v>3238.2182304229796</v>
      </c>
      <c r="CJ116" s="528">
        <f t="shared" si="71"/>
        <v>4099.1772717406539</v>
      </c>
      <c r="CK116" s="528">
        <f t="shared" si="72"/>
        <v>49.337573482614907</v>
      </c>
      <c r="CL116" s="528">
        <f t="shared" si="73"/>
        <v>10167.875469999752</v>
      </c>
      <c r="CM116" s="646">
        <f t="shared" si="74"/>
        <v>0</v>
      </c>
    </row>
    <row r="117" spans="1:91" s="1" customFormat="1">
      <c r="A117" s="873">
        <f>'Input data'!A137</f>
        <v>2037</v>
      </c>
      <c r="B117" s="1551">
        <f>'Input data'!B137</f>
        <v>73.539326072165721</v>
      </c>
      <c r="C117" s="1550">
        <f>'Input data'!C137</f>
        <v>6283.2400000000007</v>
      </c>
      <c r="D117" s="1550">
        <f>'Input data'!D137</f>
        <v>17542322.49040458</v>
      </c>
      <c r="E117" s="1455">
        <f t="shared" si="89"/>
        <v>1</v>
      </c>
      <c r="F117" s="1449">
        <f t="shared" si="89"/>
        <v>0.37</v>
      </c>
      <c r="G117" s="1554">
        <f>B117*F117*'Input data'!$C$9</f>
        <v>832.80517754029006</v>
      </c>
      <c r="H117" s="1542">
        <f>'Input data'!I137</f>
        <v>424.26313389388866</v>
      </c>
      <c r="I117" s="1509">
        <f>'Input data'!K137</f>
        <v>31200.024943821583</v>
      </c>
      <c r="J117" s="1509">
        <f t="shared" si="91"/>
        <v>2228.8062963921584</v>
      </c>
      <c r="K117" s="1511">
        <f t="shared" si="77"/>
        <v>12270.420876502341</v>
      </c>
      <c r="L117" s="1504">
        <f t="shared" si="90"/>
        <v>0.7</v>
      </c>
      <c r="M117" s="1504">
        <f t="shared" si="88"/>
        <v>0.6</v>
      </c>
      <c r="N117" s="1504">
        <f t="shared" si="88"/>
        <v>0.9</v>
      </c>
      <c r="O117" s="1504">
        <f t="shared" si="88"/>
        <v>0.9</v>
      </c>
      <c r="P117" s="1504">
        <f>P116</f>
        <v>0.23600000000000002</v>
      </c>
      <c r="Q117" s="1508">
        <f t="shared" si="33"/>
        <v>334.07030606780108</v>
      </c>
      <c r="R117" s="1509">
        <f t="shared" si="34"/>
        <v>233.12464265682399</v>
      </c>
      <c r="S117" s="1509">
        <f t="shared" si="35"/>
        <v>682.68549733731425</v>
      </c>
      <c r="T117" s="1509">
        <f t="shared" si="36"/>
        <v>459.6776774806126</v>
      </c>
      <c r="U117" s="1511">
        <f t="shared" si="37"/>
        <v>0</v>
      </c>
      <c r="V117" s="1509">
        <f t="shared" si="38"/>
        <v>1709.558123542552</v>
      </c>
      <c r="W117" s="1454">
        <f t="shared" si="87"/>
        <v>0.5</v>
      </c>
      <c r="X117" s="530">
        <f t="shared" si="39"/>
        <v>3033.4854703020706</v>
      </c>
      <c r="Y117" s="1508">
        <f t="shared" si="78"/>
        <v>4743.0435938446226</v>
      </c>
      <c r="Z117" s="1509">
        <f t="shared" si="79"/>
        <v>9756.1835790498772</v>
      </c>
      <c r="AA117" s="1511">
        <f t="shared" si="80"/>
        <v>7527.3772826577188</v>
      </c>
      <c r="AB117" s="1091">
        <f t="shared" si="40"/>
        <v>0.77154936883534797</v>
      </c>
      <c r="AC117" s="135" t="str">
        <f t="shared" si="41"/>
        <v>Yes</v>
      </c>
      <c r="AD117" s="1091">
        <f t="shared" si="42"/>
        <v>0.77154936883534797</v>
      </c>
      <c r="AE117" s="649">
        <f t="shared" si="10"/>
        <v>0.36557129745283368</v>
      </c>
      <c r="AF117" s="530">
        <f t="shared" si="43"/>
        <v>269.16470957489446</v>
      </c>
      <c r="AG117" s="528">
        <f t="shared" si="44"/>
        <v>2228.8062963921584</v>
      </c>
      <c r="AH117" s="528">
        <f t="shared" si="81"/>
        <v>10261.939321007152</v>
      </c>
      <c r="AI117" s="528">
        <f t="shared" si="82"/>
        <v>6437.6604656145792</v>
      </c>
      <c r="AJ117" s="528">
        <f t="shared" si="11"/>
        <v>865.78526153405937</v>
      </c>
      <c r="AK117" s="528">
        <f t="shared" si="45"/>
        <v>19794.191344547951</v>
      </c>
      <c r="AL117" s="716">
        <f t="shared" si="12"/>
        <v>0</v>
      </c>
      <c r="AM117" s="417">
        <f t="shared" si="46"/>
        <v>0.11259900733484896</v>
      </c>
      <c r="AN117" s="417">
        <f t="shared" si="47"/>
        <v>0.51843185419310744</v>
      </c>
      <c r="AO117" s="417">
        <f t="shared" si="48"/>
        <v>0.32522977845153284</v>
      </c>
      <c r="AP117" s="417">
        <f t="shared" si="49"/>
        <v>4.3739360020510688E-2</v>
      </c>
      <c r="AQ117" s="417">
        <f t="shared" si="50"/>
        <v>1</v>
      </c>
      <c r="AR117" s="1086">
        <f t="shared" si="13"/>
        <v>489.48897660766931</v>
      </c>
      <c r="AS117" s="938">
        <f t="shared" si="14"/>
        <v>620.80444702892248</v>
      </c>
      <c r="AT117" s="938">
        <f t="shared" si="15"/>
        <v>119.10469835176737</v>
      </c>
      <c r="AU117" s="938">
        <f t="shared" si="16"/>
        <v>0</v>
      </c>
      <c r="AV117" s="938">
        <f t="shared" si="17"/>
        <v>0</v>
      </c>
      <c r="AW117" s="938">
        <f t="shared" si="18"/>
        <v>0</v>
      </c>
      <c r="AX117" s="938">
        <f t="shared" si="19"/>
        <v>831.78746286313753</v>
      </c>
      <c r="AY117" s="938">
        <f t="shared" si="20"/>
        <v>67.000030642856643</v>
      </c>
      <c r="AZ117" s="938">
        <f t="shared" si="21"/>
        <v>18.833726216430133</v>
      </c>
      <c r="BA117" s="938">
        <f t="shared" si="22"/>
        <v>48.643846280231053</v>
      </c>
      <c r="BB117" s="938">
        <f t="shared" si="23"/>
        <v>33.143108401142996</v>
      </c>
      <c r="BC117" s="530">
        <f t="shared" si="51"/>
        <v>2228.8062963921575</v>
      </c>
      <c r="BD117" s="724">
        <f t="shared" si="52"/>
        <v>0</v>
      </c>
      <c r="BE117" s="436">
        <f t="shared" si="53"/>
        <v>0.21961934395107433</v>
      </c>
      <c r="BF117" s="624">
        <f t="shared" si="54"/>
        <v>0.27853674320367777</v>
      </c>
      <c r="BG117" s="624">
        <f t="shared" si="55"/>
        <v>5.34387840453278E-2</v>
      </c>
      <c r="BH117" s="624">
        <f t="shared" si="56"/>
        <v>0</v>
      </c>
      <c r="BI117" s="624">
        <f t="shared" si="57"/>
        <v>0</v>
      </c>
      <c r="BJ117" s="624">
        <f t="shared" si="58"/>
        <v>0</v>
      </c>
      <c r="BK117" s="624">
        <f t="shared" si="59"/>
        <v>0.44840512879992017</v>
      </c>
      <c r="BL117" s="624">
        <f t="shared" si="60"/>
        <v>1</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73.468581065364987</v>
      </c>
      <c r="BW117" s="114">
        <f t="shared" si="63"/>
        <v>0.7833529961364829</v>
      </c>
      <c r="BX117" s="1686">
        <f t="shared" si="24"/>
        <v>17.54232249040458</v>
      </c>
      <c r="BY117" s="527">
        <f t="shared" si="64"/>
        <v>73.468581065364987</v>
      </c>
      <c r="BZ117" s="417">
        <f t="shared" si="65"/>
        <v>0.7833529961364829</v>
      </c>
      <c r="CA117" s="544">
        <f t="shared" si="25"/>
        <v>17.54232249040458</v>
      </c>
      <c r="CB117" s="649">
        <f t="shared" si="26"/>
        <v>0.36557129745283368</v>
      </c>
      <c r="CC117" s="525">
        <f t="shared" si="66"/>
        <v>0.4237004558706301</v>
      </c>
      <c r="CD117" s="417">
        <f t="shared" si="27"/>
        <v>0.36557129745283368</v>
      </c>
      <c r="CE117" s="525">
        <f t="shared" si="67"/>
        <v>0.4237004558706301</v>
      </c>
      <c r="CG117" s="527">
        <f t="shared" si="68"/>
        <v>1948.7434520621723</v>
      </c>
      <c r="CH117" s="528">
        <f t="shared" si="69"/>
        <v>858.12751898217448</v>
      </c>
      <c r="CI117" s="528">
        <f t="shared" si="70"/>
        <v>3268.1752532105488</v>
      </c>
      <c r="CJ117" s="528">
        <f t="shared" si="71"/>
        <v>4137.0990973255157</v>
      </c>
      <c r="CK117" s="528">
        <f t="shared" si="72"/>
        <v>49.79399942673944</v>
      </c>
      <c r="CL117" s="528">
        <f t="shared" si="73"/>
        <v>10261.93932100715</v>
      </c>
      <c r="CM117" s="646">
        <f t="shared" si="74"/>
        <v>0</v>
      </c>
    </row>
    <row r="118" spans="1:91">
      <c r="A118" s="873">
        <f>'Input data'!A138</f>
        <v>2038</v>
      </c>
      <c r="B118" s="1551">
        <f>'Input data'!B138</f>
        <v>74.200346452615136</v>
      </c>
      <c r="C118" s="1550">
        <f>'Input data'!C138</f>
        <v>6443.4999999999982</v>
      </c>
      <c r="D118" s="1550">
        <f>'Input data'!D138</f>
        <v>14615640.739395874</v>
      </c>
      <c r="E118" s="1455">
        <f t="shared" si="89"/>
        <v>1</v>
      </c>
      <c r="F118" s="1449">
        <f t="shared" si="89"/>
        <v>0.37</v>
      </c>
      <c r="G118" s="1554">
        <f>B118*F118*'Input data'!$C$9</f>
        <v>840.29098445070019</v>
      </c>
      <c r="H118" s="1542">
        <f>'Input data'!I138</f>
        <v>424.26313389388866</v>
      </c>
      <c r="I118" s="1509">
        <f>'Input data'!K138</f>
        <v>31480.471521998781</v>
      </c>
      <c r="J118" s="1509">
        <f t="shared" si="91"/>
        <v>2228.8062963921584</v>
      </c>
      <c r="K118" s="1511">
        <f t="shared" si="77"/>
        <v>12400.749575090684</v>
      </c>
      <c r="L118" s="1504">
        <f t="shared" si="90"/>
        <v>0.7</v>
      </c>
      <c r="M118" s="1504">
        <f t="shared" si="88"/>
        <v>0.6</v>
      </c>
      <c r="N118" s="1504">
        <f t="shared" si="88"/>
        <v>0.9</v>
      </c>
      <c r="O118" s="1504">
        <f t="shared" si="88"/>
        <v>0.9</v>
      </c>
      <c r="P118" s="1504">
        <f t="shared" si="88"/>
        <v>0.23600000000000002</v>
      </c>
      <c r="Q118" s="1508">
        <f t="shared" si="33"/>
        <v>337.07315219936709</v>
      </c>
      <c r="R118" s="1509">
        <f t="shared" si="34"/>
        <v>235.2201220174851</v>
      </c>
      <c r="S118" s="1509">
        <f t="shared" si="35"/>
        <v>688.82192870376957</v>
      </c>
      <c r="T118" s="1509">
        <f t="shared" si="36"/>
        <v>463.80956621935502</v>
      </c>
      <c r="U118" s="1511">
        <f t="shared" si="37"/>
        <v>0</v>
      </c>
      <c r="V118" s="1509">
        <f t="shared" si="38"/>
        <v>1724.9247691399769</v>
      </c>
      <c r="W118" s="1454">
        <f t="shared" si="87"/>
        <v>0.5</v>
      </c>
      <c r="X118" s="530">
        <f t="shared" si="39"/>
        <v>3033.4854703020706</v>
      </c>
      <c r="Y118" s="1508">
        <f t="shared" si="78"/>
        <v>4758.4102394420479</v>
      </c>
      <c r="Z118" s="1509">
        <f t="shared" si="79"/>
        <v>9871.1456320407942</v>
      </c>
      <c r="AA118" s="1511">
        <f t="shared" si="80"/>
        <v>7642.3393356486358</v>
      </c>
      <c r="AB118" s="1091">
        <f t="shared" si="40"/>
        <v>0.77420996716352086</v>
      </c>
      <c r="AC118" s="135" t="str">
        <f t="shared" si="41"/>
        <v>Yes</v>
      </c>
      <c r="AD118" s="1091">
        <f t="shared" si="42"/>
        <v>0.77420996716352086</v>
      </c>
      <c r="AE118" s="649">
        <f t="shared" si="10"/>
        <v>0.36836902471937161</v>
      </c>
      <c r="AF118" s="530">
        <f t="shared" si="43"/>
        <v>267.97773703701273</v>
      </c>
      <c r="AG118" s="528">
        <f t="shared" si="44"/>
        <v>2228.8062963921584</v>
      </c>
      <c r="AH118" s="528">
        <f t="shared" si="81"/>
        <v>10354.180457776125</v>
      </c>
      <c r="AI118" s="528">
        <f t="shared" si="82"/>
        <v>6437.6604656145792</v>
      </c>
      <c r="AJ118" s="528">
        <f t="shared" si="11"/>
        <v>863.39370995127729</v>
      </c>
      <c r="AK118" s="528">
        <f t="shared" si="45"/>
        <v>19884.040929734139</v>
      </c>
      <c r="AL118" s="716">
        <f t="shared" si="12"/>
        <v>0</v>
      </c>
      <c r="AM118" s="417">
        <f t="shared" si="46"/>
        <v>0.11209020863858978</v>
      </c>
      <c r="AN118" s="417">
        <f t="shared" si="47"/>
        <v>0.52072818067341231</v>
      </c>
      <c r="AO118" s="417">
        <f t="shared" si="48"/>
        <v>0.32376016969407106</v>
      </c>
      <c r="AP118" s="417">
        <f t="shared" si="49"/>
        <v>4.3421440993926849E-2</v>
      </c>
      <c r="AQ118" s="417">
        <f t="shared" si="50"/>
        <v>1</v>
      </c>
      <c r="AR118" s="1086">
        <f t="shared" si="13"/>
        <v>490.85109764079436</v>
      </c>
      <c r="AS118" s="938">
        <f t="shared" si="14"/>
        <v>622.53198500253723</v>
      </c>
      <c r="AT118" s="938">
        <f t="shared" si="15"/>
        <v>118.77569641270085</v>
      </c>
      <c r="AU118" s="938">
        <f t="shared" si="16"/>
        <v>0</v>
      </c>
      <c r="AV118" s="938">
        <f t="shared" si="17"/>
        <v>0</v>
      </c>
      <c r="AW118" s="938">
        <f t="shared" si="18"/>
        <v>0</v>
      </c>
      <c r="AX118" s="938">
        <f t="shared" si="19"/>
        <v>829.48982312297403</v>
      </c>
      <c r="AY118" s="938">
        <f t="shared" si="20"/>
        <v>66.814957003411152</v>
      </c>
      <c r="AZ118" s="938">
        <f t="shared" si="21"/>
        <v>18.781701967758103</v>
      </c>
      <c r="BA118" s="938">
        <f t="shared" si="22"/>
        <v>48.509477779480839</v>
      </c>
      <c r="BB118" s="938">
        <f t="shared" si="23"/>
        <v>33.051557462501904</v>
      </c>
      <c r="BC118" s="530">
        <f t="shared" si="51"/>
        <v>2228.8062963921584</v>
      </c>
      <c r="BD118" s="724">
        <f t="shared" si="52"/>
        <v>0</v>
      </c>
      <c r="BE118" s="436">
        <f t="shared" si="53"/>
        <v>0.22023048769888665</v>
      </c>
      <c r="BF118" s="624">
        <f t="shared" si="54"/>
        <v>0.27931183881266403</v>
      </c>
      <c r="BG118" s="624">
        <f t="shared" si="55"/>
        <v>5.3291170527006743E-2</v>
      </c>
      <c r="BH118" s="624">
        <f t="shared" si="56"/>
        <v>0</v>
      </c>
      <c r="BI118" s="624">
        <f t="shared" si="57"/>
        <v>0</v>
      </c>
      <c r="BJ118" s="624">
        <f t="shared" si="58"/>
        <v>0</v>
      </c>
      <c r="BK118" s="624">
        <f t="shared" si="59"/>
        <v>0.44716650296144256</v>
      </c>
      <c r="BL118" s="624">
        <f t="shared" si="60"/>
        <v>1</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73.209498470222584</v>
      </c>
      <c r="BW118" s="114">
        <f t="shared" si="63"/>
        <v>0.78258629961262127</v>
      </c>
      <c r="BX118" s="1686">
        <f t="shared" si="24"/>
        <v>14.615640739395873</v>
      </c>
      <c r="BY118" s="527">
        <f t="shared" si="64"/>
        <v>73.209498470222584</v>
      </c>
      <c r="BZ118" s="417">
        <f t="shared" si="65"/>
        <v>0.78258629961262127</v>
      </c>
      <c r="CA118" s="544">
        <f t="shared" si="25"/>
        <v>14.615640739395873</v>
      </c>
      <c r="CB118" s="649">
        <f t="shared" si="26"/>
        <v>0.36836902471937161</v>
      </c>
      <c r="CC118" s="525">
        <f t="shared" si="66"/>
        <v>0.42124160638990238</v>
      </c>
      <c r="CD118" s="417">
        <f t="shared" si="27"/>
        <v>0.36836902471937161</v>
      </c>
      <c r="CE118" s="525">
        <f t="shared" si="67"/>
        <v>0.42124160638990238</v>
      </c>
      <c r="CG118" s="527">
        <f t="shared" si="68"/>
        <v>1966.2600544963086</v>
      </c>
      <c r="CH118" s="528">
        <f t="shared" si="69"/>
        <v>865.84093994166301</v>
      </c>
      <c r="CI118" s="528">
        <f t="shared" si="70"/>
        <v>3297.551786347834</v>
      </c>
      <c r="CJ118" s="528">
        <f t="shared" si="71"/>
        <v>4174.2860959742047</v>
      </c>
      <c r="CK118" s="528">
        <f t="shared" si="72"/>
        <v>50.241581016117358</v>
      </c>
      <c r="CL118" s="528">
        <f t="shared" si="73"/>
        <v>10354.180457776127</v>
      </c>
      <c r="CM118" s="646">
        <f t="shared" si="74"/>
        <v>0</v>
      </c>
    </row>
    <row r="119" spans="1:91">
      <c r="A119" s="873">
        <f>'Input data'!A139</f>
        <v>2039</v>
      </c>
      <c r="B119" s="1551">
        <f>'Input data'!B139</f>
        <v>74.847837096563296</v>
      </c>
      <c r="C119" s="1550">
        <f>'Input data'!C139</f>
        <v>6615.260000000002</v>
      </c>
      <c r="D119" s="1550">
        <f>'Input data'!D139</f>
        <v>11688958.988387169</v>
      </c>
      <c r="E119" s="1455">
        <f t="shared" si="89"/>
        <v>1</v>
      </c>
      <c r="F119" s="1449">
        <f t="shared" si="89"/>
        <v>0.37</v>
      </c>
      <c r="G119" s="1554">
        <f>B119*F119*'Input data'!$C$9</f>
        <v>847.62357218967077</v>
      </c>
      <c r="H119" s="1542">
        <f>'Input data'!I139</f>
        <v>424.26313389388866</v>
      </c>
      <c r="I119" s="1509">
        <f>'Input data'!K139</f>
        <v>31755.177931767201</v>
      </c>
      <c r="J119" s="1509">
        <f t="shared" si="91"/>
        <v>2228.8062963921584</v>
      </c>
      <c r="K119" s="1511">
        <f t="shared" si="77"/>
        <v>12528.410711524208</v>
      </c>
      <c r="L119" s="1504">
        <f t="shared" si="90"/>
        <v>0.7</v>
      </c>
      <c r="M119" s="1504">
        <f t="shared" si="88"/>
        <v>0.6</v>
      </c>
      <c r="N119" s="1504">
        <f t="shared" si="88"/>
        <v>0.9</v>
      </c>
      <c r="O119" s="1504">
        <f t="shared" si="88"/>
        <v>0.9</v>
      </c>
      <c r="P119" s="1504">
        <f t="shared" si="88"/>
        <v>0.23600000000000002</v>
      </c>
      <c r="Q119" s="1508">
        <f t="shared" si="33"/>
        <v>340.01453620644315</v>
      </c>
      <c r="R119" s="1509">
        <f t="shared" si="34"/>
        <v>237.27271119740124</v>
      </c>
      <c r="S119" s="1509">
        <f t="shared" si="35"/>
        <v>694.83275985894261</v>
      </c>
      <c r="T119" s="1509">
        <f t="shared" si="36"/>
        <v>467.85688363845247</v>
      </c>
      <c r="U119" s="1511">
        <f t="shared" si="37"/>
        <v>0</v>
      </c>
      <c r="V119" s="1509">
        <f t="shared" si="38"/>
        <v>1739.9768909012396</v>
      </c>
      <c r="W119" s="1454">
        <f t="shared" si="87"/>
        <v>0.5</v>
      </c>
      <c r="X119" s="530">
        <f t="shared" si="39"/>
        <v>3033.4854703020706</v>
      </c>
      <c r="Y119" s="1508">
        <f t="shared" si="78"/>
        <v>4773.4623612033101</v>
      </c>
      <c r="Z119" s="1509">
        <f t="shared" si="79"/>
        <v>9983.754646713056</v>
      </c>
      <c r="AA119" s="1511">
        <f t="shared" si="80"/>
        <v>7754.9483503208976</v>
      </c>
      <c r="AB119" s="1091">
        <f t="shared" si="40"/>
        <v>0.77675670373911421</v>
      </c>
      <c r="AC119" s="135" t="str">
        <f t="shared" si="41"/>
        <v>Yes</v>
      </c>
      <c r="AD119" s="1091">
        <f t="shared" si="42"/>
        <v>0.77675670373911421</v>
      </c>
      <c r="AE119" s="649">
        <f t="shared" si="10"/>
        <v>0.37105989712936271</v>
      </c>
      <c r="AF119" s="530">
        <f t="shared" si="43"/>
        <v>266.83609907544133</v>
      </c>
      <c r="AG119" s="528">
        <f t="shared" si="44"/>
        <v>2228.8062963921584</v>
      </c>
      <c r="AH119" s="528">
        <f t="shared" si="81"/>
        <v>10444.533606955052</v>
      </c>
      <c r="AI119" s="528">
        <f t="shared" si="82"/>
        <v>6437.6604656145792</v>
      </c>
      <c r="AJ119" s="528">
        <f t="shared" si="11"/>
        <v>861.10450611926854</v>
      </c>
      <c r="AK119" s="528">
        <f t="shared" si="45"/>
        <v>19972.104875081055</v>
      </c>
      <c r="AL119" s="716">
        <f t="shared" si="12"/>
        <v>0</v>
      </c>
      <c r="AM119" s="417">
        <f t="shared" si="46"/>
        <v>0.11159596398740185</v>
      </c>
      <c r="AN119" s="417">
        <f t="shared" si="47"/>
        <v>0.5229560766019492</v>
      </c>
      <c r="AO119" s="417">
        <f t="shared" si="48"/>
        <v>0.32233259868601871</v>
      </c>
      <c r="AP119" s="417">
        <f t="shared" si="49"/>
        <v>4.3115360724630375E-2</v>
      </c>
      <c r="AQ119" s="417">
        <f t="shared" si="50"/>
        <v>1</v>
      </c>
      <c r="AR119" s="1086">
        <f t="shared" si="13"/>
        <v>492.15492596343529</v>
      </c>
      <c r="AS119" s="938">
        <f t="shared" si="14"/>
        <v>624.18559204894575</v>
      </c>
      <c r="AT119" s="938">
        <f t="shared" si="15"/>
        <v>118.4607742905639</v>
      </c>
      <c r="AU119" s="938">
        <f t="shared" si="16"/>
        <v>0</v>
      </c>
      <c r="AV119" s="938">
        <f t="shared" si="17"/>
        <v>0</v>
      </c>
      <c r="AW119" s="938">
        <f t="shared" si="18"/>
        <v>0</v>
      </c>
      <c r="AX119" s="938">
        <f t="shared" si="19"/>
        <v>827.29051212519914</v>
      </c>
      <c r="AY119" s="938">
        <f t="shared" si="20"/>
        <v>66.637803691029063</v>
      </c>
      <c r="AZ119" s="938">
        <f t="shared" si="21"/>
        <v>18.731904125104535</v>
      </c>
      <c r="BA119" s="938">
        <f t="shared" si="22"/>
        <v>48.380859651804265</v>
      </c>
      <c r="BB119" s="938">
        <f t="shared" si="23"/>
        <v>32.963924496075393</v>
      </c>
      <c r="BC119" s="530">
        <f t="shared" si="51"/>
        <v>2228.806296392157</v>
      </c>
      <c r="BD119" s="724">
        <f t="shared" si="52"/>
        <v>0</v>
      </c>
      <c r="BE119" s="436">
        <f t="shared" si="53"/>
        <v>0.22081547721760428</v>
      </c>
      <c r="BF119" s="624">
        <f t="shared" si="54"/>
        <v>0.28005376378348168</v>
      </c>
      <c r="BG119" s="624">
        <f t="shared" si="55"/>
        <v>5.3149874209490661E-2</v>
      </c>
      <c r="BH119" s="624">
        <f t="shared" si="56"/>
        <v>0</v>
      </c>
      <c r="BI119" s="624">
        <f t="shared" si="57"/>
        <v>0</v>
      </c>
      <c r="BJ119" s="624">
        <f t="shared" si="58"/>
        <v>0</v>
      </c>
      <c r="BK119" s="624">
        <f t="shared" si="59"/>
        <v>0.44598088478942355</v>
      </c>
      <c r="BL119" s="624">
        <f t="shared" si="60"/>
        <v>1.0000000000000002</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73.007597014105684</v>
      </c>
      <c r="BW119" s="114">
        <f t="shared" si="63"/>
        <v>0.78198504516125933</v>
      </c>
      <c r="BX119" s="1686">
        <f t="shared" si="24"/>
        <v>11.688958988387169</v>
      </c>
      <c r="BY119" s="527">
        <f t="shared" si="64"/>
        <v>73.007597014105684</v>
      </c>
      <c r="BZ119" s="417">
        <f t="shared" si="65"/>
        <v>0.78198504516125933</v>
      </c>
      <c r="CA119" s="544">
        <f t="shared" si="25"/>
        <v>11.688958988387169</v>
      </c>
      <c r="CB119" s="649">
        <f t="shared" si="26"/>
        <v>0.37105989712936271</v>
      </c>
      <c r="CC119" s="525">
        <f t="shared" si="66"/>
        <v>0.41896394034163265</v>
      </c>
      <c r="CD119" s="417">
        <f t="shared" si="27"/>
        <v>0.37105989712936271</v>
      </c>
      <c r="CE119" s="525">
        <f t="shared" si="67"/>
        <v>0.41896394034163265</v>
      </c>
      <c r="CG119" s="527">
        <f t="shared" si="68"/>
        <v>1983.4181278709173</v>
      </c>
      <c r="CH119" s="528">
        <f t="shared" si="69"/>
        <v>873.3964829352193</v>
      </c>
      <c r="CI119" s="528">
        <f t="shared" si="70"/>
        <v>3326.327041877918</v>
      </c>
      <c r="CJ119" s="528">
        <f t="shared" si="71"/>
        <v>4210.7119527460754</v>
      </c>
      <c r="CK119" s="528">
        <f t="shared" si="72"/>
        <v>50.680001524920158</v>
      </c>
      <c r="CL119" s="528">
        <f t="shared" si="73"/>
        <v>10444.53360695505</v>
      </c>
      <c r="CM119" s="646">
        <f t="shared" si="74"/>
        <v>0</v>
      </c>
    </row>
    <row r="120" spans="1:91">
      <c r="A120" s="873">
        <f>'Input data'!A140</f>
        <v>2040</v>
      </c>
      <c r="B120" s="1551">
        <f>'Input data'!B140</f>
        <v>75.481336564720067</v>
      </c>
      <c r="C120" s="1550">
        <f>'Input data'!C140</f>
        <v>6787.6000000000013</v>
      </c>
      <c r="D120" s="1550">
        <f>'Input data'!D140</f>
        <v>8762277.2373784631</v>
      </c>
      <c r="E120" s="1455">
        <f t="shared" si="89"/>
        <v>1</v>
      </c>
      <c r="F120" s="1449">
        <f t="shared" si="89"/>
        <v>0.37</v>
      </c>
      <c r="G120" s="1554">
        <f>B120*F120*'Input data'!$C$9</f>
        <v>854.79771513098979</v>
      </c>
      <c r="H120" s="1542">
        <f>'Input data'!I140</f>
        <v>424.26313389388866</v>
      </c>
      <c r="I120" s="1509">
        <f>'Input data'!K140</f>
        <v>32023.948401447506</v>
      </c>
      <c r="J120" s="1509">
        <f t="shared" si="91"/>
        <v>2228.8062963921584</v>
      </c>
      <c r="K120" s="1511">
        <f t="shared" si="77"/>
        <v>12653.313307091908</v>
      </c>
      <c r="L120" s="1504">
        <f t="shared" si="90"/>
        <v>0.7</v>
      </c>
      <c r="M120" s="1504">
        <f t="shared" si="88"/>
        <v>0.6</v>
      </c>
      <c r="N120" s="1504">
        <f t="shared" si="88"/>
        <v>0.9</v>
      </c>
      <c r="O120" s="1504">
        <f t="shared" si="88"/>
        <v>0.9</v>
      </c>
      <c r="P120" s="1504">
        <f t="shared" si="88"/>
        <v>0.23600000000000002</v>
      </c>
      <c r="Q120" s="1508">
        <f t="shared" si="33"/>
        <v>342.89236188862628</v>
      </c>
      <c r="R120" s="1509">
        <f t="shared" si="34"/>
        <v>239.28094740278073</v>
      </c>
      <c r="S120" s="1509">
        <f t="shared" si="35"/>
        <v>700.71370713682654</v>
      </c>
      <c r="T120" s="1509">
        <f t="shared" si="36"/>
        <v>471.81674538537345</v>
      </c>
      <c r="U120" s="1511">
        <f t="shared" si="37"/>
        <v>0</v>
      </c>
      <c r="V120" s="1509">
        <f t="shared" si="38"/>
        <v>1754.7037618136069</v>
      </c>
      <c r="W120" s="1454">
        <f t="shared" si="87"/>
        <v>0.5</v>
      </c>
      <c r="X120" s="530">
        <f t="shared" si="39"/>
        <v>3033.4854703020706</v>
      </c>
      <c r="Y120" s="1508">
        <f t="shared" si="78"/>
        <v>4788.1892321156774</v>
      </c>
      <c r="Z120" s="1509">
        <f t="shared" si="79"/>
        <v>10093.930371368389</v>
      </c>
      <c r="AA120" s="1511">
        <f t="shared" si="80"/>
        <v>7865.124074976231</v>
      </c>
      <c r="AB120" s="1091">
        <f t="shared" si="40"/>
        <v>0.77919341481548099</v>
      </c>
      <c r="AC120" s="135" t="str">
        <f t="shared" si="41"/>
        <v>Yes</v>
      </c>
      <c r="AD120" s="1091">
        <f t="shared" si="42"/>
        <v>0.77919341481548099</v>
      </c>
      <c r="AE120" s="649">
        <f t="shared" si="10"/>
        <v>0.37364640081421818</v>
      </c>
      <c r="AF120" s="530">
        <f t="shared" si="43"/>
        <v>265.73874091627641</v>
      </c>
      <c r="AG120" s="528">
        <f t="shared" si="44"/>
        <v>2228.8062963921584</v>
      </c>
      <c r="AH120" s="528">
        <f t="shared" si="81"/>
        <v>10532.934377662898</v>
      </c>
      <c r="AI120" s="528">
        <f t="shared" si="82"/>
        <v>6437.6604656145792</v>
      </c>
      <c r="AJ120" s="528">
        <f t="shared" si="11"/>
        <v>858.9142017167735</v>
      </c>
      <c r="AK120" s="528">
        <f t="shared" si="45"/>
        <v>20058.315341386409</v>
      </c>
      <c r="AL120" s="716">
        <f t="shared" si="12"/>
        <v>0</v>
      </c>
      <c r="AM120" s="417">
        <f t="shared" si="46"/>
        <v>0.11111632549686028</v>
      </c>
      <c r="AN120" s="417">
        <f t="shared" si="47"/>
        <v>0.52511560409713209</v>
      </c>
      <c r="AO120" s="417">
        <f t="shared" si="48"/>
        <v>0.32094721595745013</v>
      </c>
      <c r="AP120" s="417">
        <f t="shared" si="49"/>
        <v>4.2820854448557405E-2</v>
      </c>
      <c r="AQ120" s="417">
        <f t="shared" si="50"/>
        <v>0.99999999999999989</v>
      </c>
      <c r="AR120" s="1086">
        <f t="shared" si="13"/>
        <v>493.40242558546436</v>
      </c>
      <c r="AS120" s="938">
        <f t="shared" si="14"/>
        <v>625.76775906400258</v>
      </c>
      <c r="AT120" s="938">
        <f t="shared" si="15"/>
        <v>118.15945760529783</v>
      </c>
      <c r="AU120" s="938">
        <f t="shared" si="16"/>
        <v>0</v>
      </c>
      <c r="AV120" s="938">
        <f t="shared" si="17"/>
        <v>0</v>
      </c>
      <c r="AW120" s="938">
        <f t="shared" si="18"/>
        <v>0</v>
      </c>
      <c r="AX120" s="938">
        <f t="shared" si="19"/>
        <v>825.18621695780257</v>
      </c>
      <c r="AY120" s="938">
        <f t="shared" si="20"/>
        <v>66.46830385243824</v>
      </c>
      <c r="AZ120" s="938">
        <f t="shared" si="21"/>
        <v>18.684257675944487</v>
      </c>
      <c r="BA120" s="938">
        <f t="shared" si="22"/>
        <v>48.257798154461234</v>
      </c>
      <c r="BB120" s="938">
        <f t="shared" si="23"/>
        <v>32.880077496745827</v>
      </c>
      <c r="BC120" s="530">
        <f t="shared" si="51"/>
        <v>2228.806296392157</v>
      </c>
      <c r="BD120" s="724">
        <f t="shared" si="52"/>
        <v>0</v>
      </c>
      <c r="BE120" s="436">
        <f t="shared" si="53"/>
        <v>0.22137519370083947</v>
      </c>
      <c r="BF120" s="624">
        <f t="shared" si="54"/>
        <v>0.28076363570802615</v>
      </c>
      <c r="BG120" s="624">
        <f t="shared" si="55"/>
        <v>5.3014682252363735E-2</v>
      </c>
      <c r="BH120" s="624">
        <f t="shared" si="56"/>
        <v>0</v>
      </c>
      <c r="BI120" s="624">
        <f t="shared" si="57"/>
        <v>0</v>
      </c>
      <c r="BJ120" s="624">
        <f t="shared" si="58"/>
        <v>0</v>
      </c>
      <c r="BK120" s="624">
        <f t="shared" si="59"/>
        <v>0.44484648833877072</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72.806816055620374</v>
      </c>
      <c r="BW120" s="114">
        <f t="shared" si="63"/>
        <v>0.78138382052367561</v>
      </c>
      <c r="BX120" s="1686">
        <f t="shared" si="24"/>
        <v>8.7622772373784628</v>
      </c>
      <c r="BY120" s="527">
        <f t="shared" si="64"/>
        <v>72.806816055620374</v>
      </c>
      <c r="BZ120" s="417">
        <f t="shared" si="65"/>
        <v>0.78138382052367561</v>
      </c>
      <c r="CA120" s="544">
        <f t="shared" si="25"/>
        <v>8.7622772373784628</v>
      </c>
      <c r="CB120" s="649">
        <f t="shared" si="26"/>
        <v>0.37364640081421818</v>
      </c>
      <c r="CC120" s="525">
        <f t="shared" si="66"/>
        <v>0.41665506317915713</v>
      </c>
      <c r="CD120" s="417">
        <f t="shared" si="27"/>
        <v>0.37364640081421818</v>
      </c>
      <c r="CE120" s="525">
        <f t="shared" si="67"/>
        <v>0.41665506317915713</v>
      </c>
      <c r="CG120" s="527">
        <f t="shared" si="68"/>
        <v>2000.2054443503191</v>
      </c>
      <c r="CH120" s="528">
        <f t="shared" si="69"/>
        <v>880.78876344581897</v>
      </c>
      <c r="CI120" s="528">
        <f t="shared" si="70"/>
        <v>3354.4805128890653</v>
      </c>
      <c r="CJ120" s="528">
        <f t="shared" si="71"/>
        <v>4246.3507084683633</v>
      </c>
      <c r="CK120" s="528">
        <f t="shared" si="72"/>
        <v>51.108948509330688</v>
      </c>
      <c r="CL120" s="528">
        <f t="shared" si="73"/>
        <v>10532.934377662898</v>
      </c>
      <c r="CM120" s="646">
        <f t="shared" si="74"/>
        <v>0</v>
      </c>
    </row>
    <row r="121" spans="1:91">
      <c r="A121" s="873">
        <f>'Input data'!A141</f>
        <v>2041</v>
      </c>
      <c r="B121" s="1551">
        <f>'Input data'!B141</f>
        <v>76.101885632753024</v>
      </c>
      <c r="C121" s="1550">
        <f>'Input data'!C141</f>
        <v>6981.3799999999992</v>
      </c>
      <c r="D121" s="1550">
        <f>'Input data'!D141</f>
        <v>7249397.5356904445</v>
      </c>
      <c r="E121" s="1455">
        <f t="shared" si="89"/>
        <v>1</v>
      </c>
      <c r="F121" s="1449">
        <f t="shared" si="89"/>
        <v>0.37</v>
      </c>
      <c r="G121" s="1554">
        <f>B121*F121*'Input data'!$C$9</f>
        <v>861.82519966720247</v>
      </c>
      <c r="H121" s="1542">
        <f>'Input data'!I141</f>
        <v>424.26313389388866</v>
      </c>
      <c r="I121" s="1509">
        <f>'Input data'!K141</f>
        <v>32287.2244937861</v>
      </c>
      <c r="J121" s="1509">
        <f t="shared" si="91"/>
        <v>2228.8062963921584</v>
      </c>
      <c r="K121" s="1511">
        <f t="shared" si="77"/>
        <v>12775.662564148037</v>
      </c>
      <c r="L121" s="1504">
        <f t="shared" si="90"/>
        <v>0.7</v>
      </c>
      <c r="M121" s="1504">
        <f t="shared" si="88"/>
        <v>0.6</v>
      </c>
      <c r="N121" s="1504">
        <f t="shared" si="88"/>
        <v>0.9</v>
      </c>
      <c r="O121" s="1504">
        <f t="shared" si="88"/>
        <v>0.9</v>
      </c>
      <c r="P121" s="1504">
        <f t="shared" si="88"/>
        <v>0.23600000000000002</v>
      </c>
      <c r="Q121" s="1508">
        <f t="shared" si="33"/>
        <v>345.71135722296503</v>
      </c>
      <c r="R121" s="1509">
        <f t="shared" si="34"/>
        <v>241.248129962956</v>
      </c>
      <c r="S121" s="1509">
        <f t="shared" si="35"/>
        <v>706.47443234005414</v>
      </c>
      <c r="T121" s="1509">
        <f t="shared" si="36"/>
        <v>475.69565711317773</v>
      </c>
      <c r="U121" s="1511">
        <f t="shared" si="37"/>
        <v>0</v>
      </c>
      <c r="V121" s="1509">
        <f t="shared" si="38"/>
        <v>1769.1295766391529</v>
      </c>
      <c r="W121" s="1454">
        <f t="shared" si="87"/>
        <v>0.5</v>
      </c>
      <c r="X121" s="530">
        <f t="shared" si="39"/>
        <v>3033.4854703020706</v>
      </c>
      <c r="Y121" s="1508">
        <f t="shared" si="78"/>
        <v>4802.6150469412232</v>
      </c>
      <c r="Z121" s="1509">
        <f t="shared" si="79"/>
        <v>10201.853813598973</v>
      </c>
      <c r="AA121" s="1511">
        <f t="shared" si="80"/>
        <v>7973.0475172068145</v>
      </c>
      <c r="AB121" s="1091">
        <f t="shared" si="40"/>
        <v>0.78152928505786068</v>
      </c>
      <c r="AC121" s="135" t="str">
        <f t="shared" si="41"/>
        <v>Yes</v>
      </c>
      <c r="AD121" s="1091">
        <f t="shared" si="42"/>
        <v>0.78152928505786068</v>
      </c>
      <c r="AE121" s="649">
        <f t="shared" si="10"/>
        <v>0.37613685839795552</v>
      </c>
      <c r="AF121" s="530">
        <f t="shared" si="43"/>
        <v>264.68213157697022</v>
      </c>
      <c r="AG121" s="528">
        <f t="shared" si="44"/>
        <v>2228.8062963921584</v>
      </c>
      <c r="AH121" s="528">
        <f t="shared" si="81"/>
        <v>10619.528003440928</v>
      </c>
      <c r="AI121" s="528">
        <f t="shared" si="82"/>
        <v>6437.6604656145792</v>
      </c>
      <c r="AJ121" s="528">
        <f t="shared" si="11"/>
        <v>856.81454085621317</v>
      </c>
      <c r="AK121" s="528">
        <f t="shared" si="45"/>
        <v>20142.809306303876</v>
      </c>
      <c r="AL121" s="716">
        <f t="shared" si="12"/>
        <v>0</v>
      </c>
      <c r="AM121" s="417">
        <f t="shared" si="46"/>
        <v>0.11065022075617988</v>
      </c>
      <c r="AN121" s="417">
        <f t="shared" si="47"/>
        <v>0.5272118621565588</v>
      </c>
      <c r="AO121" s="417">
        <f t="shared" si="48"/>
        <v>0.31960092396842849</v>
      </c>
      <c r="AP121" s="417">
        <f t="shared" si="49"/>
        <v>4.2536993118832994E-2</v>
      </c>
      <c r="AQ121" s="417">
        <f t="shared" si="50"/>
        <v>1.0000000000000002</v>
      </c>
      <c r="AR121" s="1086">
        <f t="shared" si="13"/>
        <v>494.59829869193982</v>
      </c>
      <c r="AS121" s="938">
        <f t="shared" si="14"/>
        <v>627.28444969047473</v>
      </c>
      <c r="AT121" s="938">
        <f t="shared" si="15"/>
        <v>117.8706106076082</v>
      </c>
      <c r="AU121" s="938">
        <f t="shared" si="16"/>
        <v>0</v>
      </c>
      <c r="AV121" s="938">
        <f t="shared" si="17"/>
        <v>0</v>
      </c>
      <c r="AW121" s="938">
        <f t="shared" si="18"/>
        <v>0</v>
      </c>
      <c r="AX121" s="938">
        <f t="shared" si="19"/>
        <v>823.16900592676234</v>
      </c>
      <c r="AY121" s="938">
        <f t="shared" si="20"/>
        <v>66.305818593971395</v>
      </c>
      <c r="AZ121" s="938">
        <f t="shared" si="21"/>
        <v>18.638583027100132</v>
      </c>
      <c r="BA121" s="938">
        <f t="shared" si="22"/>
        <v>48.139829433255748</v>
      </c>
      <c r="BB121" s="938">
        <f t="shared" si="23"/>
        <v>32.799700421044761</v>
      </c>
      <c r="BC121" s="530">
        <f t="shared" si="51"/>
        <v>2228.806296392157</v>
      </c>
      <c r="BD121" s="724">
        <f t="shared" si="52"/>
        <v>0</v>
      </c>
      <c r="BE121" s="436">
        <f t="shared" si="53"/>
        <v>0.22191174688108273</v>
      </c>
      <c r="BF121" s="624">
        <f t="shared" si="54"/>
        <v>0.28144413029785537</v>
      </c>
      <c r="BG121" s="624">
        <f t="shared" si="55"/>
        <v>5.2885085078236402E-2</v>
      </c>
      <c r="BH121" s="624">
        <f t="shared" si="56"/>
        <v>0</v>
      </c>
      <c r="BI121" s="624">
        <f t="shared" si="57"/>
        <v>0</v>
      </c>
      <c r="BJ121" s="624">
        <f t="shared" si="58"/>
        <v>0</v>
      </c>
      <c r="BK121" s="624">
        <f t="shared" si="59"/>
        <v>0.44375903774282555</v>
      </c>
      <c r="BL121" s="624">
        <f t="shared" si="60"/>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73.279774001463252</v>
      </c>
      <c r="BW121" s="114">
        <f t="shared" si="63"/>
        <v>0.78279480002766633</v>
      </c>
      <c r="BX121" s="1686">
        <f t="shared" si="24"/>
        <v>7.2493975356904441</v>
      </c>
      <c r="BY121" s="527">
        <f t="shared" si="64"/>
        <v>73.279774001463252</v>
      </c>
      <c r="BZ121" s="417">
        <f t="shared" si="65"/>
        <v>0.78279480002766633</v>
      </c>
      <c r="CA121" s="544">
        <f t="shared" si="25"/>
        <v>7.2493975356904441</v>
      </c>
      <c r="CB121" s="649">
        <f t="shared" si="26"/>
        <v>0.37613685839795552</v>
      </c>
      <c r="CC121" s="525">
        <f t="shared" si="66"/>
        <v>0.41763050235619459</v>
      </c>
      <c r="CD121" s="417">
        <f t="shared" si="27"/>
        <v>0.37613685839795552</v>
      </c>
      <c r="CE121" s="525">
        <f t="shared" si="67"/>
        <v>0.41763050235619459</v>
      </c>
      <c r="CG121" s="527">
        <f t="shared" si="68"/>
        <v>2016.6495838006292</v>
      </c>
      <c r="CH121" s="528">
        <f t="shared" si="69"/>
        <v>888.0299262440102</v>
      </c>
      <c r="CI121" s="528">
        <f t="shared" si="70"/>
        <v>3382.0584526917501</v>
      </c>
      <c r="CJ121" s="528">
        <f t="shared" si="71"/>
        <v>4281.2609140186023</v>
      </c>
      <c r="CK121" s="528">
        <f t="shared" si="72"/>
        <v>51.529126685937506</v>
      </c>
      <c r="CL121" s="528">
        <f t="shared" si="73"/>
        <v>10619.528003440928</v>
      </c>
      <c r="CM121" s="646">
        <f t="shared" si="74"/>
        <v>0</v>
      </c>
    </row>
    <row r="122" spans="1:91">
      <c r="A122" s="873">
        <f>'Input data'!A142</f>
        <v>2042</v>
      </c>
      <c r="B122" s="1551">
        <f>'Input data'!B142</f>
        <v>76.709073592680113</v>
      </c>
      <c r="C122" s="1550">
        <f>'Input data'!C142</f>
        <v>7178.2100000000019</v>
      </c>
      <c r="D122" s="1550">
        <f>'Input data'!D142</f>
        <v>5736517.8340024278</v>
      </c>
      <c r="E122" s="1455">
        <f t="shared" si="89"/>
        <v>1</v>
      </c>
      <c r="F122" s="1449">
        <f t="shared" si="89"/>
        <v>0.37</v>
      </c>
      <c r="G122" s="1554">
        <f>B122*F122*'Input data'!$C$9</f>
        <v>868.70137468505868</v>
      </c>
      <c r="H122" s="1542">
        <f>'Input data'!I142</f>
        <v>424.26313389388866</v>
      </c>
      <c r="I122" s="1509">
        <f>'Input data'!K142</f>
        <v>32544.831960527401</v>
      </c>
      <c r="J122" s="1509">
        <f t="shared" si="91"/>
        <v>2228.8062963921584</v>
      </c>
      <c r="K122" s="1511">
        <f t="shared" si="77"/>
        <v>12895.377506313673</v>
      </c>
      <c r="L122" s="1504">
        <f t="shared" si="90"/>
        <v>0.7</v>
      </c>
      <c r="M122" s="1504">
        <f t="shared" si="88"/>
        <v>0.6</v>
      </c>
      <c r="N122" s="1504">
        <f t="shared" si="88"/>
        <v>0.9</v>
      </c>
      <c r="O122" s="1504">
        <f t="shared" si="88"/>
        <v>0.9</v>
      </c>
      <c r="P122" s="1504">
        <f t="shared" si="88"/>
        <v>0.23600000000000002</v>
      </c>
      <c r="Q122" s="1508">
        <f t="shared" si="33"/>
        <v>348.46965646838476</v>
      </c>
      <c r="R122" s="1509">
        <f t="shared" si="34"/>
        <v>243.17295690581682</v>
      </c>
      <c r="S122" s="1509">
        <f t="shared" si="35"/>
        <v>712.11112275510186</v>
      </c>
      <c r="T122" s="1509">
        <f t="shared" si="36"/>
        <v>479.49105157925624</v>
      </c>
      <c r="U122" s="1511">
        <f t="shared" si="37"/>
        <v>0</v>
      </c>
      <c r="V122" s="1509">
        <f t="shared" si="38"/>
        <v>1783.2447877085597</v>
      </c>
      <c r="W122" s="1454">
        <f t="shared" si="87"/>
        <v>0.5</v>
      </c>
      <c r="X122" s="530">
        <f t="shared" si="39"/>
        <v>3033.4854703020706</v>
      </c>
      <c r="Y122" s="1508">
        <f t="shared" si="78"/>
        <v>4816.7302580106298</v>
      </c>
      <c r="Z122" s="1509">
        <f t="shared" si="79"/>
        <v>10307.453544695201</v>
      </c>
      <c r="AA122" s="1511">
        <f t="shared" si="80"/>
        <v>8078.6472483030429</v>
      </c>
      <c r="AB122" s="1091">
        <f t="shared" si="40"/>
        <v>0.78376751476709505</v>
      </c>
      <c r="AC122" s="135" t="str">
        <f t="shared" si="41"/>
        <v>Yes</v>
      </c>
      <c r="AD122" s="1091">
        <f t="shared" si="42"/>
        <v>0.78376751476709505</v>
      </c>
      <c r="AE122" s="649">
        <f t="shared" si="10"/>
        <v>0.37853338416272353</v>
      </c>
      <c r="AF122" s="530">
        <f t="shared" si="43"/>
        <v>263.66537404555231</v>
      </c>
      <c r="AG122" s="528">
        <f t="shared" si="44"/>
        <v>2228.8062963921584</v>
      </c>
      <c r="AH122" s="528">
        <f t="shared" si="81"/>
        <v>10704.257172635427</v>
      </c>
      <c r="AI122" s="528">
        <f t="shared" si="82"/>
        <v>6437.6604656145792</v>
      </c>
      <c r="AJ122" s="528">
        <f t="shared" si="11"/>
        <v>854.802646859638</v>
      </c>
      <c r="AK122" s="528">
        <f t="shared" si="45"/>
        <v>20225.526581501799</v>
      </c>
      <c r="AL122" s="716">
        <f t="shared" si="12"/>
        <v>0</v>
      </c>
      <c r="AM122" s="417">
        <f t="shared" si="46"/>
        <v>0.11019768941050057</v>
      </c>
      <c r="AN122" s="417">
        <f t="shared" si="47"/>
        <v>0.52924491876644175</v>
      </c>
      <c r="AO122" s="417">
        <f t="shared" si="48"/>
        <v>0.31829383722955534</v>
      </c>
      <c r="AP122" s="417">
        <f t="shared" si="49"/>
        <v>4.2263554593502534E-2</v>
      </c>
      <c r="AQ122" s="417">
        <f t="shared" si="50"/>
        <v>1.0000000000000002</v>
      </c>
      <c r="AR122" s="1086">
        <f t="shared" si="13"/>
        <v>495.74418371021949</v>
      </c>
      <c r="AS122" s="938">
        <f t="shared" si="14"/>
        <v>628.73774189750623</v>
      </c>
      <c r="AT122" s="938">
        <f t="shared" si="15"/>
        <v>117.59383755749502</v>
      </c>
      <c r="AU122" s="938">
        <f t="shared" si="16"/>
        <v>0</v>
      </c>
      <c r="AV122" s="938">
        <f t="shared" si="17"/>
        <v>0</v>
      </c>
      <c r="AW122" s="938">
        <f t="shared" si="18"/>
        <v>0</v>
      </c>
      <c r="AX122" s="938">
        <f t="shared" si="19"/>
        <v>821.23611531599408</v>
      </c>
      <c r="AY122" s="938">
        <f t="shared" si="20"/>
        <v>66.150125299791412</v>
      </c>
      <c r="AZ122" s="938">
        <f t="shared" si="21"/>
        <v>18.594817601201324</v>
      </c>
      <c r="BA122" s="938">
        <f t="shared" si="22"/>
        <v>48.026791863029601</v>
      </c>
      <c r="BB122" s="938">
        <f t="shared" si="23"/>
        <v>32.722683146920758</v>
      </c>
      <c r="BC122" s="530">
        <f t="shared" si="51"/>
        <v>2228.8062963921579</v>
      </c>
      <c r="BD122" s="724">
        <f t="shared" si="52"/>
        <v>0</v>
      </c>
      <c r="BE122" s="436">
        <f t="shared" si="53"/>
        <v>0.22242587187262389</v>
      </c>
      <c r="BF122" s="624">
        <f t="shared" si="54"/>
        <v>0.28209617987676394</v>
      </c>
      <c r="BG122" s="624">
        <f t="shared" si="55"/>
        <v>5.2760905130180238E-2</v>
      </c>
      <c r="BH122" s="624">
        <f t="shared" si="56"/>
        <v>0</v>
      </c>
      <c r="BI122" s="624">
        <f t="shared" si="57"/>
        <v>0</v>
      </c>
      <c r="BJ122" s="624">
        <f t="shared" si="58"/>
        <v>0</v>
      </c>
      <c r="BK122" s="624">
        <f t="shared" si="59"/>
        <v>0.44271704312043192</v>
      </c>
      <c r="BL122" s="624">
        <f t="shared" si="60"/>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73.766594272850725</v>
      </c>
      <c r="BW122" s="114">
        <f t="shared" si="63"/>
        <v>0.78422823877374948</v>
      </c>
      <c r="BX122" s="1686">
        <f t="shared" si="24"/>
        <v>5.7365178340024281</v>
      </c>
      <c r="BY122" s="527">
        <f t="shared" si="64"/>
        <v>73.766594272850725</v>
      </c>
      <c r="BZ122" s="417">
        <f t="shared" si="65"/>
        <v>0.78422823877374948</v>
      </c>
      <c r="CA122" s="544">
        <f t="shared" si="25"/>
        <v>5.7365178340024281</v>
      </c>
      <c r="CB122" s="649">
        <f t="shared" si="26"/>
        <v>0.37853338416272353</v>
      </c>
      <c r="CC122" s="525">
        <f t="shared" si="66"/>
        <v>0.41865044062267498</v>
      </c>
      <c r="CD122" s="417">
        <f t="shared" si="27"/>
        <v>0.37853338416272353</v>
      </c>
      <c r="CE122" s="525">
        <f t="shared" si="67"/>
        <v>0.41865044062267498</v>
      </c>
      <c r="CG122" s="527">
        <f t="shared" si="68"/>
        <v>2032.7396627322439</v>
      </c>
      <c r="CH122" s="528">
        <f t="shared" si="69"/>
        <v>895.11517879441783</v>
      </c>
      <c r="CI122" s="528">
        <f t="shared" si="70"/>
        <v>3409.0426089339999</v>
      </c>
      <c r="CJ122" s="528">
        <f t="shared" si="71"/>
        <v>4315.4194642133125</v>
      </c>
      <c r="CK122" s="528">
        <f t="shared" si="72"/>
        <v>51.94025796145209</v>
      </c>
      <c r="CL122" s="528">
        <f t="shared" si="73"/>
        <v>10704.257172635427</v>
      </c>
      <c r="CM122" s="646">
        <f t="shared" si="74"/>
        <v>0</v>
      </c>
    </row>
    <row r="123" spans="1:91">
      <c r="A123" s="873">
        <f>'Input data'!A143</f>
        <v>2043</v>
      </c>
      <c r="B123" s="1551">
        <f>'Input data'!B143</f>
        <v>77.302495984815266</v>
      </c>
      <c r="C123" s="1550">
        <f>'Input data'!C143</f>
        <v>7380.12</v>
      </c>
      <c r="D123" s="1550">
        <f>'Input data'!D143</f>
        <v>4223638.132314411</v>
      </c>
      <c r="E123" s="1455">
        <f t="shared" si="89"/>
        <v>1</v>
      </c>
      <c r="F123" s="1449">
        <f t="shared" si="89"/>
        <v>0.37</v>
      </c>
      <c r="G123" s="1554">
        <f>B123*F123*'Input data'!$C$9</f>
        <v>875.4216598309074</v>
      </c>
      <c r="H123" s="1542">
        <f>'Input data'!I143</f>
        <v>424.26313389388866</v>
      </c>
      <c r="I123" s="1509">
        <f>'Input data'!K143</f>
        <v>32796.599204337472</v>
      </c>
      <c r="J123" s="1509">
        <f t="shared" si="91"/>
        <v>2228.8062963921584</v>
      </c>
      <c r="K123" s="1511">
        <f t="shared" si="77"/>
        <v>13012.378389142088</v>
      </c>
      <c r="L123" s="1504">
        <f t="shared" si="90"/>
        <v>0.7</v>
      </c>
      <c r="M123" s="1504">
        <f t="shared" si="88"/>
        <v>0.6</v>
      </c>
      <c r="N123" s="1504">
        <f t="shared" si="88"/>
        <v>0.9</v>
      </c>
      <c r="O123" s="1504">
        <f t="shared" si="88"/>
        <v>0.9</v>
      </c>
      <c r="P123" s="1504">
        <f t="shared" si="88"/>
        <v>0.23600000000000002</v>
      </c>
      <c r="Q123" s="1508">
        <f t="shared" si="33"/>
        <v>351.1654222682173</v>
      </c>
      <c r="R123" s="1509">
        <f t="shared" si="34"/>
        <v>245.05414606677414</v>
      </c>
      <c r="S123" s="1509">
        <f t="shared" si="35"/>
        <v>717.62002367307241</v>
      </c>
      <c r="T123" s="1509">
        <f t="shared" si="36"/>
        <v>483.20040059768462</v>
      </c>
      <c r="U123" s="1511">
        <f t="shared" si="37"/>
        <v>0</v>
      </c>
      <c r="V123" s="1509">
        <f t="shared" si="38"/>
        <v>1797.0399926057485</v>
      </c>
      <c r="W123" s="1454">
        <f t="shared" si="87"/>
        <v>0.5</v>
      </c>
      <c r="X123" s="530">
        <f t="shared" si="39"/>
        <v>3033.4854703020706</v>
      </c>
      <c r="Y123" s="1508">
        <f t="shared" si="78"/>
        <v>4830.525462907819</v>
      </c>
      <c r="Z123" s="1509">
        <f t="shared" si="79"/>
        <v>10410.659222626427</v>
      </c>
      <c r="AA123" s="1511">
        <f t="shared" si="80"/>
        <v>8181.852926234269</v>
      </c>
      <c r="AB123" s="1091">
        <f t="shared" si="40"/>
        <v>0.78591112736183966</v>
      </c>
      <c r="AC123" s="135" t="str">
        <f t="shared" si="41"/>
        <v>Yes</v>
      </c>
      <c r="AD123" s="1091">
        <f t="shared" si="42"/>
        <v>0.78591112736183966</v>
      </c>
      <c r="AE123" s="649">
        <f t="shared" si="10"/>
        <v>0.38083799838405907</v>
      </c>
      <c r="AF123" s="530">
        <f t="shared" si="43"/>
        <v>262.68761119359209</v>
      </c>
      <c r="AG123" s="528">
        <f t="shared" si="44"/>
        <v>2228.8062963921584</v>
      </c>
      <c r="AH123" s="528">
        <f t="shared" si="81"/>
        <v>10787.065445502138</v>
      </c>
      <c r="AI123" s="528">
        <f t="shared" si="82"/>
        <v>6437.6604656145792</v>
      </c>
      <c r="AJ123" s="528">
        <f t="shared" si="11"/>
        <v>852.87580204448932</v>
      </c>
      <c r="AK123" s="528">
        <f t="shared" si="45"/>
        <v>20306.408009553365</v>
      </c>
      <c r="AL123" s="716">
        <f t="shared" si="12"/>
        <v>0</v>
      </c>
      <c r="AM123" s="417">
        <f t="shared" si="46"/>
        <v>0.10975876655997421</v>
      </c>
      <c r="AN123" s="417">
        <f t="shared" si="47"/>
        <v>0.5312148480630966</v>
      </c>
      <c r="AO123" s="417">
        <f t="shared" si="48"/>
        <v>0.31702605712373716</v>
      </c>
      <c r="AP123" s="417">
        <f t="shared" si="49"/>
        <v>4.200032825319204E-2</v>
      </c>
      <c r="AQ123" s="417">
        <f t="shared" si="50"/>
        <v>1</v>
      </c>
      <c r="AR123" s="1086">
        <f t="shared" si="13"/>
        <v>496.84162851098267</v>
      </c>
      <c r="AS123" s="938">
        <f t="shared" si="14"/>
        <v>630.12959880387461</v>
      </c>
      <c r="AT123" s="938">
        <f t="shared" si="15"/>
        <v>117.32876458770073</v>
      </c>
      <c r="AU123" s="938">
        <f t="shared" si="16"/>
        <v>0</v>
      </c>
      <c r="AV123" s="938">
        <f t="shared" si="17"/>
        <v>0</v>
      </c>
      <c r="AW123" s="938">
        <f t="shared" si="18"/>
        <v>0</v>
      </c>
      <c r="AX123" s="938">
        <f t="shared" si="19"/>
        <v>819.38493416134634</v>
      </c>
      <c r="AY123" s="938">
        <f t="shared" si="20"/>
        <v>66.00101365814686</v>
      </c>
      <c r="AZ123" s="938">
        <f t="shared" si="21"/>
        <v>18.552902279559376</v>
      </c>
      <c r="BA123" s="938">
        <f t="shared" si="22"/>
        <v>47.918532751725408</v>
      </c>
      <c r="BB123" s="938">
        <f t="shared" si="23"/>
        <v>32.64892163882174</v>
      </c>
      <c r="BC123" s="530">
        <f t="shared" si="51"/>
        <v>2228.8062963921579</v>
      </c>
      <c r="BD123" s="724">
        <f t="shared" si="52"/>
        <v>0</v>
      </c>
      <c r="BE123" s="436">
        <f t="shared" si="53"/>
        <v>0.2229182631596279</v>
      </c>
      <c r="BF123" s="624">
        <f t="shared" si="54"/>
        <v>0.28272066523855666</v>
      </c>
      <c r="BG123" s="624">
        <f t="shared" si="55"/>
        <v>5.2641974664924748E-2</v>
      </c>
      <c r="BH123" s="624">
        <f t="shared" si="56"/>
        <v>0</v>
      </c>
      <c r="BI123" s="624">
        <f t="shared" si="57"/>
        <v>0</v>
      </c>
      <c r="BJ123" s="624">
        <f t="shared" si="58"/>
        <v>0</v>
      </c>
      <c r="BK123" s="624">
        <f t="shared" si="59"/>
        <v>0.44171909693689054</v>
      </c>
      <c r="BL123" s="624">
        <f t="shared" si="60"/>
        <v>0.99999999999999978</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74.277626630712035</v>
      </c>
      <c r="BW123" s="114">
        <f t="shared" si="63"/>
        <v>0.78571275513353533</v>
      </c>
      <c r="BX123" s="1686">
        <f t="shared" si="24"/>
        <v>4.2236381323144112</v>
      </c>
      <c r="BY123" s="527">
        <f t="shared" si="64"/>
        <v>74.277626630712035</v>
      </c>
      <c r="BZ123" s="417">
        <f t="shared" si="65"/>
        <v>0.78571275513353533</v>
      </c>
      <c r="CA123" s="544">
        <f t="shared" si="25"/>
        <v>4.2236381323144112</v>
      </c>
      <c r="CB123" s="649">
        <f t="shared" si="26"/>
        <v>0.38083799838405907</v>
      </c>
      <c r="CC123" s="525">
        <f t="shared" si="66"/>
        <v>0.41975290393317</v>
      </c>
      <c r="CD123" s="417">
        <f t="shared" si="27"/>
        <v>0.38083799838405907</v>
      </c>
      <c r="CE123" s="525">
        <f t="shared" si="67"/>
        <v>0.41975290393317</v>
      </c>
      <c r="CG123" s="527">
        <f t="shared" si="68"/>
        <v>2048.4649632312671</v>
      </c>
      <c r="CH123" s="528">
        <f t="shared" si="69"/>
        <v>902.03980147278855</v>
      </c>
      <c r="CI123" s="528">
        <f t="shared" si="70"/>
        <v>3435.4150069455609</v>
      </c>
      <c r="CJ123" s="528">
        <f t="shared" si="71"/>
        <v>4348.8036053791693</v>
      </c>
      <c r="CK123" s="528">
        <f t="shared" si="72"/>
        <v>52.342068473351468</v>
      </c>
      <c r="CL123" s="528">
        <f t="shared" si="73"/>
        <v>10787.065445502138</v>
      </c>
      <c r="CM123" s="646">
        <f t="shared" si="74"/>
        <v>0</v>
      </c>
    </row>
    <row r="124" spans="1:91">
      <c r="A124" s="873">
        <f>'Input data'!A144</f>
        <v>2044</v>
      </c>
      <c r="B124" s="1551">
        <f>'Input data'!B144</f>
        <v>77.881755043150378</v>
      </c>
      <c r="C124" s="1550">
        <f>'Input data'!C144</f>
        <v>7589.87</v>
      </c>
      <c r="D124" s="1550">
        <f>'Input data'!D144</f>
        <v>2710758.4306263938</v>
      </c>
      <c r="E124" s="1455">
        <f t="shared" si="89"/>
        <v>1</v>
      </c>
      <c r="F124" s="1449">
        <f t="shared" si="89"/>
        <v>0.37</v>
      </c>
      <c r="G124" s="1554">
        <f>B124*F124*'Input data'!$C$9</f>
        <v>881.98155055448012</v>
      </c>
      <c r="H124" s="1542">
        <f>'Input data'!I144</f>
        <v>424.26313389388866</v>
      </c>
      <c r="I124" s="1509">
        <f>'Input data'!K144</f>
        <v>33042.357467763148</v>
      </c>
      <c r="J124" s="1509">
        <f t="shared" si="91"/>
        <v>2228.8062963921584</v>
      </c>
      <c r="K124" s="1511">
        <f t="shared" si="77"/>
        <v>13126.586787931543</v>
      </c>
      <c r="L124" s="1504">
        <f t="shared" si="90"/>
        <v>0.7</v>
      </c>
      <c r="M124" s="1504">
        <f t="shared" si="88"/>
        <v>0.6</v>
      </c>
      <c r="N124" s="1504">
        <f t="shared" si="88"/>
        <v>0.9</v>
      </c>
      <c r="O124" s="1504">
        <f t="shared" si="88"/>
        <v>0.9</v>
      </c>
      <c r="P124" s="1504">
        <f t="shared" si="88"/>
        <v>0.23600000000000002</v>
      </c>
      <c r="Q124" s="1508">
        <f t="shared" si="33"/>
        <v>353.79684767345748</v>
      </c>
      <c r="R124" s="1509">
        <f t="shared" si="34"/>
        <v>246.8904365006515</v>
      </c>
      <c r="S124" s="1509">
        <f t="shared" si="35"/>
        <v>722.99744252429491</v>
      </c>
      <c r="T124" s="1509">
        <f t="shared" si="36"/>
        <v>486.82121782320246</v>
      </c>
      <c r="U124" s="1511">
        <f t="shared" si="37"/>
        <v>0</v>
      </c>
      <c r="V124" s="1509">
        <f t="shared" si="38"/>
        <v>1810.5059445216064</v>
      </c>
      <c r="W124" s="1454">
        <f t="shared" si="87"/>
        <v>0.5</v>
      </c>
      <c r="X124" s="530">
        <f t="shared" si="39"/>
        <v>3033.4854703020706</v>
      </c>
      <c r="Y124" s="1508">
        <f t="shared" si="78"/>
        <v>4843.9914148236767</v>
      </c>
      <c r="Z124" s="1509">
        <f t="shared" si="79"/>
        <v>10511.401669500025</v>
      </c>
      <c r="AA124" s="1511">
        <f t="shared" si="80"/>
        <v>8282.5953731078662</v>
      </c>
      <c r="AB124" s="1091">
        <f t="shared" si="40"/>
        <v>0.78796297901360934</v>
      </c>
      <c r="AC124" s="135" t="str">
        <f t="shared" si="41"/>
        <v>Yes</v>
      </c>
      <c r="AD124" s="1091">
        <f t="shared" si="42"/>
        <v>0.78796297901360934</v>
      </c>
      <c r="AE124" s="649">
        <f t="shared" si="10"/>
        <v>0.38305263063283224</v>
      </c>
      <c r="AF124" s="530">
        <f t="shared" si="43"/>
        <v>261.74802437530508</v>
      </c>
      <c r="AG124" s="528">
        <f t="shared" si="44"/>
        <v>2228.8062963921584</v>
      </c>
      <c r="AH124" s="528">
        <f t="shared" si="81"/>
        <v>10867.897316356451</v>
      </c>
      <c r="AI124" s="528">
        <f t="shared" si="82"/>
        <v>6437.6604656145792</v>
      </c>
      <c r="AJ124" s="528">
        <f t="shared" si="11"/>
        <v>851.03143906287619</v>
      </c>
      <c r="AK124" s="528">
        <f t="shared" si="45"/>
        <v>20385.395517426066</v>
      </c>
      <c r="AL124" s="716">
        <f t="shared" si="12"/>
        <v>0</v>
      </c>
      <c r="AM124" s="417">
        <f t="shared" si="46"/>
        <v>0.10933348310494667</v>
      </c>
      <c r="AN124" s="417">
        <f t="shared" si="47"/>
        <v>0.53312172957675685</v>
      </c>
      <c r="AO124" s="417">
        <f t="shared" si="48"/>
        <v>0.31579767290320504</v>
      </c>
      <c r="AP124" s="417">
        <f t="shared" si="49"/>
        <v>4.1747114415091345E-2</v>
      </c>
      <c r="AQ124" s="417">
        <f t="shared" si="50"/>
        <v>1</v>
      </c>
      <c r="AR124" s="1086">
        <f t="shared" si="13"/>
        <v>497.89209534099319</v>
      </c>
      <c r="AS124" s="938">
        <f t="shared" si="14"/>
        <v>631.46187493406762</v>
      </c>
      <c r="AT124" s="938">
        <f t="shared" si="15"/>
        <v>117.07503851226845</v>
      </c>
      <c r="AU124" s="938">
        <f t="shared" si="16"/>
        <v>0</v>
      </c>
      <c r="AV124" s="938">
        <f t="shared" si="17"/>
        <v>0</v>
      </c>
      <c r="AW124" s="938">
        <f t="shared" si="18"/>
        <v>0</v>
      </c>
      <c r="AX124" s="938">
        <f t="shared" si="19"/>
        <v>817.61299592996977</v>
      </c>
      <c r="AY124" s="938">
        <f t="shared" si="20"/>
        <v>65.858284991149574</v>
      </c>
      <c r="AZ124" s="938">
        <f t="shared" si="21"/>
        <v>18.512781213767703</v>
      </c>
      <c r="BA124" s="938">
        <f t="shared" si="22"/>
        <v>47.814907853787652</v>
      </c>
      <c r="BB124" s="938">
        <f t="shared" si="23"/>
        <v>32.578317616154095</v>
      </c>
      <c r="BC124" s="530">
        <f t="shared" si="51"/>
        <v>2228.8062963921579</v>
      </c>
      <c r="BD124" s="724">
        <f t="shared" si="52"/>
        <v>0</v>
      </c>
      <c r="BE124" s="436">
        <f t="shared" si="53"/>
        <v>0.22338957680932053</v>
      </c>
      <c r="BF124" s="624">
        <f t="shared" si="54"/>
        <v>0.28331841845396605</v>
      </c>
      <c r="BG124" s="624">
        <f t="shared" si="55"/>
        <v>5.2528135218292263E-2</v>
      </c>
      <c r="BH124" s="624">
        <f t="shared" si="56"/>
        <v>0</v>
      </c>
      <c r="BI124" s="624">
        <f t="shared" si="57"/>
        <v>0</v>
      </c>
      <c r="BJ124" s="624">
        <f t="shared" si="58"/>
        <v>0</v>
      </c>
      <c r="BK124" s="624">
        <f t="shared" si="59"/>
        <v>0.44076386951842123</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74.826965028942311</v>
      </c>
      <c r="BW124" s="114">
        <f t="shared" si="63"/>
        <v>0.7872859341581101</v>
      </c>
      <c r="BX124" s="1686">
        <f t="shared" si="24"/>
        <v>2.7107584306263939</v>
      </c>
      <c r="BY124" s="527">
        <f t="shared" si="64"/>
        <v>74.826965028942311</v>
      </c>
      <c r="BZ124" s="417">
        <f t="shared" si="65"/>
        <v>0.7872859341581101</v>
      </c>
      <c r="CA124" s="544">
        <f t="shared" si="25"/>
        <v>2.7107584306263939</v>
      </c>
      <c r="CB124" s="649">
        <f t="shared" si="26"/>
        <v>0.38305263063283224</v>
      </c>
      <c r="CC124" s="525">
        <f t="shared" si="66"/>
        <v>0.42098731680845014</v>
      </c>
      <c r="CD124" s="417">
        <f t="shared" si="27"/>
        <v>0.38305263063283224</v>
      </c>
      <c r="CE124" s="525">
        <f t="shared" si="67"/>
        <v>0.42098731680845014</v>
      </c>
      <c r="CG124" s="527">
        <f t="shared" si="68"/>
        <v>2063.8149447618362</v>
      </c>
      <c r="CH124" s="528">
        <f t="shared" si="69"/>
        <v>908.79915276313432</v>
      </c>
      <c r="CI124" s="528">
        <f t="shared" si="70"/>
        <v>3461.1579695311998</v>
      </c>
      <c r="CJ124" s="528">
        <f t="shared" si="71"/>
        <v>4381.3909604088321</v>
      </c>
      <c r="CK124" s="528">
        <f t="shared" si="72"/>
        <v>52.734288891449495</v>
      </c>
      <c r="CL124" s="528">
        <f t="shared" si="73"/>
        <v>10867.897316356451</v>
      </c>
      <c r="CM124" s="646">
        <f t="shared" si="74"/>
        <v>0</v>
      </c>
    </row>
    <row r="125" spans="1:91">
      <c r="A125" s="873">
        <f>'Input data'!A145</f>
        <v>2045</v>
      </c>
      <c r="B125" s="1551">
        <f>'Input data'!B145</f>
        <v>78.446460136387472</v>
      </c>
      <c r="C125" s="1550">
        <f>'Input data'!C145</f>
        <v>7808.4800000000005</v>
      </c>
      <c r="D125" s="1550">
        <f>'Input data'!D145</f>
        <v>1197878.7289383768</v>
      </c>
      <c r="E125" s="1455">
        <f t="shared" si="89"/>
        <v>1</v>
      </c>
      <c r="F125" s="1449">
        <f t="shared" si="89"/>
        <v>0.37</v>
      </c>
      <c r="G125" s="1554">
        <f>B125*F125*'Input data'!$C$9</f>
        <v>888.37662310341432</v>
      </c>
      <c r="H125" s="1542">
        <f>'Input data'!I145</f>
        <v>424.26313389388866</v>
      </c>
      <c r="I125" s="1509">
        <f>'Input data'!K145</f>
        <v>33281.941020345759</v>
      </c>
      <c r="J125" s="1509">
        <f t="shared" si="91"/>
        <v>2228.8062963921584</v>
      </c>
      <c r="K125" s="1511">
        <f t="shared" si="77"/>
        <v>13237.92568468048</v>
      </c>
      <c r="L125" s="1504">
        <f t="shared" si="90"/>
        <v>0.7</v>
      </c>
      <c r="M125" s="1504">
        <f t="shared" si="88"/>
        <v>0.6</v>
      </c>
      <c r="N125" s="1504">
        <f t="shared" si="88"/>
        <v>0.9</v>
      </c>
      <c r="O125" s="1504">
        <f t="shared" si="88"/>
        <v>0.9</v>
      </c>
      <c r="P125" s="1504">
        <f t="shared" si="88"/>
        <v>0.23600000000000002</v>
      </c>
      <c r="Q125" s="1508">
        <f t="shared" si="33"/>
        <v>356.3621581462603</v>
      </c>
      <c r="R125" s="1509">
        <f t="shared" si="34"/>
        <v>248.68058987978623</v>
      </c>
      <c r="S125" s="1509">
        <f t="shared" si="35"/>
        <v>728.23975297254628</v>
      </c>
      <c r="T125" s="1509">
        <f t="shared" si="36"/>
        <v>490.35106150800857</v>
      </c>
      <c r="U125" s="1511">
        <f t="shared" si="37"/>
        <v>0</v>
      </c>
      <c r="V125" s="1509">
        <f t="shared" si="38"/>
        <v>1823.6335625066013</v>
      </c>
      <c r="W125" s="1454">
        <f t="shared" si="87"/>
        <v>0.5</v>
      </c>
      <c r="X125" s="530">
        <f t="shared" si="39"/>
        <v>3033.4854703020706</v>
      </c>
      <c r="Y125" s="1508">
        <f t="shared" si="78"/>
        <v>4857.1190328086723</v>
      </c>
      <c r="Z125" s="1509">
        <f t="shared" si="79"/>
        <v>10609.612948263966</v>
      </c>
      <c r="AA125" s="1511">
        <f t="shared" si="80"/>
        <v>8380.8066518718078</v>
      </c>
      <c r="AB125" s="1091">
        <f t="shared" si="40"/>
        <v>0.78992576757883948</v>
      </c>
      <c r="AC125" s="135" t="str">
        <f t="shared" si="41"/>
        <v>Yes</v>
      </c>
      <c r="AD125" s="1091">
        <f t="shared" si="42"/>
        <v>0.78992576757883948</v>
      </c>
      <c r="AE125" s="649">
        <f t="shared" si="10"/>
        <v>0.38517912289168765</v>
      </c>
      <c r="AF125" s="530">
        <f t="shared" si="43"/>
        <v>260.84583210536204</v>
      </c>
      <c r="AG125" s="528">
        <f t="shared" si="44"/>
        <v>2228.8062963921584</v>
      </c>
      <c r="AH125" s="528">
        <f t="shared" si="81"/>
        <v>10946.698275116614</v>
      </c>
      <c r="AI125" s="528">
        <f t="shared" si="82"/>
        <v>6437.6604656145792</v>
      </c>
      <c r="AJ125" s="528">
        <f t="shared" si="11"/>
        <v>849.26713287274708</v>
      </c>
      <c r="AK125" s="528">
        <f t="shared" si="45"/>
        <v>20462.4321699961</v>
      </c>
      <c r="AL125" s="716">
        <f t="shared" si="12"/>
        <v>0</v>
      </c>
      <c r="AM125" s="417">
        <f t="shared" si="46"/>
        <v>0.1089218660751501</v>
      </c>
      <c r="AN125" s="417">
        <f t="shared" si="47"/>
        <v>0.53496564749363817</v>
      </c>
      <c r="AO125" s="417">
        <f t="shared" si="48"/>
        <v>0.3146087626403507</v>
      </c>
      <c r="AP125" s="417">
        <f t="shared" si="49"/>
        <v>4.1503723790861022E-2</v>
      </c>
      <c r="AQ125" s="417">
        <f t="shared" si="50"/>
        <v>0.99999999999999989</v>
      </c>
      <c r="AR125" s="1086">
        <f t="shared" si="13"/>
        <v>498.89696539596036</v>
      </c>
      <c r="AS125" s="938">
        <f t="shared" si="14"/>
        <v>632.73632201790838</v>
      </c>
      <c r="AT125" s="938">
        <f t="shared" si="15"/>
        <v>116.83232572202851</v>
      </c>
      <c r="AU125" s="938">
        <f t="shared" si="16"/>
        <v>0</v>
      </c>
      <c r="AV125" s="938">
        <f t="shared" si="17"/>
        <v>0</v>
      </c>
      <c r="AW125" s="938">
        <f t="shared" si="18"/>
        <v>0</v>
      </c>
      <c r="AX125" s="938">
        <f t="shared" si="19"/>
        <v>815.91797080676429</v>
      </c>
      <c r="AY125" s="938">
        <f t="shared" si="20"/>
        <v>65.721751633452371</v>
      </c>
      <c r="AZ125" s="938">
        <f t="shared" si="21"/>
        <v>18.474401651048012</v>
      </c>
      <c r="BA125" s="938">
        <f t="shared" si="22"/>
        <v>47.715780919064933</v>
      </c>
      <c r="BB125" s="938">
        <f t="shared" si="23"/>
        <v>32.51077824593122</v>
      </c>
      <c r="BC125" s="530">
        <f t="shared" si="51"/>
        <v>2228.8062963921584</v>
      </c>
      <c r="BD125" s="724">
        <f t="shared" si="52"/>
        <v>0</v>
      </c>
      <c r="BE125" s="436">
        <f t="shared" si="53"/>
        <v>0.22384043252369717</v>
      </c>
      <c r="BF125" s="624">
        <f t="shared" si="54"/>
        <v>0.28389022547277409</v>
      </c>
      <c r="BG125" s="624">
        <f t="shared" si="55"/>
        <v>5.2419237109635239E-2</v>
      </c>
      <c r="BH125" s="624">
        <f t="shared" si="56"/>
        <v>0</v>
      </c>
      <c r="BI125" s="624">
        <f t="shared" si="57"/>
        <v>0</v>
      </c>
      <c r="BJ125" s="624">
        <f t="shared" si="58"/>
        <v>0</v>
      </c>
      <c r="BK125" s="624">
        <f t="shared" si="59"/>
        <v>0.43985010489389337</v>
      </c>
      <c r="BL125" s="624">
        <f t="shared" si="60"/>
        <v>1</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75.419782629325709</v>
      </c>
      <c r="BW125" s="114">
        <f t="shared" si="63"/>
        <v>0.78895791779004321</v>
      </c>
      <c r="BX125" s="1686">
        <f t="shared" si="24"/>
        <v>1.1978787289383768</v>
      </c>
      <c r="BY125" s="527">
        <f t="shared" si="64"/>
        <v>75.419782629325709</v>
      </c>
      <c r="BZ125" s="417">
        <f t="shared" si="65"/>
        <v>0.78895791779004321</v>
      </c>
      <c r="CA125" s="544">
        <f t="shared" si="25"/>
        <v>1.1978787289383768</v>
      </c>
      <c r="CB125" s="649">
        <f t="shared" si="26"/>
        <v>0.38517912289168765</v>
      </c>
      <c r="CC125" s="525">
        <f t="shared" si="66"/>
        <v>0.42236533788496167</v>
      </c>
      <c r="CD125" s="417">
        <f t="shared" si="27"/>
        <v>0.38517912289168765</v>
      </c>
      <c r="CE125" s="525">
        <f t="shared" si="67"/>
        <v>0.42236533788496167</v>
      </c>
      <c r="CG125" s="527">
        <f t="shared" si="68"/>
        <v>2078.7792558531842</v>
      </c>
      <c r="CH125" s="528">
        <f t="shared" si="69"/>
        <v>915.3886744041215</v>
      </c>
      <c r="CI125" s="528">
        <f t="shared" si="70"/>
        <v>3486.2541365707011</v>
      </c>
      <c r="CJ125" s="528">
        <f t="shared" si="71"/>
        <v>4413.1595535720826</v>
      </c>
      <c r="CK125" s="528">
        <f t="shared" si="72"/>
        <v>53.116654716522888</v>
      </c>
      <c r="CL125" s="528">
        <f t="shared" si="73"/>
        <v>10946.698275116612</v>
      </c>
      <c r="CM125" s="646">
        <f t="shared" si="74"/>
        <v>0</v>
      </c>
    </row>
    <row r="126" spans="1:91">
      <c r="A126" s="873">
        <f>'Input data'!A146</f>
        <v>2046</v>
      </c>
      <c r="B126" s="1551">
        <f>'Input data'!B146</f>
        <v>78.997842335977523</v>
      </c>
      <c r="C126" s="1550">
        <f>'Input data'!C146</f>
        <v>8042.25</v>
      </c>
      <c r="D126" s="1550">
        <f>'Input data'!D146</f>
        <v>1000767.4916723419</v>
      </c>
      <c r="E126" s="1455">
        <f t="shared" si="89"/>
        <v>1</v>
      </c>
      <c r="F126" s="1449">
        <f t="shared" si="89"/>
        <v>0.37</v>
      </c>
      <c r="G126" s="1554">
        <f>B126*F126*'Input data'!$C$9</f>
        <v>894.62081889834906</v>
      </c>
      <c r="H126" s="1542">
        <f>'Input data'!I146</f>
        <v>424.26313389388866</v>
      </c>
      <c r="I126" s="1509">
        <f>'Input data'!K146</f>
        <v>33515.872160317136</v>
      </c>
      <c r="J126" s="1509">
        <f t="shared" si="91"/>
        <v>2228.8062963921584</v>
      </c>
      <c r="K126" s="1511">
        <f t="shared" si="77"/>
        <v>13346.637801012645</v>
      </c>
      <c r="L126" s="1504">
        <f t="shared" si="90"/>
        <v>0.7</v>
      </c>
      <c r="M126" s="1504">
        <f t="shared" si="88"/>
        <v>0.6</v>
      </c>
      <c r="N126" s="1504">
        <f t="shared" si="88"/>
        <v>0.9</v>
      </c>
      <c r="O126" s="1504">
        <f t="shared" si="88"/>
        <v>0.9</v>
      </c>
      <c r="P126" s="1504">
        <f t="shared" si="88"/>
        <v>0.23600000000000002</v>
      </c>
      <c r="Q126" s="1508">
        <f t="shared" si="33"/>
        <v>358.86694612863334</v>
      </c>
      <c r="R126" s="1509">
        <f t="shared" si="34"/>
        <v>250.42850878402839</v>
      </c>
      <c r="S126" s="1509">
        <f t="shared" si="35"/>
        <v>733.3583833877974</v>
      </c>
      <c r="T126" s="1509">
        <f t="shared" si="36"/>
        <v>493.79762680101885</v>
      </c>
      <c r="U126" s="1511">
        <f t="shared" si="37"/>
        <v>0</v>
      </c>
      <c r="V126" s="1509">
        <f t="shared" si="38"/>
        <v>1836.4514651014779</v>
      </c>
      <c r="W126" s="1454">
        <f t="shared" si="87"/>
        <v>0.5</v>
      </c>
      <c r="X126" s="530">
        <f t="shared" si="39"/>
        <v>3033.4854703020706</v>
      </c>
      <c r="Y126" s="1508">
        <f t="shared" si="78"/>
        <v>4869.936935403548</v>
      </c>
      <c r="Z126" s="1509">
        <f t="shared" si="79"/>
        <v>10705.507162001255</v>
      </c>
      <c r="AA126" s="1511">
        <f t="shared" si="80"/>
        <v>8476.7008656090966</v>
      </c>
      <c r="AB126" s="1091">
        <f t="shared" si="40"/>
        <v>0.79180750032065628</v>
      </c>
      <c r="AC126" s="135" t="str">
        <f t="shared" si="41"/>
        <v>Yes</v>
      </c>
      <c r="AD126" s="1091">
        <f t="shared" si="42"/>
        <v>0.79180750032065628</v>
      </c>
      <c r="AE126" s="649">
        <f t="shared" si="10"/>
        <v>0.3872251791757082</v>
      </c>
      <c r="AF126" s="530">
        <f t="shared" si="43"/>
        <v>259.97776585418012</v>
      </c>
      <c r="AG126" s="528">
        <f t="shared" si="44"/>
        <v>2228.8062963921584</v>
      </c>
      <c r="AH126" s="528">
        <f t="shared" si="81"/>
        <v>11023.640109874847</v>
      </c>
      <c r="AI126" s="528">
        <f t="shared" si="82"/>
        <v>6437.6604656145792</v>
      </c>
      <c r="AJ126" s="528">
        <f t="shared" si="11"/>
        <v>847.57568592661755</v>
      </c>
      <c r="AK126" s="528">
        <f t="shared" si="45"/>
        <v>20537.682557808203</v>
      </c>
      <c r="AL126" s="716">
        <f t="shared" si="12"/>
        <v>0</v>
      </c>
      <c r="AM126" s="417">
        <f t="shared" si="46"/>
        <v>0.10852277466645284</v>
      </c>
      <c r="AN126" s="417">
        <f t="shared" si="47"/>
        <v>0.53675189880095697</v>
      </c>
      <c r="AO126" s="417">
        <f t="shared" si="48"/>
        <v>0.31345603124862065</v>
      </c>
      <c r="AP126" s="417">
        <f t="shared" si="49"/>
        <v>4.126929528396954E-2</v>
      </c>
      <c r="AQ126" s="417">
        <f t="shared" si="50"/>
        <v>1</v>
      </c>
      <c r="AR126" s="1086">
        <f t="shared" si="13"/>
        <v>499.86033807766393</v>
      </c>
      <c r="AS126" s="938">
        <f t="shared" si="14"/>
        <v>633.95813920589171</v>
      </c>
      <c r="AT126" s="938">
        <f t="shared" si="15"/>
        <v>116.59963606184674</v>
      </c>
      <c r="AU126" s="938">
        <f t="shared" si="16"/>
        <v>0</v>
      </c>
      <c r="AV126" s="938">
        <f t="shared" si="17"/>
        <v>0</v>
      </c>
      <c r="AW126" s="938">
        <f t="shared" si="18"/>
        <v>0</v>
      </c>
      <c r="AX126" s="938">
        <f t="shared" si="19"/>
        <v>814.29294387872937</v>
      </c>
      <c r="AY126" s="938">
        <f t="shared" si="20"/>
        <v>65.59085659254967</v>
      </c>
      <c r="AZ126" s="938">
        <f t="shared" si="21"/>
        <v>18.437607020660636</v>
      </c>
      <c r="BA126" s="938">
        <f t="shared" si="22"/>
        <v>47.620747555834804</v>
      </c>
      <c r="BB126" s="938">
        <f t="shared" si="23"/>
        <v>32.446027998980817</v>
      </c>
      <c r="BC126" s="530">
        <f t="shared" si="51"/>
        <v>2228.8062963921579</v>
      </c>
      <c r="BD126" s="724">
        <f t="shared" si="52"/>
        <v>0</v>
      </c>
      <c r="BE126" s="436">
        <f t="shared" si="53"/>
        <v>0.2242726695840748</v>
      </c>
      <c r="BF126" s="624">
        <f t="shared" si="54"/>
        <v>0.28443841900128358</v>
      </c>
      <c r="BG126" s="624">
        <f t="shared" si="55"/>
        <v>5.231483608539262E-2</v>
      </c>
      <c r="BH126" s="624">
        <f t="shared" si="56"/>
        <v>0</v>
      </c>
      <c r="BI126" s="624">
        <f t="shared" si="57"/>
        <v>0</v>
      </c>
      <c r="BJ126" s="624">
        <f t="shared" si="58"/>
        <v>0</v>
      </c>
      <c r="BK126" s="624">
        <f t="shared" si="59"/>
        <v>0.43897407532924887</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76.614854947901634</v>
      </c>
      <c r="BW126" s="114">
        <f t="shared" si="63"/>
        <v>0.79224984532387766</v>
      </c>
      <c r="BX126" s="1686">
        <f t="shared" si="24"/>
        <v>1.0007674916723419</v>
      </c>
      <c r="BY126" s="527">
        <f t="shared" si="64"/>
        <v>76.614854947901634</v>
      </c>
      <c r="BZ126" s="417">
        <f t="shared" si="65"/>
        <v>0.79224984532387766</v>
      </c>
      <c r="CA126" s="544">
        <f t="shared" si="25"/>
        <v>1.0007674916723419</v>
      </c>
      <c r="CB126" s="649">
        <f t="shared" si="26"/>
        <v>0.3872251791757082</v>
      </c>
      <c r="CC126" s="525">
        <f t="shared" si="66"/>
        <v>0.4263641724859798</v>
      </c>
      <c r="CD126" s="417">
        <f t="shared" si="27"/>
        <v>0.3872251791757082</v>
      </c>
      <c r="CE126" s="525">
        <f t="shared" si="67"/>
        <v>0.4263641724859798</v>
      </c>
      <c r="CG126" s="527">
        <f t="shared" si="68"/>
        <v>2093.390519083694</v>
      </c>
      <c r="CH126" s="528">
        <f t="shared" si="69"/>
        <v>921.82273172035013</v>
      </c>
      <c r="CI126" s="528">
        <f t="shared" si="70"/>
        <v>3510.7582183458403</v>
      </c>
      <c r="CJ126" s="528">
        <f t="shared" si="71"/>
        <v>4444.1786412091769</v>
      </c>
      <c r="CK126" s="528">
        <f t="shared" si="72"/>
        <v>53.489999515785236</v>
      </c>
      <c r="CL126" s="528">
        <f t="shared" si="73"/>
        <v>11023.640109874847</v>
      </c>
      <c r="CM126" s="646">
        <f t="shared" si="74"/>
        <v>0</v>
      </c>
    </row>
    <row r="127" spans="1:91" s="1" customFormat="1">
      <c r="A127" s="873">
        <f>'Input data'!A147</f>
        <v>2047</v>
      </c>
      <c r="B127" s="1551">
        <f>'Input data'!B147</f>
        <v>79.535560193629763</v>
      </c>
      <c r="C127" s="1550">
        <f>'Input data'!C147</f>
        <v>8187.4100000000008</v>
      </c>
      <c r="D127" s="1550">
        <f>'Input data'!D147</f>
        <v>803656.25440630724</v>
      </c>
      <c r="E127" s="1455">
        <f t="shared" si="89"/>
        <v>1</v>
      </c>
      <c r="F127" s="1449">
        <f t="shared" si="89"/>
        <v>0.37</v>
      </c>
      <c r="G127" s="1554">
        <f>B127*F127*'Input data'!$C$9</f>
        <v>900.71027116595894</v>
      </c>
      <c r="H127" s="1542">
        <f>'Input data'!I147</f>
        <v>424.26313389388866</v>
      </c>
      <c r="I127" s="1509">
        <f>'Input data'!K147</f>
        <v>33744.006023755384</v>
      </c>
      <c r="J127" s="1509">
        <f t="shared" si="91"/>
        <v>2228.8062963921584</v>
      </c>
      <c r="K127" s="1511">
        <f t="shared" si="77"/>
        <v>13452.655815991067</v>
      </c>
      <c r="L127" s="1504">
        <f t="shared" si="90"/>
        <v>0.7</v>
      </c>
      <c r="M127" s="1504">
        <f t="shared" si="90"/>
        <v>0.6</v>
      </c>
      <c r="N127" s="1504">
        <f t="shared" si="90"/>
        <v>0.9</v>
      </c>
      <c r="O127" s="1504">
        <f t="shared" si="90"/>
        <v>0.9</v>
      </c>
      <c r="P127" s="1504">
        <f t="shared" si="90"/>
        <v>0.23600000000000002</v>
      </c>
      <c r="Q127" s="1508">
        <f t="shared" si="33"/>
        <v>361.30966050852498</v>
      </c>
      <c r="R127" s="1509">
        <f t="shared" si="34"/>
        <v>252.13311079917821</v>
      </c>
      <c r="S127" s="1509">
        <f t="shared" si="35"/>
        <v>738.35016401301345</v>
      </c>
      <c r="T127" s="1509">
        <f t="shared" si="36"/>
        <v>497.15877938627546</v>
      </c>
      <c r="U127" s="1511">
        <f t="shared" si="37"/>
        <v>0</v>
      </c>
      <c r="V127" s="1509">
        <f t="shared" si="38"/>
        <v>1848.9517147069921</v>
      </c>
      <c r="W127" s="1454">
        <f t="shared" si="87"/>
        <v>0.5</v>
      </c>
      <c r="X127" s="530">
        <f t="shared" si="39"/>
        <v>3033.4854703020706</v>
      </c>
      <c r="Y127" s="1508">
        <f t="shared" si="78"/>
        <v>4882.4371850090629</v>
      </c>
      <c r="Z127" s="1509">
        <f t="shared" si="79"/>
        <v>10799.024927374163</v>
      </c>
      <c r="AA127" s="1511">
        <f t="shared" si="80"/>
        <v>8570.2186309820045</v>
      </c>
      <c r="AB127" s="1091">
        <f t="shared" si="40"/>
        <v>0.79361041284918088</v>
      </c>
      <c r="AC127" s="135" t="str">
        <f t="shared" si="41"/>
        <v>Yes</v>
      </c>
      <c r="AD127" s="1091">
        <f t="shared" si="42"/>
        <v>0.79361041284918088</v>
      </c>
      <c r="AE127" s="649">
        <f t="shared" si="10"/>
        <v>0.38919234989754214</v>
      </c>
      <c r="AF127" s="530">
        <f t="shared" si="43"/>
        <v>259.14316783883055</v>
      </c>
      <c r="AG127" s="528">
        <f t="shared" si="44"/>
        <v>2228.8062963921584</v>
      </c>
      <c r="AH127" s="528">
        <f t="shared" si="81"/>
        <v>11098.675173721291</v>
      </c>
      <c r="AI127" s="528">
        <f t="shared" si="82"/>
        <v>6437.6604656145792</v>
      </c>
      <c r="AJ127" s="528">
        <f t="shared" si="11"/>
        <v>845.95508868518004</v>
      </c>
      <c r="AK127" s="528">
        <f t="shared" si="45"/>
        <v>20611.097024413208</v>
      </c>
      <c r="AL127" s="716">
        <f t="shared" si="12"/>
        <v>0</v>
      </c>
      <c r="AM127" s="417">
        <f t="shared" si="46"/>
        <v>0.10813622844782139</v>
      </c>
      <c r="AN127" s="417">
        <f t="shared" si="47"/>
        <v>0.53848056513320242</v>
      </c>
      <c r="AO127" s="417">
        <f t="shared" si="48"/>
        <v>0.31233953525081026</v>
      </c>
      <c r="AP127" s="417">
        <f t="shared" si="49"/>
        <v>4.1043671168165985E-2</v>
      </c>
      <c r="AQ127" s="417">
        <f t="shared" si="50"/>
        <v>1</v>
      </c>
      <c r="AR127" s="1086">
        <f t="shared" si="13"/>
        <v>500.78335792999684</v>
      </c>
      <c r="AS127" s="938">
        <f t="shared" si="14"/>
        <v>635.12877808931569</v>
      </c>
      <c r="AT127" s="938">
        <f t="shared" si="15"/>
        <v>116.37669308260362</v>
      </c>
      <c r="AU127" s="938">
        <f t="shared" si="16"/>
        <v>0</v>
      </c>
      <c r="AV127" s="938">
        <f t="shared" si="17"/>
        <v>0</v>
      </c>
      <c r="AW127" s="938">
        <f t="shared" si="18"/>
        <v>0</v>
      </c>
      <c r="AX127" s="938">
        <f t="shared" si="19"/>
        <v>812.73598451747864</v>
      </c>
      <c r="AY127" s="938">
        <f t="shared" si="20"/>
        <v>65.465444357368312</v>
      </c>
      <c r="AZ127" s="938">
        <f t="shared" si="21"/>
        <v>18.402353608401953</v>
      </c>
      <c r="BA127" s="938">
        <f t="shared" si="22"/>
        <v>47.529694858824108</v>
      </c>
      <c r="BB127" s="938">
        <f t="shared" si="23"/>
        <v>32.383989948168548</v>
      </c>
      <c r="BC127" s="530">
        <f t="shared" si="51"/>
        <v>2228.8062963921579</v>
      </c>
      <c r="BD127" s="724">
        <f t="shared" si="52"/>
        <v>0</v>
      </c>
      <c r="BE127" s="436">
        <f t="shared" si="53"/>
        <v>0.2246868015137212</v>
      </c>
      <c r="BF127" s="624">
        <f t="shared" si="54"/>
        <v>0.28496365032592536</v>
      </c>
      <c r="BG127" s="624">
        <f t="shared" si="55"/>
        <v>5.2214808110954462E-2</v>
      </c>
      <c r="BH127" s="624">
        <f t="shared" si="56"/>
        <v>0</v>
      </c>
      <c r="BI127" s="624">
        <f t="shared" si="57"/>
        <v>0</v>
      </c>
      <c r="BJ127" s="624">
        <f t="shared" si="58"/>
        <v>0</v>
      </c>
      <c r="BK127" s="624">
        <f t="shared" si="59"/>
        <v>0.43813474004939884</v>
      </c>
      <c r="BL127" s="624">
        <f t="shared" si="60"/>
        <v>0.99999999999999978</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77.353739495252753</v>
      </c>
      <c r="BW127" s="114">
        <f t="shared" si="63"/>
        <v>0.79423427917286327</v>
      </c>
      <c r="BX127" s="1686">
        <f t="shared" si="24"/>
        <v>0.80365625440630728</v>
      </c>
      <c r="BY127" s="527">
        <f t="shared" si="64"/>
        <v>77.353739495252753</v>
      </c>
      <c r="BZ127" s="417">
        <f t="shared" si="65"/>
        <v>0.79423427917286327</v>
      </c>
      <c r="CA127" s="544">
        <f t="shared" si="25"/>
        <v>0.80365625440630728</v>
      </c>
      <c r="CB127" s="649">
        <f t="shared" si="26"/>
        <v>0.38919234989754214</v>
      </c>
      <c r="CC127" s="525">
        <f t="shared" si="66"/>
        <v>0.42861248580170164</v>
      </c>
      <c r="CD127" s="417">
        <f t="shared" si="27"/>
        <v>0.38919234989754214</v>
      </c>
      <c r="CE127" s="525">
        <f t="shared" si="67"/>
        <v>0.42861248580170164</v>
      </c>
      <c r="CG127" s="527">
        <f t="shared" si="68"/>
        <v>2107.6396862997281</v>
      </c>
      <c r="CH127" s="528">
        <f t="shared" si="69"/>
        <v>928.09734036507325</v>
      </c>
      <c r="CI127" s="528">
        <f t="shared" si="70"/>
        <v>3534.6550404878321</v>
      </c>
      <c r="CJ127" s="528">
        <f t="shared" si="71"/>
        <v>4474.4290144764791</v>
      </c>
      <c r="CK127" s="528">
        <f t="shared" si="72"/>
        <v>53.854092092176373</v>
      </c>
      <c r="CL127" s="528">
        <f t="shared" si="73"/>
        <v>11098.675173721291</v>
      </c>
      <c r="CM127" s="646">
        <f t="shared" si="74"/>
        <v>0</v>
      </c>
    </row>
    <row r="128" spans="1:91">
      <c r="A128" s="873">
        <f>'Input data'!A148</f>
        <v>2048</v>
      </c>
      <c r="B128" s="1551">
        <f>'Input data'!B148</f>
        <v>80.059278886956378</v>
      </c>
      <c r="C128" s="1550">
        <f>'Input data'!C148</f>
        <v>8322.6399999999976</v>
      </c>
      <c r="D128" s="1550">
        <f>'Input data'!D148</f>
        <v>606545.01714027242</v>
      </c>
      <c r="E128" s="1455">
        <f t="shared" ref="E128:F130" si="93">E127</f>
        <v>1</v>
      </c>
      <c r="F128" s="1449">
        <f t="shared" si="93"/>
        <v>0.37</v>
      </c>
      <c r="G128" s="1554">
        <f>B128*F128*'Input data'!$C$9</f>
        <v>906.64118816877499</v>
      </c>
      <c r="H128" s="1542">
        <f>'Input data'!I148</f>
        <v>424.26313389388866</v>
      </c>
      <c r="I128" s="1509">
        <f>'Input data'!K148</f>
        <v>33966.200557864948</v>
      </c>
      <c r="J128" s="1509">
        <f t="shared" si="91"/>
        <v>2228.8062963921584</v>
      </c>
      <c r="K128" s="1511">
        <f t="shared" si="77"/>
        <v>13555.91371506105</v>
      </c>
      <c r="L128" s="1504">
        <f t="shared" ref="L128:P130" si="94">L127</f>
        <v>0.7</v>
      </c>
      <c r="M128" s="1504">
        <f t="shared" si="94"/>
        <v>0.6</v>
      </c>
      <c r="N128" s="1504">
        <f t="shared" si="94"/>
        <v>0.9</v>
      </c>
      <c r="O128" s="1504">
        <f t="shared" si="94"/>
        <v>0.9</v>
      </c>
      <c r="P128" s="1504">
        <f t="shared" si="94"/>
        <v>0.23600000000000002</v>
      </c>
      <c r="Q128" s="1508">
        <f t="shared" si="33"/>
        <v>363.68878027366054</v>
      </c>
      <c r="R128" s="1509">
        <f t="shared" si="34"/>
        <v>253.79333451559705</v>
      </c>
      <c r="S128" s="1509">
        <f t="shared" si="35"/>
        <v>743.21198660121172</v>
      </c>
      <c r="T128" s="1509">
        <f t="shared" si="36"/>
        <v>500.43242636483592</v>
      </c>
      <c r="U128" s="1511">
        <f t="shared" si="37"/>
        <v>0</v>
      </c>
      <c r="V128" s="1509">
        <f t="shared" si="38"/>
        <v>1861.1265277553052</v>
      </c>
      <c r="W128" s="1454">
        <f t="shared" si="87"/>
        <v>0.5</v>
      </c>
      <c r="X128" s="530">
        <f t="shared" si="39"/>
        <v>3033.4854703020706</v>
      </c>
      <c r="Y128" s="1508">
        <f t="shared" si="78"/>
        <v>4894.6119980573758</v>
      </c>
      <c r="Z128" s="1509">
        <f t="shared" si="79"/>
        <v>10890.108013395831</v>
      </c>
      <c r="AA128" s="1511">
        <f t="shared" si="80"/>
        <v>8661.3017170036728</v>
      </c>
      <c r="AB128" s="1091">
        <f t="shared" si="40"/>
        <v>0.79533662167073804</v>
      </c>
      <c r="AC128" s="135" t="str">
        <f t="shared" si="41"/>
        <v>Yes</v>
      </c>
      <c r="AD128" s="1091">
        <f t="shared" si="42"/>
        <v>0.79533662167073804</v>
      </c>
      <c r="AE128" s="649">
        <f t="shared" si="10"/>
        <v>0.39108211677109073</v>
      </c>
      <c r="AF128" s="530">
        <f t="shared" si="43"/>
        <v>258.34140942272995</v>
      </c>
      <c r="AG128" s="528">
        <f t="shared" si="44"/>
        <v>2228.8062963921584</v>
      </c>
      <c r="AH128" s="528">
        <f t="shared" si="81"/>
        <v>11171.756744348151</v>
      </c>
      <c r="AI128" s="528">
        <f t="shared" si="82"/>
        <v>6437.6604656145792</v>
      </c>
      <c r="AJ128" s="528">
        <f t="shared" si="11"/>
        <v>844.40343866883097</v>
      </c>
      <c r="AK128" s="528">
        <f t="shared" si="45"/>
        <v>20682.62694502372</v>
      </c>
      <c r="AL128" s="716">
        <f t="shared" si="12"/>
        <v>0</v>
      </c>
      <c r="AM128" s="417">
        <f t="shared" si="46"/>
        <v>0.10776224424085615</v>
      </c>
      <c r="AN128" s="417">
        <f t="shared" si="47"/>
        <v>0.54015173092101332</v>
      </c>
      <c r="AO128" s="417">
        <f t="shared" si="48"/>
        <v>0.31125932323425159</v>
      </c>
      <c r="AP128" s="417">
        <f t="shared" si="49"/>
        <v>4.0826701603879002E-2</v>
      </c>
      <c r="AQ128" s="417">
        <f t="shared" si="50"/>
        <v>1</v>
      </c>
      <c r="AR128" s="1086">
        <f t="shared" si="13"/>
        <v>501.66710852042269</v>
      </c>
      <c r="AS128" s="938">
        <f t="shared" si="14"/>
        <v>636.24961292486773</v>
      </c>
      <c r="AT128" s="938">
        <f t="shared" si="15"/>
        <v>116.16323506321294</v>
      </c>
      <c r="AU128" s="938">
        <f t="shared" si="16"/>
        <v>0</v>
      </c>
      <c r="AV128" s="938">
        <f t="shared" si="17"/>
        <v>0</v>
      </c>
      <c r="AW128" s="938">
        <f t="shared" si="18"/>
        <v>0</v>
      </c>
      <c r="AX128" s="938">
        <f t="shared" si="19"/>
        <v>811.24526495029215</v>
      </c>
      <c r="AY128" s="938">
        <f t="shared" si="20"/>
        <v>65.345367701803454</v>
      </c>
      <c r="AZ128" s="938">
        <f t="shared" si="21"/>
        <v>18.368600028975255</v>
      </c>
      <c r="BA128" s="938">
        <f t="shared" si="22"/>
        <v>47.44251593787299</v>
      </c>
      <c r="BB128" s="938">
        <f t="shared" si="23"/>
        <v>32.32459126471052</v>
      </c>
      <c r="BC128" s="530">
        <f t="shared" si="51"/>
        <v>2228.8062963921575</v>
      </c>
      <c r="BD128" s="724">
        <f t="shared" si="52"/>
        <v>0</v>
      </c>
      <c r="BE128" s="436">
        <f t="shared" si="53"/>
        <v>0.22508331447756938</v>
      </c>
      <c r="BF128" s="624">
        <f t="shared" si="54"/>
        <v>0.28546653603535938</v>
      </c>
      <c r="BG128" s="624">
        <f t="shared" si="55"/>
        <v>5.2119035759747363E-2</v>
      </c>
      <c r="BH128" s="624">
        <f t="shared" si="56"/>
        <v>0</v>
      </c>
      <c r="BI128" s="624">
        <f t="shared" si="57"/>
        <v>0</v>
      </c>
      <c r="BJ128" s="624">
        <f t="shared" si="58"/>
        <v>0</v>
      </c>
      <c r="BK128" s="624">
        <f t="shared" si="59"/>
        <v>0.43733111372732392</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78.039822964946168</v>
      </c>
      <c r="BW128" s="114">
        <f t="shared" si="63"/>
        <v>0.79604325892609074</v>
      </c>
      <c r="BX128" s="1686">
        <f t="shared" si="24"/>
        <v>0.60654501714027242</v>
      </c>
      <c r="BY128" s="527">
        <f t="shared" si="64"/>
        <v>78.039822964946168</v>
      </c>
      <c r="BZ128" s="417">
        <f t="shared" si="65"/>
        <v>0.79604325892609074</v>
      </c>
      <c r="CA128" s="544">
        <f t="shared" si="25"/>
        <v>0.60654501714027242</v>
      </c>
      <c r="CB128" s="649">
        <f t="shared" si="26"/>
        <v>0.39108211677109073</v>
      </c>
      <c r="CC128" s="525">
        <f t="shared" si="66"/>
        <v>0.43062211484013102</v>
      </c>
      <c r="CD128" s="417">
        <f t="shared" si="27"/>
        <v>0.39108211677109073</v>
      </c>
      <c r="CE128" s="525">
        <f t="shared" si="67"/>
        <v>0.43062211484013102</v>
      </c>
      <c r="CG128" s="527">
        <f t="shared" si="68"/>
        <v>2121.5178849296863</v>
      </c>
      <c r="CH128" s="528">
        <f t="shared" si="69"/>
        <v>934.20859330894632</v>
      </c>
      <c r="CI128" s="528">
        <f t="shared" si="70"/>
        <v>3557.9297230909083</v>
      </c>
      <c r="CJ128" s="528">
        <f t="shared" si="71"/>
        <v>4503.8918372835287</v>
      </c>
      <c r="CK128" s="528">
        <f t="shared" si="72"/>
        <v>54.208705735082042</v>
      </c>
      <c r="CL128" s="528">
        <f t="shared" si="73"/>
        <v>11171.756744348151</v>
      </c>
      <c r="CM128" s="646">
        <f t="shared" si="74"/>
        <v>0</v>
      </c>
    </row>
    <row r="129" spans="1:91">
      <c r="A129" s="127">
        <f>'Input data'!A149</f>
        <v>2049</v>
      </c>
      <c r="B129" s="662">
        <f>'Input data'!B149</f>
        <v>80.568670564877792</v>
      </c>
      <c r="C129" s="236">
        <f>'Input data'!C149</f>
        <v>8457.3799999999992</v>
      </c>
      <c r="D129" s="1550">
        <f>'Input data'!D149</f>
        <v>409433.77987423755</v>
      </c>
      <c r="E129" s="1455">
        <f t="shared" si="93"/>
        <v>1</v>
      </c>
      <c r="F129" s="1449">
        <f t="shared" si="93"/>
        <v>0.37</v>
      </c>
      <c r="G129" s="1554">
        <f>B129*F129*'Input data'!$C$9</f>
        <v>912.40985711676876</v>
      </c>
      <c r="H129" s="1542">
        <f>'Input data'!I149</f>
        <v>424.26313389388866</v>
      </c>
      <c r="I129" s="1509">
        <f>'Input data'!K149</f>
        <v>34182.31666751935</v>
      </c>
      <c r="J129" s="1509">
        <f t="shared" si="91"/>
        <v>2228.8062963921584</v>
      </c>
      <c r="K129" s="1511">
        <f t="shared" si="77"/>
        <v>13656.346858151272</v>
      </c>
      <c r="L129" s="1504">
        <f t="shared" si="94"/>
        <v>0.7</v>
      </c>
      <c r="M129" s="1504">
        <f t="shared" si="94"/>
        <v>0.6</v>
      </c>
      <c r="N129" s="1504">
        <f t="shared" si="94"/>
        <v>0.9</v>
      </c>
      <c r="O129" s="1504">
        <f t="shared" si="94"/>
        <v>0.9</v>
      </c>
      <c r="P129" s="1504">
        <f t="shared" si="94"/>
        <v>0.23600000000000002</v>
      </c>
      <c r="Q129" s="1508">
        <f t="shared" si="33"/>
        <v>366.00281608063301</v>
      </c>
      <c r="R129" s="1509">
        <f t="shared" si="34"/>
        <v>255.40814062316531</v>
      </c>
      <c r="S129" s="1509">
        <f t="shared" si="35"/>
        <v>747.94080762195381</v>
      </c>
      <c r="T129" s="1509">
        <f t="shared" si="36"/>
        <v>503.61651841383173</v>
      </c>
      <c r="U129" s="1511">
        <f t="shared" si="37"/>
        <v>0</v>
      </c>
      <c r="V129" s="1509">
        <f t="shared" si="38"/>
        <v>1872.9682827395839</v>
      </c>
      <c r="W129" s="1454">
        <f t="shared" si="87"/>
        <v>0.5</v>
      </c>
      <c r="X129" s="530">
        <f t="shared" si="39"/>
        <v>3033.4854703020706</v>
      </c>
      <c r="Y129" s="1508">
        <f t="shared" si="78"/>
        <v>4906.4537530416546</v>
      </c>
      <c r="Z129" s="1509">
        <f t="shared" si="79"/>
        <v>10978.699401501775</v>
      </c>
      <c r="AA129" s="1511">
        <f t="shared" si="80"/>
        <v>8749.893105109617</v>
      </c>
      <c r="AB129" s="1091">
        <f t="shared" si="40"/>
        <v>0.79698812993392643</v>
      </c>
      <c r="AC129" s="135" t="str">
        <f t="shared" si="41"/>
        <v>Yes</v>
      </c>
      <c r="AD129" s="1091">
        <f t="shared" si="42"/>
        <v>0.79698812993392643</v>
      </c>
      <c r="AE129" s="649">
        <f t="shared" si="10"/>
        <v>0.39289589493308541</v>
      </c>
      <c r="AF129" s="530">
        <f t="shared" si="43"/>
        <v>257.57189021553381</v>
      </c>
      <c r="AG129" s="528">
        <f t="shared" si="44"/>
        <v>2228.8062963921584</v>
      </c>
      <c r="AH129" s="528">
        <f t="shared" si="81"/>
        <v>11242.839072248817</v>
      </c>
      <c r="AI129" s="528">
        <f t="shared" si="82"/>
        <v>6437.6604656145792</v>
      </c>
      <c r="AJ129" s="528">
        <f t="shared" si="11"/>
        <v>842.91893529266065</v>
      </c>
      <c r="AK129" s="528">
        <f t="shared" si="45"/>
        <v>20752.224769548215</v>
      </c>
      <c r="AL129" s="716">
        <f t="shared" si="12"/>
        <v>0</v>
      </c>
      <c r="AM129" s="417">
        <f t="shared" si="46"/>
        <v>0.10740083635093937</v>
      </c>
      <c r="AN129" s="417">
        <f t="shared" si="47"/>
        <v>0.54176548283856985</v>
      </c>
      <c r="AO129" s="417">
        <f t="shared" si="48"/>
        <v>0.31021543651845912</v>
      </c>
      <c r="AP129" s="417">
        <f t="shared" si="49"/>
        <v>4.0618244292031702E-2</v>
      </c>
      <c r="AQ129" s="417">
        <f t="shared" si="50"/>
        <v>1</v>
      </c>
      <c r="AR129" s="1086">
        <f t="shared" si="13"/>
        <v>502.51261538173554</v>
      </c>
      <c r="AS129" s="938">
        <f t="shared" si="14"/>
        <v>637.3219443655762</v>
      </c>
      <c r="AT129" s="938">
        <f t="shared" si="15"/>
        <v>115.95901430007854</v>
      </c>
      <c r="AU129" s="938">
        <f t="shared" si="16"/>
        <v>0</v>
      </c>
      <c r="AV129" s="938">
        <f t="shared" si="17"/>
        <v>0</v>
      </c>
      <c r="AW129" s="938">
        <f t="shared" si="18"/>
        <v>0</v>
      </c>
      <c r="AX129" s="938">
        <f t="shared" si="19"/>
        <v>809.8190552979255</v>
      </c>
      <c r="AY129" s="938">
        <f t="shared" si="20"/>
        <v>65.230487285016736</v>
      </c>
      <c r="AZ129" s="938">
        <f t="shared" si="21"/>
        <v>18.336307113634323</v>
      </c>
      <c r="BA129" s="938">
        <f t="shared" si="22"/>
        <v>47.359109627738988</v>
      </c>
      <c r="BB129" s="938">
        <f t="shared" si="23"/>
        <v>32.267763020451547</v>
      </c>
      <c r="BC129" s="530">
        <f t="shared" si="51"/>
        <v>2228.8062963921575</v>
      </c>
      <c r="BD129" s="724">
        <f t="shared" si="52"/>
        <v>0</v>
      </c>
      <c r="BE129" s="436">
        <f t="shared" si="53"/>
        <v>0.22546266860209851</v>
      </c>
      <c r="BF129" s="624">
        <f t="shared" si="54"/>
        <v>0.28594765969444286</v>
      </c>
      <c r="BG129" s="624">
        <f t="shared" si="55"/>
        <v>5.2027407894434448E-2</v>
      </c>
      <c r="BH129" s="624">
        <f t="shared" si="56"/>
        <v>0</v>
      </c>
      <c r="BI129" s="624">
        <f t="shared" si="57"/>
        <v>0</v>
      </c>
      <c r="BJ129" s="624">
        <f t="shared" si="58"/>
        <v>0</v>
      </c>
      <c r="BK129" s="624">
        <f t="shared" si="59"/>
        <v>0.43656226380902413</v>
      </c>
      <c r="BL129" s="624">
        <f t="shared" si="60"/>
        <v>1</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78.721461841019334</v>
      </c>
      <c r="BW129" s="114">
        <f t="shared" si="63"/>
        <v>0.797809293759564</v>
      </c>
      <c r="BX129" s="1686">
        <f t="shared" si="24"/>
        <v>0.40943377987423757</v>
      </c>
      <c r="BY129" s="527">
        <f t="shared" si="64"/>
        <v>78.721461841019334</v>
      </c>
      <c r="BZ129" s="417">
        <f t="shared" si="65"/>
        <v>0.797809293759564</v>
      </c>
      <c r="CA129" s="544">
        <f t="shared" si="25"/>
        <v>0.40943377987423757</v>
      </c>
      <c r="CB129" s="649">
        <f t="shared" si="26"/>
        <v>0.39289589493308541</v>
      </c>
      <c r="CC129" s="525">
        <f t="shared" si="66"/>
        <v>0.43256734345557357</v>
      </c>
      <c r="CD129" s="417">
        <f t="shared" si="27"/>
        <v>0.39289589493308541</v>
      </c>
      <c r="CE129" s="525">
        <f t="shared" si="67"/>
        <v>0.43256734345557357</v>
      </c>
      <c r="CG129" s="527">
        <f t="shared" si="68"/>
        <v>2135.016427137024</v>
      </c>
      <c r="CH129" s="528">
        <f t="shared" si="69"/>
        <v>940.15266487054726</v>
      </c>
      <c r="CI129" s="528">
        <f t="shared" si="70"/>
        <v>3580.567696062546</v>
      </c>
      <c r="CJ129" s="528">
        <f t="shared" si="71"/>
        <v>4532.5486657244883</v>
      </c>
      <c r="CK129" s="528">
        <f t="shared" si="72"/>
        <v>54.553618454210223</v>
      </c>
      <c r="CL129" s="528">
        <f t="shared" si="73"/>
        <v>11242.839072248815</v>
      </c>
      <c r="CM129" s="646">
        <f t="shared" si="74"/>
        <v>0</v>
      </c>
    </row>
    <row r="130" spans="1:91" ht="15.75" thickBot="1">
      <c r="A130" s="172">
        <f>'Input data'!A150</f>
        <v>2050</v>
      </c>
      <c r="B130" s="664">
        <f>'Input data'!B150</f>
        <v>81.063414687793369</v>
      </c>
      <c r="C130" s="239">
        <f>'Input data'!C150</f>
        <v>8589.119999999999</v>
      </c>
      <c r="D130" s="239">
        <f>'Input data'!D150</f>
        <v>212322.54260820278</v>
      </c>
      <c r="E130" s="1006">
        <f t="shared" si="93"/>
        <v>1</v>
      </c>
      <c r="F130" s="797">
        <f t="shared" si="93"/>
        <v>0.37</v>
      </c>
      <c r="G130" s="1007">
        <f>B130*F130*'Input data'!$C$9</f>
        <v>918.01264801965772</v>
      </c>
      <c r="H130" s="654">
        <f>'Input data'!I150</f>
        <v>424.26313389388866</v>
      </c>
      <c r="I130" s="667">
        <f>'Input data'!K150</f>
        <v>34392.218359583101</v>
      </c>
      <c r="J130" s="667">
        <f t="shared" si="91"/>
        <v>2228.8062963921584</v>
      </c>
      <c r="K130" s="659">
        <f t="shared" si="77"/>
        <v>13753.892046742858</v>
      </c>
      <c r="L130" s="651">
        <f t="shared" si="94"/>
        <v>0.7</v>
      </c>
      <c r="M130" s="651">
        <f t="shared" si="94"/>
        <v>0.6</v>
      </c>
      <c r="N130" s="651">
        <f t="shared" si="94"/>
        <v>0.9</v>
      </c>
      <c r="O130" s="651">
        <f t="shared" si="94"/>
        <v>0.9</v>
      </c>
      <c r="P130" s="651">
        <f t="shared" si="94"/>
        <v>0.23600000000000002</v>
      </c>
      <c r="Q130" s="670">
        <f t="shared" si="33"/>
        <v>368.25031180020824</v>
      </c>
      <c r="R130" s="667">
        <f t="shared" si="34"/>
        <v>256.97651298964672</v>
      </c>
      <c r="S130" s="667">
        <f t="shared" si="35"/>
        <v>752.53365141924223</v>
      </c>
      <c r="T130" s="667">
        <f t="shared" si="36"/>
        <v>506.70905191278962</v>
      </c>
      <c r="U130" s="659">
        <f t="shared" si="37"/>
        <v>0</v>
      </c>
      <c r="V130" s="667">
        <f t="shared" si="38"/>
        <v>1884.4695281218869</v>
      </c>
      <c r="W130" s="650">
        <f t="shared" si="87"/>
        <v>0.5</v>
      </c>
      <c r="X130" s="659">
        <f t="shared" si="39"/>
        <v>3033.4854703020706</v>
      </c>
      <c r="Y130" s="670">
        <f t="shared" si="78"/>
        <v>4917.9549984239575</v>
      </c>
      <c r="Z130" s="667">
        <f t="shared" si="79"/>
        <v>11064.74334471106</v>
      </c>
      <c r="AA130" s="659">
        <f t="shared" si="80"/>
        <v>8835.9370483189014</v>
      </c>
      <c r="AB130" s="1094">
        <f t="shared" si="40"/>
        <v>0.79856683278085017</v>
      </c>
      <c r="AC130" s="1105" t="str">
        <f t="shared" si="41"/>
        <v>Yes</v>
      </c>
      <c r="AD130" s="1094">
        <f t="shared" si="42"/>
        <v>0.79856683278085017</v>
      </c>
      <c r="AE130" s="650">
        <f t="shared" si="10"/>
        <v>0.39463503494975138</v>
      </c>
      <c r="AF130" s="659">
        <f t="shared" si="43"/>
        <v>256.83403722178292</v>
      </c>
      <c r="AG130" s="667">
        <f t="shared" si="44"/>
        <v>2228.8062963921584</v>
      </c>
      <c r="AH130" s="667">
        <f t="shared" si="81"/>
        <v>11311.877428186459</v>
      </c>
      <c r="AI130" s="667">
        <f t="shared" si="82"/>
        <v>6437.6604656145792</v>
      </c>
      <c r="AJ130" s="667">
        <f t="shared" si="11"/>
        <v>841.49987505635033</v>
      </c>
      <c r="AK130" s="667">
        <f t="shared" si="45"/>
        <v>20819.844065249545</v>
      </c>
      <c r="AL130" s="717">
        <f t="shared" si="12"/>
        <v>0</v>
      </c>
      <c r="AM130" s="651">
        <f t="shared" si="46"/>
        <v>0.10705201678778492</v>
      </c>
      <c r="AN130" s="651">
        <f t="shared" si="47"/>
        <v>0.54332190926766555</v>
      </c>
      <c r="AO130" s="651">
        <f t="shared" si="48"/>
        <v>0.30920790979216289</v>
      </c>
      <c r="AP130" s="651">
        <f t="shared" si="49"/>
        <v>4.0418164152386707E-2</v>
      </c>
      <c r="AQ130" s="651">
        <f t="shared" si="50"/>
        <v>1</v>
      </c>
      <c r="AR130" s="1474">
        <f t="shared" si="13"/>
        <v>503.32084875168027</v>
      </c>
      <c r="AS130" s="1475">
        <f t="shared" si="14"/>
        <v>638.34700293538526</v>
      </c>
      <c r="AT130" s="1475">
        <f t="shared" si="15"/>
        <v>115.76379644537724</v>
      </c>
      <c r="AU130" s="1475">
        <f t="shared" si="16"/>
        <v>0</v>
      </c>
      <c r="AV130" s="1475">
        <f t="shared" si="17"/>
        <v>0</v>
      </c>
      <c r="AW130" s="1475">
        <f t="shared" si="18"/>
        <v>0</v>
      </c>
      <c r="AX130" s="1475">
        <f t="shared" si="19"/>
        <v>808.45571895339253</v>
      </c>
      <c r="AY130" s="1475">
        <f t="shared" si="20"/>
        <v>65.120671279199826</v>
      </c>
      <c r="AZ130" s="1475">
        <f t="shared" si="21"/>
        <v>18.305437805547619</v>
      </c>
      <c r="BA130" s="1475">
        <f t="shared" si="22"/>
        <v>47.279380217844654</v>
      </c>
      <c r="BB130" s="1475">
        <f t="shared" si="23"/>
        <v>32.213440003729772</v>
      </c>
      <c r="BC130" s="659">
        <f t="shared" si="51"/>
        <v>2228.8062963921579</v>
      </c>
      <c r="BD130" s="725">
        <f t="shared" si="52"/>
        <v>0</v>
      </c>
      <c r="BE130" s="683">
        <f t="shared" si="53"/>
        <v>0.22582529920452141</v>
      </c>
      <c r="BF130" s="683">
        <f>AS130/BC130</f>
        <v>0.28640757340317036</v>
      </c>
      <c r="BG130" s="683">
        <f t="shared" si="55"/>
        <v>5.1939819370022379E-2</v>
      </c>
      <c r="BH130" s="683">
        <f t="shared" si="56"/>
        <v>0</v>
      </c>
      <c r="BI130" s="683">
        <f t="shared" si="57"/>
        <v>0</v>
      </c>
      <c r="BJ130" s="683">
        <f t="shared" si="58"/>
        <v>0</v>
      </c>
      <c r="BK130" s="683">
        <f t="shared" si="59"/>
        <v>0.43582730802228548</v>
      </c>
      <c r="BL130" s="683">
        <f t="shared" si="60"/>
        <v>0.99999999999999956</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79.385739550304635</v>
      </c>
      <c r="BW130" s="651">
        <f t="shared" si="63"/>
        <v>0.79950116915105118</v>
      </c>
      <c r="BX130" s="1687">
        <f t="shared" si="24"/>
        <v>0.2123225426082028</v>
      </c>
      <c r="BY130" s="670">
        <f t="shared" si="64"/>
        <v>79.385739550304635</v>
      </c>
      <c r="BZ130" s="651">
        <f t="shared" si="65"/>
        <v>0.79950116915105118</v>
      </c>
      <c r="CA130" s="675">
        <f t="shared" si="25"/>
        <v>0.2123225426082028</v>
      </c>
      <c r="CB130" s="650">
        <f t="shared" si="26"/>
        <v>0.39463503494975138</v>
      </c>
      <c r="CC130" s="652">
        <f t="shared" si="66"/>
        <v>0.43441051931889274</v>
      </c>
      <c r="CD130" s="651">
        <f t="shared" si="27"/>
        <v>0.39463503494975138</v>
      </c>
      <c r="CE130" s="652">
        <f t="shared" si="67"/>
        <v>0.43441051931889274</v>
      </c>
      <c r="CG130" s="670">
        <f t="shared" si="68"/>
        <v>2148.1268188345475</v>
      </c>
      <c r="CH130" s="667">
        <f t="shared" si="69"/>
        <v>945.9258146858167</v>
      </c>
      <c r="CI130" s="667">
        <f t="shared" si="70"/>
        <v>3602.554714241056</v>
      </c>
      <c r="CJ130" s="667">
        <f t="shared" si="71"/>
        <v>4560.3814672151166</v>
      </c>
      <c r="CK130" s="667">
        <f t="shared" si="72"/>
        <v>54.888613209923193</v>
      </c>
      <c r="CL130" s="667">
        <f t="shared" si="73"/>
        <v>11311.877428186459</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24" t="s">
        <v>602</v>
      </c>
      <c r="B134" s="1825"/>
      <c r="C134" s="1825"/>
      <c r="D134" s="1826"/>
      <c r="E134" s="1827" t="s">
        <v>603</v>
      </c>
      <c r="F134" s="1828"/>
      <c r="G134" s="1828"/>
      <c r="H134" s="1828"/>
      <c r="I134" s="1829"/>
      <c r="J134" s="1830" t="s">
        <v>604</v>
      </c>
      <c r="K134" s="1831"/>
      <c r="L134" s="1832"/>
      <c r="M134" s="1833" t="s">
        <v>757</v>
      </c>
      <c r="N134" s="1835" t="s">
        <v>607</v>
      </c>
      <c r="O134" s="1836"/>
      <c r="P134" s="1814" t="s">
        <v>594</v>
      </c>
      <c r="Q134" s="1816" t="s">
        <v>765</v>
      </c>
      <c r="R134" s="1816" t="s">
        <v>768</v>
      </c>
      <c r="S134" s="1816" t="s">
        <v>767</v>
      </c>
      <c r="T134" s="1848" t="s">
        <v>769</v>
      </c>
      <c r="U134" s="1881" t="s">
        <v>770</v>
      </c>
      <c r="V134" s="1818" t="s">
        <v>760</v>
      </c>
      <c r="W134" s="1820" t="s">
        <v>761</v>
      </c>
      <c r="X134" s="1883" t="s">
        <v>592</v>
      </c>
      <c r="Y134" s="1884"/>
      <c r="Z134" s="1884"/>
      <c r="AA134" s="1884"/>
      <c r="AB134" s="1884"/>
      <c r="AC134" s="1884"/>
      <c r="AD134" s="1884"/>
      <c r="AE134" s="1885"/>
      <c r="AF134" s="1885"/>
      <c r="AG134" s="1885"/>
      <c r="AH134" s="1885"/>
      <c r="AI134" s="1885"/>
      <c r="AJ134" s="1886"/>
      <c r="AK134" s="1926" t="s">
        <v>728</v>
      </c>
      <c r="AL134" s="1927"/>
      <c r="AM134" s="1927"/>
      <c r="AN134" s="1927"/>
      <c r="AO134" s="1928"/>
    </row>
    <row r="135" spans="1:91" ht="43.15" customHeight="1">
      <c r="A135" s="1822" t="s">
        <v>217</v>
      </c>
      <c r="B135" s="703" t="s">
        <v>218</v>
      </c>
      <c r="C135" s="703" t="s">
        <v>390</v>
      </c>
      <c r="D135" s="513" t="s">
        <v>629</v>
      </c>
      <c r="E135" s="704" t="s">
        <v>779</v>
      </c>
      <c r="F135" s="704" t="s">
        <v>780</v>
      </c>
      <c r="G135" s="704" t="s">
        <v>764</v>
      </c>
      <c r="H135" s="705" t="s">
        <v>597</v>
      </c>
      <c r="I135" s="705" t="s">
        <v>626</v>
      </c>
      <c r="J135" s="1461" t="s">
        <v>326</v>
      </c>
      <c r="K135" s="1461" t="s">
        <v>758</v>
      </c>
      <c r="L135" s="706" t="s">
        <v>759</v>
      </c>
      <c r="M135" s="1834"/>
      <c r="N135" s="508" t="s">
        <v>605</v>
      </c>
      <c r="O135" s="559" t="s">
        <v>606</v>
      </c>
      <c r="P135" s="1815"/>
      <c r="Q135" s="1817"/>
      <c r="R135" s="1817"/>
      <c r="S135" s="1817"/>
      <c r="T135" s="1849"/>
      <c r="U135" s="1882"/>
      <c r="V135" s="1819"/>
      <c r="W135" s="1821"/>
      <c r="X135" s="1464" t="s">
        <v>473</v>
      </c>
      <c r="Y135" s="1465" t="s">
        <v>489</v>
      </c>
      <c r="Z135" s="1636" t="s">
        <v>807</v>
      </c>
      <c r="AA135" s="1465" t="s">
        <v>377</v>
      </c>
      <c r="AB135" s="1465" t="s">
        <v>477</v>
      </c>
      <c r="AC135" s="1465" t="s">
        <v>225</v>
      </c>
      <c r="AD135" s="713" t="s">
        <v>617</v>
      </c>
      <c r="AE135" s="1092" t="s">
        <v>473</v>
      </c>
      <c r="AF135" s="1465" t="s">
        <v>489</v>
      </c>
      <c r="AG135" s="1636" t="s">
        <v>807</v>
      </c>
      <c r="AH135" s="1465" t="s">
        <v>377</v>
      </c>
      <c r="AI135" s="1465" t="s">
        <v>477</v>
      </c>
      <c r="AJ135" s="1466" t="s">
        <v>225</v>
      </c>
      <c r="AK135" s="189" t="s">
        <v>724</v>
      </c>
      <c r="AL135" s="712" t="s">
        <v>493</v>
      </c>
      <c r="AM135" s="712" t="s">
        <v>725</v>
      </c>
      <c r="AN135" s="712" t="s">
        <v>225</v>
      </c>
      <c r="AO135" s="1183" t="s">
        <v>617</v>
      </c>
    </row>
    <row r="136" spans="1:91" ht="45" customHeight="1" thickBot="1">
      <c r="A136" s="1857"/>
      <c r="B136" s="458" t="s">
        <v>232</v>
      </c>
      <c r="C136" s="459" t="s">
        <v>482</v>
      </c>
      <c r="D136" s="477" t="s">
        <v>480</v>
      </c>
      <c r="E136" s="1127" t="s">
        <v>228</v>
      </c>
      <c r="F136" s="1127" t="s">
        <v>228</v>
      </c>
      <c r="G136" s="1127" t="s">
        <v>228</v>
      </c>
      <c r="H136" s="1479" t="str">
        <f>G136</f>
        <v>Gg</v>
      </c>
      <c r="I136" s="1127" t="s">
        <v>228</v>
      </c>
      <c r="J136" s="707" t="s">
        <v>229</v>
      </c>
      <c r="K136" s="1114" t="s">
        <v>228</v>
      </c>
      <c r="L136" s="1114" t="s">
        <v>228</v>
      </c>
      <c r="M136" s="1114" t="s">
        <v>228</v>
      </c>
      <c r="N136" s="688" t="s">
        <v>229</v>
      </c>
      <c r="O136" s="690" t="s">
        <v>228</v>
      </c>
      <c r="P136" s="1115" t="s">
        <v>228</v>
      </c>
      <c r="Q136" s="1116" t="s">
        <v>228</v>
      </c>
      <c r="R136" s="1116" t="s">
        <v>228</v>
      </c>
      <c r="S136" s="1117" t="s">
        <v>28</v>
      </c>
      <c r="T136" s="1849"/>
      <c r="U136" s="1117" t="s">
        <v>28</v>
      </c>
      <c r="V136" s="1116" t="s">
        <v>228</v>
      </c>
      <c r="W136" s="1496" t="s">
        <v>28</v>
      </c>
      <c r="X136" s="191" t="s">
        <v>228</v>
      </c>
      <c r="Y136" s="1095" t="s">
        <v>228</v>
      </c>
      <c r="Z136" s="1095" t="s">
        <v>228</v>
      </c>
      <c r="AA136" s="1095" t="s">
        <v>228</v>
      </c>
      <c r="AB136" s="1095" t="s">
        <v>228</v>
      </c>
      <c r="AC136" s="1095" t="s">
        <v>228</v>
      </c>
      <c r="AD136" s="1096" t="s">
        <v>762</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3117.5115237718705</v>
      </c>
      <c r="D137" s="1503">
        <f>'Input data'!D117</f>
        <v>49995051</v>
      </c>
      <c r="E137" s="956">
        <f>'Input data'!J117*C137</f>
        <v>37506.923384615395</v>
      </c>
      <c r="F137" s="957">
        <f>'Input data'!L117</f>
        <v>87501.974384615402</v>
      </c>
      <c r="G137" s="957">
        <f>F137*B11</f>
        <v>68439.708347615408</v>
      </c>
      <c r="H137" s="677">
        <f t="shared" ref="H137:H170" si="95">E137*$B$12+I137*$E$80-G137</f>
        <v>0</v>
      </c>
      <c r="I137" s="1467">
        <f>D137/1000</f>
        <v>49995.050999999999</v>
      </c>
      <c r="J137" s="649">
        <f>H17</f>
        <v>6.154773859516615E-2</v>
      </c>
      <c r="K137" s="957">
        <f>(I137)*J137-(I137)*$J$137</f>
        <v>0</v>
      </c>
      <c r="L137" s="957">
        <f>(E137)*$C$12*$G$12-(E137)*$C$12*$G$12</f>
        <v>0</v>
      </c>
      <c r="M137" s="1467">
        <f>L137+K137</f>
        <v>0</v>
      </c>
      <c r="N137" s="708">
        <v>0</v>
      </c>
      <c r="O137" s="1467">
        <f>N137*$E$137*($C$85)*$B$12</f>
        <v>0</v>
      </c>
      <c r="P137" s="1691">
        <f>O137+M137</f>
        <v>0</v>
      </c>
      <c r="Q137" s="1484">
        <f>E137*$B$12+(1-$J$137)*I137-P137</f>
        <v>68439.708347615408</v>
      </c>
      <c r="R137" s="1484">
        <f>Q137-G137</f>
        <v>0</v>
      </c>
      <c r="S137" s="1505">
        <f>R137/(Q137-I137*(1-J137))</f>
        <v>0</v>
      </c>
      <c r="T137" s="1489" t="str">
        <f>IF(AND(S137&gt;=0,S137&lt;=1),"Yes","No")</f>
        <v>Yes</v>
      </c>
      <c r="U137" s="1505">
        <f>IF(S137&lt;=0,0,IF(S137&gt;=1,1,S137))</f>
        <v>0</v>
      </c>
      <c r="V137" s="1533">
        <f t="shared" ref="V137:V170" si="96">AC137</f>
        <v>87501.974384615402</v>
      </c>
      <c r="W137" s="1534">
        <f t="shared" ref="W137:W170" si="97">(1-V137/F137)</f>
        <v>0</v>
      </c>
      <c r="X137" s="956">
        <f>(E137*$B$12-O137-L137)*(1-U137)+I137*(1-J137)</f>
        <v>68439.708347615408</v>
      </c>
      <c r="Y137" s="1501">
        <f>I137*J137+E137*$G$12*$C$12</f>
        <v>6080.5670370000007</v>
      </c>
      <c r="Z137" s="1501">
        <f>($C$12*$H$12*E137+O137)</f>
        <v>1694.9190000000001</v>
      </c>
      <c r="AA137" s="1501">
        <f>$F$137*$D$11</f>
        <v>0</v>
      </c>
      <c r="AB137" s="1501">
        <f>E137*$E$12</f>
        <v>11286.78</v>
      </c>
      <c r="AC137" s="1501">
        <f>SUM(X137:AB137)</f>
        <v>87501.974384615402</v>
      </c>
      <c r="AD137" s="1553">
        <f>X137-G137</f>
        <v>0</v>
      </c>
      <c r="AE137" s="1536">
        <f>X137/AC137</f>
        <v>0.7821504466492184</v>
      </c>
      <c r="AF137" s="1536">
        <f>Y137/AC137</f>
        <v>6.9490626694579893E-2</v>
      </c>
      <c r="AG137" s="1536">
        <f>Z137/AC137</f>
        <v>1.9370065783315637E-2</v>
      </c>
      <c r="AH137" s="1536">
        <f>AA137/AC137</f>
        <v>0</v>
      </c>
      <c r="AI137" s="1536">
        <f>AB137/AC137</f>
        <v>0.12898886087288611</v>
      </c>
      <c r="AJ137" s="1537">
        <f>SUM(AE137:AI137)</f>
        <v>1</v>
      </c>
      <c r="AK137" s="1637">
        <f>I137*(1-$J$137)-K137</f>
        <v>46917.968670000002</v>
      </c>
      <c r="AL137" s="1638">
        <f>(E137*$C$86*$B$12-L137)*(1-U137)</f>
        <v>20017.905677615392</v>
      </c>
      <c r="AM137" s="1638">
        <f>(E137*($C$85)*$B$12-O137)*(1-U137)</f>
        <v>1503.8340000000005</v>
      </c>
      <c r="AN137" s="1638">
        <f>SUM(AK137:AM137)</f>
        <v>68439.708347615393</v>
      </c>
      <c r="AO137" s="1538">
        <f>AN137-X137</f>
        <v>0</v>
      </c>
      <c r="AV137" s="561"/>
      <c r="AW137" s="561"/>
    </row>
    <row r="138" spans="1:91">
      <c r="A138" s="127">
        <f>'Input data'!A118</f>
        <v>2018</v>
      </c>
      <c r="B138" s="662">
        <f>'Input data'!B118</f>
        <v>57.436000617299655</v>
      </c>
      <c r="C138" s="236">
        <f>'Input data'!C118</f>
        <v>3154.0370052724184</v>
      </c>
      <c r="D138" s="1511">
        <f>'Input data'!D118</f>
        <v>50359792.847133137</v>
      </c>
      <c r="E138" s="527">
        <f>'Input data'!J118*C138</f>
        <v>37946.363119089809</v>
      </c>
      <c r="F138" s="528">
        <f>'Input data'!L118</f>
        <v>88306.155966222956</v>
      </c>
      <c r="G138" s="528">
        <f>G137*0.94</f>
        <v>64333.325846758482</v>
      </c>
      <c r="H138" s="528">
        <f>E138*$B$12+I138*$E$80-G138</f>
        <v>4700.8289604658348</v>
      </c>
      <c r="I138" s="530">
        <f t="shared" ref="I138:I170" si="98">D138/1000</f>
        <v>50359.79284713314</v>
      </c>
      <c r="J138" s="649">
        <f>($J$150-$J$137)/($A$150-$A$137)+J137</f>
        <v>8.7582527933999524E-2</v>
      </c>
      <c r="K138" s="775">
        <f>(I138)*J138-(I138)*$J$137</f>
        <v>1311.106597922399</v>
      </c>
      <c r="L138" s="775">
        <f t="shared" ref="L138:L170" si="99">(E138)*$C$12*$G$12-(E138)*$C$12*$G$12</f>
        <v>0</v>
      </c>
      <c r="M138" s="530">
        <f>L138+K138</f>
        <v>1311.106597922399</v>
      </c>
      <c r="N138" s="649">
        <v>0.05</v>
      </c>
      <c r="O138" s="530">
        <f t="shared" ref="O138:O170" si="100">N138*$E$137*($C$85)*$B$12</f>
        <v>75.191700000000026</v>
      </c>
      <c r="P138" s="1210">
        <f>O138+M138</f>
        <v>1386.2982979223991</v>
      </c>
      <c r="Q138" s="1364">
        <f t="shared" ref="Q138:Q170" si="101">E138*$B$12+(1-$J$137)*I138-P138</f>
        <v>67647.856509301913</v>
      </c>
      <c r="R138" s="1364">
        <f>Q138-G138</f>
        <v>3314.5306625434314</v>
      </c>
      <c r="S138" s="1514">
        <f t="shared" ref="S138:S170" si="102">R138/(Q138-I138*(1-J138))</f>
        <v>0.15275248812947445</v>
      </c>
      <c r="T138" s="135" t="str">
        <f t="shared" ref="T138:T170" si="103">IF(AND(S138&gt;=0,S138&lt;=1),"Yes","No")</f>
        <v>Yes</v>
      </c>
      <c r="U138" s="1514">
        <f t="shared" ref="U138:U170" si="104">IF(S138&lt;=0,0,IF(S138&gt;=1,1,S138))</f>
        <v>0.15275248812947445</v>
      </c>
      <c r="V138" s="1539">
        <f t="shared" si="96"/>
        <v>84991.625303679524</v>
      </c>
      <c r="W138" s="1540">
        <f t="shared" si="97"/>
        <v>3.7534536819961217E-2</v>
      </c>
      <c r="X138" s="527">
        <f t="shared" ref="X138:X170" si="105">(E138*$B$12-O138-L138)*(1-U138)+I138*(1-J138)</f>
        <v>64333.325846758482</v>
      </c>
      <c r="Y138" s="1509">
        <f t="shared" ref="Y138:Y170" si="106">I138*J138+E138*$G$12*$C$12</f>
        <v>7449.3121878932852</v>
      </c>
      <c r="Z138" s="1509">
        <f t="shared" ref="Z138:Z170" si="107">($C$12*$H$12*E138+O138)</f>
        <v>1789.9687605419947</v>
      </c>
      <c r="AA138" s="1509">
        <f t="shared" ref="AA138:AA170" si="108">$F$137*$D$11</f>
        <v>0</v>
      </c>
      <c r="AB138" s="1509">
        <f t="shared" ref="AB138:AB170" si="109">E138*$E$12</f>
        <v>11419.018508485759</v>
      </c>
      <c r="AC138" s="1509">
        <f t="shared" ref="AC138:AC170" si="110">SUM(X138:AB138)</f>
        <v>84991.625303679524</v>
      </c>
      <c r="AD138" s="1535">
        <f t="shared" ref="AD138:AD170" si="111">X138-G138</f>
        <v>0</v>
      </c>
      <c r="AE138" s="1504">
        <f t="shared" ref="AE138:AE170" si="112">X138/AC138</f>
        <v>0.75693723489687537</v>
      </c>
      <c r="AF138" s="1504">
        <f t="shared" ref="AF138:AF170" si="113">Y138/AC138</f>
        <v>8.7647602469966931E-2</v>
      </c>
      <c r="AG138" s="1504">
        <f t="shared" ref="AG138:AG170" si="114">Z138/AC138</f>
        <v>2.1060531012865594E-2</v>
      </c>
      <c r="AH138" s="1504">
        <f>AA138/AC138</f>
        <v>0</v>
      </c>
      <c r="AI138" s="1504">
        <f t="shared" ref="AI138:AI169" si="115">AB138/AC138</f>
        <v>0.1343546316202921</v>
      </c>
      <c r="AJ138" s="1541">
        <f t="shared" ref="AJ138:AJ170" si="116">SUM(AE138:AI138)</f>
        <v>1</v>
      </c>
      <c r="AK138" s="1555">
        <f t="shared" ref="AK138:AK170" si="117">I138*(1-$J$137)-K138</f>
        <v>45949.154883348674</v>
      </c>
      <c r="AL138" s="1556">
        <f t="shared" ref="AL138:AL170" si="118">(E138*$C$86*$B$12-L138)*(1-U138)</f>
        <v>17158.829451148249</v>
      </c>
      <c r="AM138" s="1556">
        <f t="shared" ref="AM138:AM170" si="119">(E138*($C$85)*$B$12-O138)*(1-U138)</f>
        <v>1225.3415122615597</v>
      </c>
      <c r="AN138" s="1556">
        <f t="shared" ref="AN138:AN170" si="120">SUM(AK138:AM138)</f>
        <v>64333.325846758489</v>
      </c>
      <c r="AO138" s="1543">
        <f t="shared" ref="AO138:AO170" si="121">AN138-X138</f>
        <v>0</v>
      </c>
      <c r="AV138" s="561"/>
      <c r="AW138" s="561"/>
    </row>
    <row r="139" spans="1:91">
      <c r="A139" s="127">
        <f>'Input data'!A119</f>
        <v>2019</v>
      </c>
      <c r="B139" s="662">
        <f>'Input data'!B119</f>
        <v>58.364834921819444</v>
      </c>
      <c r="C139" s="236">
        <f>'Input data'!C119</f>
        <v>4436.7699999999986</v>
      </c>
      <c r="D139" s="1511">
        <f>'Input data'!D119</f>
        <v>53464172.913892828</v>
      </c>
      <c r="E139" s="527">
        <f>'Input data'!J119*C139</f>
        <v>53378.982305676094</v>
      </c>
      <c r="F139" s="528">
        <f>'Input data'!L119</f>
        <v>106843.15521956893</v>
      </c>
      <c r="G139" s="528">
        <f>G137*0.89</f>
        <v>60911.340429377713</v>
      </c>
      <c r="H139" s="528">
        <f t="shared" si="95"/>
        <v>19891.473637248593</v>
      </c>
      <c r="I139" s="530">
        <f t="shared" si="98"/>
        <v>53464.172913892828</v>
      </c>
      <c r="J139" s="649">
        <f t="shared" ref="J139:J149" si="122">($J$150-$J$137)/($A$150-$A$137)+J138</f>
        <v>0.11361731727283289</v>
      </c>
      <c r="K139" s="775">
        <f t="shared" ref="K139:K170" si="123">(I139)*J139-(I139)*$J$137</f>
        <v>2783.8569579763216</v>
      </c>
      <c r="L139" s="775">
        <f t="shared" si="99"/>
        <v>0</v>
      </c>
      <c r="M139" s="530">
        <f t="shared" ref="M139:M170" si="124">L139+K139</f>
        <v>2783.8569579763216</v>
      </c>
      <c r="N139" s="1454">
        <v>0.1</v>
      </c>
      <c r="O139" s="530">
        <f t="shared" si="100"/>
        <v>150.38340000000005</v>
      </c>
      <c r="P139" s="1210">
        <f>O139+M139</f>
        <v>2934.2403579763218</v>
      </c>
      <c r="Q139" s="1364">
        <f t="shared" si="101"/>
        <v>77868.573708649987</v>
      </c>
      <c r="R139" s="1364">
        <f t="shared" ref="R139:R170" si="125">Q139-G139</f>
        <v>16957.233279272274</v>
      </c>
      <c r="S139" s="1514">
        <f t="shared" si="102"/>
        <v>0.55636054366934984</v>
      </c>
      <c r="T139" s="135" t="str">
        <f t="shared" si="103"/>
        <v>Yes</v>
      </c>
      <c r="U139" s="1514">
        <f t="shared" si="104"/>
        <v>0.55636054366934984</v>
      </c>
      <c r="V139" s="1539">
        <f t="shared" si="96"/>
        <v>89885.921940296656</v>
      </c>
      <c r="W139" s="1540">
        <f t="shared" si="97"/>
        <v>0.15871146115466328</v>
      </c>
      <c r="X139" s="527">
        <f t="shared" si="105"/>
        <v>60911.340429377713</v>
      </c>
      <c r="Y139" s="1509">
        <f t="shared" si="106"/>
        <v>10348.945579199766</v>
      </c>
      <c r="Z139" s="1509">
        <f t="shared" si="107"/>
        <v>2562.5527582487894</v>
      </c>
      <c r="AA139" s="1509">
        <f t="shared" si="108"/>
        <v>0</v>
      </c>
      <c r="AB139" s="1509">
        <f t="shared" si="109"/>
        <v>16063.083173470395</v>
      </c>
      <c r="AC139" s="1509">
        <f t="shared" si="110"/>
        <v>89885.921940296656</v>
      </c>
      <c r="AD139" s="1535">
        <f t="shared" si="111"/>
        <v>0</v>
      </c>
      <c r="AE139" s="1504">
        <f t="shared" si="112"/>
        <v>0.67765161790114115</v>
      </c>
      <c r="AF139" s="1504">
        <f t="shared" si="113"/>
        <v>0.1151342207523183</v>
      </c>
      <c r="AG139" s="1504">
        <f t="shared" si="114"/>
        <v>2.8508944481326771E-2</v>
      </c>
      <c r="AH139" s="1504">
        <f t="shared" ref="AH139:AH170" si="126">AA139/AC139</f>
        <v>0</v>
      </c>
      <c r="AI139" s="1504">
        <f t="shared" si="115"/>
        <v>0.17870521686521382</v>
      </c>
      <c r="AJ139" s="1541">
        <f t="shared" si="116"/>
        <v>1</v>
      </c>
      <c r="AK139" s="1555">
        <f t="shared" si="117"/>
        <v>47389.717017205468</v>
      </c>
      <c r="AL139" s="1556">
        <f t="shared" si="118"/>
        <v>12638.852664300288</v>
      </c>
      <c r="AM139" s="1556">
        <f t="shared" si="119"/>
        <v>882.77074787194999</v>
      </c>
      <c r="AN139" s="1556">
        <f t="shared" si="120"/>
        <v>60911.340429377713</v>
      </c>
      <c r="AO139" s="1543">
        <f t="shared" si="121"/>
        <v>0</v>
      </c>
      <c r="AV139" s="561"/>
      <c r="AW139" s="561"/>
    </row>
    <row r="140" spans="1:91">
      <c r="A140" s="127">
        <f>'Input data'!A120</f>
        <v>2020</v>
      </c>
      <c r="B140" s="662">
        <f>'Input data'!B120</f>
        <v>59.233695328537607</v>
      </c>
      <c r="C140" s="236">
        <f>'Input data'!C120</f>
        <v>4157.24</v>
      </c>
      <c r="D140" s="1511">
        <f>'Input data'!D120</f>
        <v>51247282.188414559</v>
      </c>
      <c r="E140" s="527">
        <f>'Input data'!J120*C140</f>
        <v>50015.944121613007</v>
      </c>
      <c r="F140" s="528">
        <f>'Input data'!L120</f>
        <v>101263.22631002756</v>
      </c>
      <c r="G140" s="528">
        <f>G137*0.81</f>
        <v>55436.163761568481</v>
      </c>
      <c r="H140" s="528">
        <f t="shared" si="95"/>
        <v>21356.468936474215</v>
      </c>
      <c r="I140" s="530">
        <f t="shared" si="98"/>
        <v>51247.28218841456</v>
      </c>
      <c r="J140" s="649">
        <f t="shared" si="122"/>
        <v>0.13965210661166627</v>
      </c>
      <c r="K140" s="775">
        <f t="shared" si="123"/>
        <v>4002.6365878893621</v>
      </c>
      <c r="L140" s="775">
        <f t="shared" si="99"/>
        <v>0</v>
      </c>
      <c r="M140" s="530">
        <f t="shared" si="124"/>
        <v>4002.6365878893621</v>
      </c>
      <c r="N140" s="1454">
        <f>($N$142-$N$137)/($A$102-$A$97)+N139</f>
        <v>0.2</v>
      </c>
      <c r="O140" s="530">
        <f t="shared" si="100"/>
        <v>300.7668000000001</v>
      </c>
      <c r="P140" s="1210">
        <f t="shared" ref="P140:P170" si="127">O140+M140</f>
        <v>4303.4033878893624</v>
      </c>
      <c r="Q140" s="1364">
        <f t="shared" si="101"/>
        <v>72489.229310153329</v>
      </c>
      <c r="R140" s="1364">
        <f t="shared" si="125"/>
        <v>17053.065548584847</v>
      </c>
      <c r="S140" s="1514">
        <f t="shared" si="102"/>
        <v>0.60048673733609492</v>
      </c>
      <c r="T140" s="135" t="str">
        <f t="shared" si="103"/>
        <v>Yes</v>
      </c>
      <c r="U140" s="1514">
        <f t="shared" si="104"/>
        <v>0.60048673733609492</v>
      </c>
      <c r="V140" s="1539">
        <f t="shared" si="96"/>
        <v>84210.160761442719</v>
      </c>
      <c r="W140" s="1540">
        <f t="shared" si="97"/>
        <v>0.16840334018565795</v>
      </c>
      <c r="X140" s="527">
        <f t="shared" si="105"/>
        <v>55436.163761568481</v>
      </c>
      <c r="Y140" s="1509">
        <f t="shared" si="106"/>
        <v>11161.974751662076</v>
      </c>
      <c r="Z140" s="1509">
        <f t="shared" si="107"/>
        <v>2560.9621544777392</v>
      </c>
      <c r="AA140" s="1509">
        <f t="shared" si="108"/>
        <v>0</v>
      </c>
      <c r="AB140" s="1509">
        <f t="shared" si="109"/>
        <v>15051.060093734426</v>
      </c>
      <c r="AC140" s="1509">
        <f t="shared" si="110"/>
        <v>84210.160761442719</v>
      </c>
      <c r="AD140" s="1535">
        <f t="shared" si="111"/>
        <v>0</v>
      </c>
      <c r="AE140" s="1504">
        <f t="shared" si="112"/>
        <v>0.65830730235288926</v>
      </c>
      <c r="AF140" s="1504">
        <f t="shared" si="113"/>
        <v>0.13254902556572254</v>
      </c>
      <c r="AG140" s="1504">
        <f t="shared" si="114"/>
        <v>3.0411557599713385E-2</v>
      </c>
      <c r="AH140" s="1504">
        <f t="shared" si="126"/>
        <v>0</v>
      </c>
      <c r="AI140" s="1504">
        <f t="shared" si="115"/>
        <v>0.17873211448167489</v>
      </c>
      <c r="AJ140" s="1541">
        <f t="shared" si="116"/>
        <v>1</v>
      </c>
      <c r="AK140" s="1555">
        <f t="shared" si="117"/>
        <v>44090.491272679945</v>
      </c>
      <c r="AL140" s="1556">
        <f t="shared" si="118"/>
        <v>10664.656446608829</v>
      </c>
      <c r="AM140" s="1556">
        <f t="shared" si="119"/>
        <v>681.01604227970654</v>
      </c>
      <c r="AN140" s="1556">
        <f t="shared" si="120"/>
        <v>55436.163761568481</v>
      </c>
      <c r="AO140" s="1543">
        <f t="shared" si="121"/>
        <v>0</v>
      </c>
      <c r="AV140" s="561"/>
      <c r="AW140" s="561"/>
    </row>
    <row r="141" spans="1:91">
      <c r="A141" s="127">
        <f>'Input data'!A121</f>
        <v>2021</v>
      </c>
      <c r="B141" s="1551">
        <f>'Input data'!B121</f>
        <v>60.170135702880636</v>
      </c>
      <c r="C141" s="1550">
        <f>'Input data'!C121</f>
        <v>4296.6100000000006</v>
      </c>
      <c r="D141" s="1511">
        <f>'Input data'!D121</f>
        <v>50719928.257477686</v>
      </c>
      <c r="E141" s="527">
        <f>'Input data'!J121*C141</f>
        <v>51692.710950621971</v>
      </c>
      <c r="F141" s="528">
        <f>'Input data'!L121</f>
        <v>102412.63920809966</v>
      </c>
      <c r="G141" s="528">
        <f>G137*0.65</f>
        <v>44485.810425950018</v>
      </c>
      <c r="H141" s="528">
        <f t="shared" si="95"/>
        <v>32774.06652767257</v>
      </c>
      <c r="I141" s="530">
        <f t="shared" si="98"/>
        <v>50719.928257477688</v>
      </c>
      <c r="J141" s="649">
        <f t="shared" si="122"/>
        <v>0.16568689595049965</v>
      </c>
      <c r="K141" s="775">
        <f t="shared" si="123"/>
        <v>5281.9305898566954</v>
      </c>
      <c r="L141" s="775">
        <f t="shared" si="99"/>
        <v>0</v>
      </c>
      <c r="M141" s="530">
        <f t="shared" si="124"/>
        <v>5281.9305898566954</v>
      </c>
      <c r="N141" s="1454">
        <v>0.4</v>
      </c>
      <c r="O141" s="530">
        <f t="shared" si="100"/>
        <v>601.53360000000021</v>
      </c>
      <c r="P141" s="1210">
        <f t="shared" si="127"/>
        <v>5883.4641898566952</v>
      </c>
      <c r="Q141" s="1364">
        <f t="shared" si="101"/>
        <v>71376.412763765897</v>
      </c>
      <c r="R141" s="1364">
        <f t="shared" si="125"/>
        <v>26890.602337815879</v>
      </c>
      <c r="S141" s="1514">
        <f t="shared" si="102"/>
        <v>0.92534407143296438</v>
      </c>
      <c r="T141" s="135" t="str">
        <f t="shared" si="103"/>
        <v>Yes</v>
      </c>
      <c r="U141" s="1514">
        <f t="shared" si="104"/>
        <v>0.92534407143296438</v>
      </c>
      <c r="V141" s="1539">
        <f t="shared" si="96"/>
        <v>75522.036870283788</v>
      </c>
      <c r="W141" s="1540">
        <f t="shared" si="97"/>
        <v>0.26257112936202054</v>
      </c>
      <c r="X141" s="527">
        <f t="shared" si="105"/>
        <v>44485.810425950018</v>
      </c>
      <c r="Y141" s="1509">
        <f t="shared" si="106"/>
        <v>12543.083682644075</v>
      </c>
      <c r="Z141" s="1509">
        <f t="shared" si="107"/>
        <v>2937.5012039878866</v>
      </c>
      <c r="AA141" s="1509">
        <f t="shared" si="108"/>
        <v>0</v>
      </c>
      <c r="AB141" s="1509">
        <f t="shared" si="109"/>
        <v>15555.641557701811</v>
      </c>
      <c r="AC141" s="1509">
        <f t="shared" si="110"/>
        <v>75522.036870283788</v>
      </c>
      <c r="AD141" s="1535">
        <f t="shared" si="111"/>
        <v>0</v>
      </c>
      <c r="AE141" s="1504">
        <f t="shared" si="112"/>
        <v>0.58904410248307504</v>
      </c>
      <c r="AF141" s="1504">
        <f t="shared" si="113"/>
        <v>0.16608508195015984</v>
      </c>
      <c r="AG141" s="1504">
        <f t="shared" si="114"/>
        <v>3.8895947801743241E-2</v>
      </c>
      <c r="AH141" s="1504">
        <f t="shared" si="126"/>
        <v>0</v>
      </c>
      <c r="AI141" s="1504">
        <f t="shared" si="115"/>
        <v>0.20597486776502189</v>
      </c>
      <c r="AJ141" s="1541">
        <f t="shared" si="116"/>
        <v>1</v>
      </c>
      <c r="AK141" s="1555">
        <f t="shared" si="117"/>
        <v>42316.300781664177</v>
      </c>
      <c r="AL141" s="1556">
        <f t="shared" si="118"/>
        <v>2059.6850063472216</v>
      </c>
      <c r="AM141" s="1556">
        <f t="shared" si="119"/>
        <v>109.8246379386195</v>
      </c>
      <c r="AN141" s="1556">
        <f t="shared" si="120"/>
        <v>44485.810425950018</v>
      </c>
      <c r="AO141" s="1543">
        <f t="shared" si="121"/>
        <v>0</v>
      </c>
      <c r="AV141" s="561"/>
      <c r="AW141" s="561"/>
    </row>
    <row r="142" spans="1:91">
      <c r="A142" s="127">
        <f>'Input data'!A122</f>
        <v>2022</v>
      </c>
      <c r="B142" s="1551">
        <f>'Input data'!B122</f>
        <v>61.14166465104848</v>
      </c>
      <c r="C142" s="1550">
        <f>'Input data'!C122</f>
        <v>4408.5100000000011</v>
      </c>
      <c r="D142" s="1511">
        <f>'Input data'!D122</f>
        <v>50359792.847133137</v>
      </c>
      <c r="E142" s="527">
        <f>'Input data'!J122*C142</f>
        <v>53038.984956262379</v>
      </c>
      <c r="F142" s="528">
        <f>'Input data'!L122</f>
        <v>103398.77780339553</v>
      </c>
      <c r="G142" s="938">
        <f>G137*(1-E4)</f>
        <v>34219.854173807704</v>
      </c>
      <c r="H142" s="528">
        <f t="shared" si="95"/>
        <v>43474.554499121747</v>
      </c>
      <c r="I142" s="530">
        <f t="shared" si="98"/>
        <v>50359.79284713314</v>
      </c>
      <c r="J142" s="649">
        <f t="shared" si="122"/>
        <v>0.19172168528933303</v>
      </c>
      <c r="K142" s="775">
        <f t="shared" si="123"/>
        <v>6555.5329896119965</v>
      </c>
      <c r="L142" s="775">
        <f t="shared" si="99"/>
        <v>0</v>
      </c>
      <c r="M142" s="530">
        <f t="shared" si="124"/>
        <v>6555.5329896119965</v>
      </c>
      <c r="N142" s="1454">
        <f>$E$26</f>
        <v>0.5</v>
      </c>
      <c r="O142" s="530">
        <f t="shared" si="100"/>
        <v>751.91700000000026</v>
      </c>
      <c r="P142" s="1210">
        <f t="shared" si="127"/>
        <v>7307.4499896119969</v>
      </c>
      <c r="Q142" s="1364">
        <f t="shared" si="101"/>
        <v>70386.958683317454</v>
      </c>
      <c r="R142" s="1364">
        <f t="shared" si="125"/>
        <v>36167.104509509751</v>
      </c>
      <c r="S142" s="1514">
        <f t="shared" si="102"/>
        <v>1.2184766534043596</v>
      </c>
      <c r="T142" s="135" t="str">
        <f t="shared" si="103"/>
        <v>No</v>
      </c>
      <c r="U142" s="1514">
        <f t="shared" si="104"/>
        <v>1</v>
      </c>
      <c r="V142" s="1539">
        <f t="shared" si="96"/>
        <v>73716.547611737158</v>
      </c>
      <c r="W142" s="1540">
        <f t="shared" si="97"/>
        <v>0.28706558067926824</v>
      </c>
      <c r="X142" s="527">
        <f t="shared" si="105"/>
        <v>40704.728491659072</v>
      </c>
      <c r="Y142" s="1509">
        <f t="shared" si="106"/>
        <v>13902.327682230418</v>
      </c>
      <c r="Z142" s="1509">
        <f t="shared" si="107"/>
        <v>3148.72204906348</v>
      </c>
      <c r="AA142" s="1509">
        <f t="shared" si="108"/>
        <v>0</v>
      </c>
      <c r="AB142" s="1509">
        <f t="shared" si="109"/>
        <v>15960.769388784185</v>
      </c>
      <c r="AC142" s="1509">
        <f t="shared" si="110"/>
        <v>73716.547611737158</v>
      </c>
      <c r="AD142" s="1554">
        <f t="shared" si="111"/>
        <v>6484.8743178513687</v>
      </c>
      <c r="AE142" s="1504">
        <f t="shared" si="112"/>
        <v>0.55217898572854573</v>
      </c>
      <c r="AF142" s="1504">
        <f t="shared" si="113"/>
        <v>0.18859168168663515</v>
      </c>
      <c r="AG142" s="1504">
        <f t="shared" si="114"/>
        <v>4.2713910934186777E-2</v>
      </c>
      <c r="AH142" s="1504">
        <f t="shared" si="126"/>
        <v>0</v>
      </c>
      <c r="AI142" s="1504">
        <f t="shared" si="115"/>
        <v>0.21651542165063234</v>
      </c>
      <c r="AJ142" s="1541">
        <f t="shared" si="116"/>
        <v>0.99999999999999989</v>
      </c>
      <c r="AK142" s="1555">
        <f t="shared" si="117"/>
        <v>40704.72849165908</v>
      </c>
      <c r="AL142" s="1556">
        <f t="shared" si="118"/>
        <v>0</v>
      </c>
      <c r="AM142" s="1556">
        <f t="shared" si="119"/>
        <v>0</v>
      </c>
      <c r="AN142" s="1556">
        <f t="shared" si="120"/>
        <v>40704.72849165908</v>
      </c>
      <c r="AO142" s="1543">
        <f t="shared" si="121"/>
        <v>0</v>
      </c>
      <c r="AV142" s="561"/>
      <c r="AW142" s="561"/>
    </row>
    <row r="143" spans="1:91">
      <c r="A143" s="127">
        <f>'Input data'!A123</f>
        <v>2023</v>
      </c>
      <c r="B143" s="1551">
        <f>'Input data'!B123</f>
        <v>62.126086164056694</v>
      </c>
      <c r="C143" s="1550">
        <f>'Input data'!C123</f>
        <v>4511.7199999999984</v>
      </c>
      <c r="D143" s="1511">
        <f>'Input data'!D123</f>
        <v>48748213.106871188</v>
      </c>
      <c r="E143" s="527">
        <f>'Input data'!J123*C143</f>
        <v>54280.70917540574</v>
      </c>
      <c r="F143" s="528">
        <f>'Input data'!L123</f>
        <v>103028.92228227694</v>
      </c>
      <c r="G143" s="938">
        <f>($G$147-$G$142)/($A$147-$A$142)+G142</f>
        <v>32166.662923379241</v>
      </c>
      <c r="H143" s="528">
        <f t="shared" si="95"/>
        <v>44727.865295564559</v>
      </c>
      <c r="I143" s="530">
        <f t="shared" si="98"/>
        <v>48748.21310687119</v>
      </c>
      <c r="J143" s="649">
        <f t="shared" si="122"/>
        <v>0.21775647462816641</v>
      </c>
      <c r="K143" s="775">
        <f t="shared" si="123"/>
        <v>7614.8967532916849</v>
      </c>
      <c r="L143" s="775">
        <f t="shared" si="99"/>
        <v>0</v>
      </c>
      <c r="M143" s="530">
        <f t="shared" si="124"/>
        <v>7614.8967532916849</v>
      </c>
      <c r="N143" s="1454">
        <f>($N$147-$N$142)/($A$107-$A$102)+N142</f>
        <v>0.5</v>
      </c>
      <c r="O143" s="530">
        <f t="shared" si="100"/>
        <v>751.91700000000026</v>
      </c>
      <c r="P143" s="1210">
        <f t="shared" si="127"/>
        <v>8366.8137532916844</v>
      </c>
      <c r="Q143" s="1364">
        <f t="shared" si="101"/>
        <v>68527.714465652112</v>
      </c>
      <c r="R143" s="1364">
        <f t="shared" si="125"/>
        <v>36361.051542272871</v>
      </c>
      <c r="S143" s="1514">
        <f t="shared" si="102"/>
        <v>1.1962941968409282</v>
      </c>
      <c r="T143" s="135" t="str">
        <f t="shared" si="103"/>
        <v>No</v>
      </c>
      <c r="U143" s="1514">
        <f t="shared" si="104"/>
        <v>1</v>
      </c>
      <c r="V143" s="1539">
        <f t="shared" si="96"/>
        <v>72634.181892921173</v>
      </c>
      <c r="W143" s="1540">
        <f t="shared" si="97"/>
        <v>0.29501172793092756</v>
      </c>
      <c r="X143" s="527">
        <f t="shared" si="105"/>
        <v>38132.974076296348</v>
      </c>
      <c r="Y143" s="1509">
        <f t="shared" si="106"/>
        <v>14961.937324690805</v>
      </c>
      <c r="Z143" s="1509">
        <f t="shared" si="107"/>
        <v>3204.8349418807438</v>
      </c>
      <c r="AA143" s="1509">
        <f t="shared" si="108"/>
        <v>0</v>
      </c>
      <c r="AB143" s="1509">
        <f t="shared" si="109"/>
        <v>16334.435550053271</v>
      </c>
      <c r="AC143" s="1509">
        <f t="shared" si="110"/>
        <v>72634.181892921173</v>
      </c>
      <c r="AD143" s="1554">
        <f t="shared" si="111"/>
        <v>5966.3111529171074</v>
      </c>
      <c r="AE143" s="1504">
        <f t="shared" si="112"/>
        <v>0.52500039351324668</v>
      </c>
      <c r="AF143" s="1504">
        <f t="shared" si="113"/>
        <v>0.20599030559396958</v>
      </c>
      <c r="AG143" s="1504">
        <f t="shared" si="114"/>
        <v>4.4122957791489663E-2</v>
      </c>
      <c r="AH143" s="1504">
        <f t="shared" si="126"/>
        <v>0</v>
      </c>
      <c r="AI143" s="1504">
        <f t="shared" si="115"/>
        <v>0.22488634310129405</v>
      </c>
      <c r="AJ143" s="1541">
        <f t="shared" si="116"/>
        <v>1</v>
      </c>
      <c r="AK143" s="1555">
        <f t="shared" si="117"/>
        <v>38132.974076296341</v>
      </c>
      <c r="AL143" s="1556">
        <f t="shared" si="118"/>
        <v>0</v>
      </c>
      <c r="AM143" s="1556">
        <f t="shared" si="119"/>
        <v>0</v>
      </c>
      <c r="AN143" s="1556">
        <f>SUM(AK143:AM143)</f>
        <v>38132.974076296341</v>
      </c>
      <c r="AO143" s="1543">
        <f t="shared" si="121"/>
        <v>0</v>
      </c>
      <c r="AV143" s="561"/>
      <c r="AW143" s="561"/>
    </row>
    <row r="144" spans="1:91">
      <c r="A144" s="127">
        <f>'Input data'!A124</f>
        <v>2024</v>
      </c>
      <c r="B144" s="1551">
        <f>'Input data'!B124</f>
        <v>63.126357518916684</v>
      </c>
      <c r="C144" s="1550">
        <f>'Input data'!C124</f>
        <v>4622.4800000000005</v>
      </c>
      <c r="D144" s="1511">
        <f>'Input data'!D124</f>
        <v>46900203.343432628</v>
      </c>
      <c r="E144" s="527">
        <f>'Input data'!J124*C144</f>
        <v>55613.267789031597</v>
      </c>
      <c r="F144" s="1509">
        <f>'Input data'!L124</f>
        <v>102513.47113246423</v>
      </c>
      <c r="G144" s="1557">
        <f t="shared" ref="G144:G146" si="128">($G$147-$G$142)/($A$147-$A$142)+G143</f>
        <v>30113.471672950778</v>
      </c>
      <c r="H144" s="1509">
        <f t="shared" si="95"/>
        <v>45811.419224364581</v>
      </c>
      <c r="I144" s="1511">
        <f t="shared" si="98"/>
        <v>46900.203343432629</v>
      </c>
      <c r="J144" s="1454">
        <f t="shared" si="122"/>
        <v>0.24379126396699979</v>
      </c>
      <c r="K144" s="1512">
        <f t="shared" si="123"/>
        <v>8547.2583979630217</v>
      </c>
      <c r="L144" s="1512">
        <f t="shared" si="99"/>
        <v>0</v>
      </c>
      <c r="M144" s="1511">
        <f t="shared" si="124"/>
        <v>8547.2583979630217</v>
      </c>
      <c r="N144" s="1454">
        <f>($N$147-$N$142)/($A$107-$A$102)+N143</f>
        <v>0.5</v>
      </c>
      <c r="O144" s="530">
        <f t="shared" si="100"/>
        <v>751.91700000000026</v>
      </c>
      <c r="P144" s="1210">
        <f t="shared" si="127"/>
        <v>9299.1753979630212</v>
      </c>
      <c r="Q144" s="1364">
        <f t="shared" si="101"/>
        <v>66625.715499352344</v>
      </c>
      <c r="R144" s="1364">
        <f t="shared" si="125"/>
        <v>36512.243826401565</v>
      </c>
      <c r="S144" s="1514">
        <f t="shared" si="102"/>
        <v>1.1717901058941513</v>
      </c>
      <c r="T144" s="135" t="str">
        <f t="shared" si="103"/>
        <v>No</v>
      </c>
      <c r="U144" s="1514">
        <f t="shared" si="104"/>
        <v>1</v>
      </c>
      <c r="V144" s="1539">
        <f t="shared" si="96"/>
        <v>71354.099123139778</v>
      </c>
      <c r="W144" s="1540">
        <f t="shared" si="97"/>
        <v>0.30395392590951709</v>
      </c>
      <c r="X144" s="527">
        <f t="shared" si="105"/>
        <v>35466.343490027881</v>
      </c>
      <c r="Y144" s="1509">
        <f t="shared" si="106"/>
        <v>15887.266964348062</v>
      </c>
      <c r="Z144" s="1509">
        <f t="shared" si="107"/>
        <v>3265.0525952906887</v>
      </c>
      <c r="AA144" s="1509">
        <f t="shared" si="108"/>
        <v>0</v>
      </c>
      <c r="AB144" s="1509">
        <f t="shared" si="109"/>
        <v>16735.436073473149</v>
      </c>
      <c r="AC144" s="1509">
        <f t="shared" si="110"/>
        <v>71354.099123139778</v>
      </c>
      <c r="AD144" s="1554">
        <f t="shared" si="111"/>
        <v>5352.8718170771026</v>
      </c>
      <c r="AE144" s="1504">
        <f t="shared" si="112"/>
        <v>0.4970470362021055</v>
      </c>
      <c r="AF144" s="1504">
        <f t="shared" si="113"/>
        <v>0.22265387916860269</v>
      </c>
      <c r="AG144" s="1504">
        <f t="shared" si="114"/>
        <v>4.5758444650194574E-2</v>
      </c>
      <c r="AH144" s="1504">
        <f t="shared" si="126"/>
        <v>0</v>
      </c>
      <c r="AI144" s="1504">
        <f t="shared" si="115"/>
        <v>0.2345406399790973</v>
      </c>
      <c r="AJ144" s="1541">
        <f t="shared" si="116"/>
        <v>1</v>
      </c>
      <c r="AK144" s="1555">
        <f t="shared" si="117"/>
        <v>35466.343490027881</v>
      </c>
      <c r="AL144" s="1556">
        <f t="shared" si="118"/>
        <v>0</v>
      </c>
      <c r="AM144" s="1556">
        <f t="shared" si="119"/>
        <v>0</v>
      </c>
      <c r="AN144" s="1556">
        <f t="shared" si="120"/>
        <v>35466.343490027881</v>
      </c>
      <c r="AO144" s="1543">
        <f t="shared" si="121"/>
        <v>0</v>
      </c>
      <c r="AV144" s="561"/>
      <c r="AW144" s="561"/>
    </row>
    <row r="145" spans="1:49">
      <c r="A145" s="127">
        <f>'Input data'!A125</f>
        <v>2025</v>
      </c>
      <c r="B145" s="1551">
        <f>'Input data'!B125</f>
        <v>64.142733908636146</v>
      </c>
      <c r="C145" s="1550">
        <f>'Input data'!C125</f>
        <v>4727.3100000000004</v>
      </c>
      <c r="D145" s="1511">
        <f>'Input data'!D125</f>
        <v>41859241.005426526</v>
      </c>
      <c r="E145" s="527">
        <f>'Input data'!J125*C145</f>
        <v>56874.48230209043</v>
      </c>
      <c r="F145" s="1509">
        <f>'Input data'!L125</f>
        <v>98733.72330751695</v>
      </c>
      <c r="G145" s="1557">
        <f t="shared" si="128"/>
        <v>28060.280422522315</v>
      </c>
      <c r="H145" s="1509">
        <f t="shared" si="95"/>
        <v>43857.601836146532</v>
      </c>
      <c r="I145" s="1511">
        <f t="shared" si="98"/>
        <v>41859.241005426527</v>
      </c>
      <c r="J145" s="1454">
        <f t="shared" si="122"/>
        <v>0.26982605330583315</v>
      </c>
      <c r="K145" s="1512">
        <f t="shared" si="123"/>
        <v>8718.3721716778837</v>
      </c>
      <c r="L145" s="1512">
        <f t="shared" si="99"/>
        <v>0</v>
      </c>
      <c r="M145" s="1511">
        <f t="shared" si="124"/>
        <v>8718.3721716778837</v>
      </c>
      <c r="N145" s="1454">
        <f>($N$147-$N$142)/($A$107-$A$102)+N144</f>
        <v>0.5</v>
      </c>
      <c r="O145" s="530">
        <f t="shared" si="100"/>
        <v>751.91700000000026</v>
      </c>
      <c r="P145" s="1210">
        <f t="shared" si="127"/>
        <v>9470.2891716778831</v>
      </c>
      <c r="Q145" s="1364">
        <f t="shared" si="101"/>
        <v>62447.593086990964</v>
      </c>
      <c r="R145" s="1364">
        <f t="shared" si="125"/>
        <v>34387.312664468649</v>
      </c>
      <c r="S145" s="1514">
        <f t="shared" si="102"/>
        <v>1.0785447295983877</v>
      </c>
      <c r="T145" s="135" t="str">
        <f t="shared" si="103"/>
        <v>No</v>
      </c>
      <c r="U145" s="1514">
        <f t="shared" si="104"/>
        <v>1</v>
      </c>
      <c r="V145" s="1539">
        <f t="shared" si="96"/>
        <v>66850.657431080588</v>
      </c>
      <c r="W145" s="1540">
        <f t="shared" si="97"/>
        <v>0.3229197158617535</v>
      </c>
      <c r="X145" s="527">
        <f t="shared" si="105"/>
        <v>30564.527210554592</v>
      </c>
      <c r="Y145" s="1509">
        <f t="shared" si="106"/>
        <v>15849.116619683167</v>
      </c>
      <c r="Z145" s="1509">
        <f t="shared" si="107"/>
        <v>3322.0462446854558</v>
      </c>
      <c r="AA145" s="1509">
        <f t="shared" si="108"/>
        <v>0</v>
      </c>
      <c r="AB145" s="1509">
        <f t="shared" si="109"/>
        <v>17114.967356157376</v>
      </c>
      <c r="AC145" s="1509">
        <f t="shared" si="110"/>
        <v>66850.657431080588</v>
      </c>
      <c r="AD145" s="1554">
        <f t="shared" si="111"/>
        <v>2504.2467880322765</v>
      </c>
      <c r="AE145" s="1504">
        <f t="shared" si="112"/>
        <v>0.4572060827085353</v>
      </c>
      <c r="AF145" s="1504">
        <f t="shared" si="113"/>
        <v>0.23708243461962583</v>
      </c>
      <c r="AG145" s="1504">
        <f t="shared" si="114"/>
        <v>4.9693546366545549E-2</v>
      </c>
      <c r="AH145" s="1504">
        <f t="shared" si="126"/>
        <v>0</v>
      </c>
      <c r="AI145" s="1504">
        <f t="shared" si="115"/>
        <v>0.25601793630529335</v>
      </c>
      <c r="AJ145" s="1541">
        <f t="shared" si="116"/>
        <v>1</v>
      </c>
      <c r="AK145" s="1555">
        <f t="shared" si="117"/>
        <v>30564.527210554596</v>
      </c>
      <c r="AL145" s="1556">
        <f t="shared" si="118"/>
        <v>0</v>
      </c>
      <c r="AM145" s="1556">
        <f t="shared" si="119"/>
        <v>0</v>
      </c>
      <c r="AN145" s="1556">
        <f t="shared" si="120"/>
        <v>30564.527210554596</v>
      </c>
      <c r="AO145" s="1543">
        <f t="shared" si="121"/>
        <v>0</v>
      </c>
      <c r="AV145" s="561"/>
      <c r="AW145" s="561"/>
    </row>
    <row r="146" spans="1:49">
      <c r="A146" s="127">
        <f>'Input data'!A126</f>
        <v>2026</v>
      </c>
      <c r="B146" s="1551">
        <f>'Input data'!B126</f>
        <v>65.115730264701668</v>
      </c>
      <c r="C146" s="1550">
        <f>'Input data'!C126</f>
        <v>4818.42</v>
      </c>
      <c r="D146" s="1511">
        <f>'Input data'!D126</f>
        <v>37757514.205797322</v>
      </c>
      <c r="E146" s="527">
        <f>'Input data'!J126*C146</f>
        <v>57970.630869149376</v>
      </c>
      <c r="F146" s="1509">
        <f>'Input data'!L126</f>
        <v>95728.145074946689</v>
      </c>
      <c r="G146" s="1557">
        <f t="shared" si="128"/>
        <v>26007.089172093853</v>
      </c>
      <c r="H146" s="1509">
        <f t="shared" si="95"/>
        <v>42690.496147868806</v>
      </c>
      <c r="I146" s="1511">
        <f t="shared" si="98"/>
        <v>37757.514205797321</v>
      </c>
      <c r="J146" s="1454">
        <f t="shared" si="122"/>
        <v>0.2958608426446665</v>
      </c>
      <c r="K146" s="1512">
        <f t="shared" si="123"/>
        <v>8847.0803547534761</v>
      </c>
      <c r="L146" s="1512">
        <f t="shared" si="99"/>
        <v>0</v>
      </c>
      <c r="M146" s="1511">
        <f t="shared" si="124"/>
        <v>8847.0803547534761</v>
      </c>
      <c r="N146" s="1454">
        <f>($N$147-$N$142)/($A$107-$A$102)+N145</f>
        <v>0.5</v>
      </c>
      <c r="O146" s="530">
        <f t="shared" si="100"/>
        <v>751.91700000000026</v>
      </c>
      <c r="P146" s="1210">
        <f t="shared" si="127"/>
        <v>9598.9973547534755</v>
      </c>
      <c r="Q146" s="1364">
        <f t="shared" si="101"/>
        <v>59098.587965209183</v>
      </c>
      <c r="R146" s="1364">
        <f t="shared" si="125"/>
        <v>33091.49879311533</v>
      </c>
      <c r="S146" s="1514">
        <f t="shared" si="102"/>
        <v>1.0178227819034407</v>
      </c>
      <c r="T146" s="135" t="str">
        <f t="shared" si="103"/>
        <v>No</v>
      </c>
      <c r="U146" s="1514">
        <f t="shared" si="104"/>
        <v>1</v>
      </c>
      <c r="V146" s="1539">
        <f t="shared" si="96"/>
        <v>63216.101346439682</v>
      </c>
      <c r="W146" s="1540">
        <f t="shared" si="97"/>
        <v>0.33962889078288261</v>
      </c>
      <c r="X146" s="527">
        <f t="shared" si="105"/>
        <v>26586.544236702161</v>
      </c>
      <c r="Y146" s="1509">
        <f t="shared" si="106"/>
        <v>15813.150333642216</v>
      </c>
      <c r="Z146" s="1509">
        <f t="shared" si="107"/>
        <v>3371.5806470164412</v>
      </c>
      <c r="AA146" s="1509">
        <f t="shared" si="108"/>
        <v>0</v>
      </c>
      <c r="AB146" s="1509">
        <f t="shared" si="109"/>
        <v>17444.826129078869</v>
      </c>
      <c r="AC146" s="1509">
        <f t="shared" si="110"/>
        <v>63216.101346439682</v>
      </c>
      <c r="AD146" s="1554">
        <f t="shared" si="111"/>
        <v>579.45506460830802</v>
      </c>
      <c r="AE146" s="1504">
        <f t="shared" si="112"/>
        <v>0.42056602147926525</v>
      </c>
      <c r="AF146" s="1504">
        <f t="shared" si="113"/>
        <v>0.2501443460896503</v>
      </c>
      <c r="AG146" s="1504">
        <f t="shared" si="114"/>
        <v>5.3334207190971102E-2</v>
      </c>
      <c r="AH146" s="1504">
        <f t="shared" si="126"/>
        <v>0</v>
      </c>
      <c r="AI146" s="1504">
        <f t="shared" si="115"/>
        <v>0.27595542524011341</v>
      </c>
      <c r="AJ146" s="1541">
        <f t="shared" si="116"/>
        <v>1</v>
      </c>
      <c r="AK146" s="1555">
        <f t="shared" si="117"/>
        <v>26586.544236702161</v>
      </c>
      <c r="AL146" s="1556">
        <f t="shared" si="118"/>
        <v>0</v>
      </c>
      <c r="AM146" s="1556">
        <f t="shared" si="119"/>
        <v>0</v>
      </c>
      <c r="AN146" s="1556">
        <f t="shared" si="120"/>
        <v>26586.544236702161</v>
      </c>
      <c r="AO146" s="1543">
        <f t="shared" si="121"/>
        <v>0</v>
      </c>
      <c r="AV146" s="561"/>
      <c r="AW146" s="561"/>
    </row>
    <row r="147" spans="1:49">
      <c r="A147" s="127">
        <f>'Input data'!A127</f>
        <v>2027</v>
      </c>
      <c r="B147" s="1551">
        <f>'Input data'!B127</f>
        <v>66.042835586617315</v>
      </c>
      <c r="C147" s="1550">
        <f>'Input data'!C127</f>
        <v>4908.8799999999992</v>
      </c>
      <c r="D147" s="1511">
        <f>'Input data'!D127</f>
        <v>35019614.880897872</v>
      </c>
      <c r="E147" s="527">
        <f>'Input data'!J127*C147</f>
        <v>59058.959256550894</v>
      </c>
      <c r="F147" s="1509">
        <f>'Input data'!L127</f>
        <v>94078.57413744877</v>
      </c>
      <c r="G147" s="1557">
        <f>G137*(1-E5)</f>
        <v>23953.89792166539</v>
      </c>
      <c r="H147" s="1509">
        <f t="shared" si="95"/>
        <v>42798.790162652185</v>
      </c>
      <c r="I147" s="1511">
        <f t="shared" si="98"/>
        <v>35019.614880897869</v>
      </c>
      <c r="J147" s="1454">
        <f t="shared" si="122"/>
        <v>0.32189563198349985</v>
      </c>
      <c r="K147" s="1512">
        <f t="shared" si="123"/>
        <v>9117.2829615125029</v>
      </c>
      <c r="L147" s="1512">
        <f t="shared" si="99"/>
        <v>0</v>
      </c>
      <c r="M147" s="1511">
        <f t="shared" si="124"/>
        <v>9117.2829615125029</v>
      </c>
      <c r="N147" s="1454">
        <f>$C$27</f>
        <v>0.5</v>
      </c>
      <c r="O147" s="530">
        <f t="shared" si="100"/>
        <v>751.91700000000026</v>
      </c>
      <c r="P147" s="1210">
        <f t="shared" si="127"/>
        <v>9869.1999615125023</v>
      </c>
      <c r="Q147" s="1364">
        <f t="shared" si="101"/>
        <v>56883.488122805073</v>
      </c>
      <c r="R147" s="1364">
        <f t="shared" si="125"/>
        <v>32929.590201139683</v>
      </c>
      <c r="S147" s="1514">
        <f t="shared" si="102"/>
        <v>0.99375480541317152</v>
      </c>
      <c r="T147" s="135" t="str">
        <f t="shared" si="103"/>
        <v>Yes</v>
      </c>
      <c r="U147" s="1514">
        <f t="shared" si="104"/>
        <v>0.99375480541317152</v>
      </c>
      <c r="V147" s="1539">
        <f t="shared" si="96"/>
        <v>61148.983936309101</v>
      </c>
      <c r="W147" s="1540">
        <f t="shared" si="97"/>
        <v>0.35002220753292401</v>
      </c>
      <c r="X147" s="527">
        <f t="shared" si="105"/>
        <v>23953.897921665393</v>
      </c>
      <c r="Y147" s="1509">
        <f t="shared" si="106"/>
        <v>16001.992742737406</v>
      </c>
      <c r="Z147" s="1509">
        <f t="shared" si="107"/>
        <v>3420.7616593626267</v>
      </c>
      <c r="AA147" s="1509">
        <f t="shared" si="108"/>
        <v>0</v>
      </c>
      <c r="AB147" s="1509">
        <f t="shared" si="109"/>
        <v>17772.331612543669</v>
      </c>
      <c r="AC147" s="1509">
        <f t="shared" si="110"/>
        <v>61148.983936309101</v>
      </c>
      <c r="AD147" s="1554">
        <f t="shared" si="111"/>
        <v>0</v>
      </c>
      <c r="AE147" s="1504">
        <f t="shared" si="112"/>
        <v>0.39173010538678837</v>
      </c>
      <c r="AF147" s="1504">
        <f t="shared" si="113"/>
        <v>0.26168861218372147</v>
      </c>
      <c r="AG147" s="1504">
        <f t="shared" si="114"/>
        <v>5.5941430898109226E-2</v>
      </c>
      <c r="AH147" s="1504">
        <f t="shared" si="126"/>
        <v>0</v>
      </c>
      <c r="AI147" s="1504">
        <f t="shared" si="115"/>
        <v>0.29063985153138083</v>
      </c>
      <c r="AJ147" s="1541">
        <f t="shared" si="116"/>
        <v>0.99999999999999989</v>
      </c>
      <c r="AK147" s="1555">
        <f t="shared" si="117"/>
        <v>23746.953816992478</v>
      </c>
      <c r="AL147" s="1556">
        <f t="shared" si="118"/>
        <v>196.85160556739265</v>
      </c>
      <c r="AM147" s="1556">
        <f t="shared" si="119"/>
        <v>10.092499105524491</v>
      </c>
      <c r="AN147" s="1556">
        <f t="shared" si="120"/>
        <v>23953.897921665397</v>
      </c>
      <c r="AO147" s="1543">
        <f t="shared" si="121"/>
        <v>0</v>
      </c>
      <c r="AV147" s="561"/>
      <c r="AW147" s="561"/>
    </row>
    <row r="148" spans="1:49">
      <c r="A148" s="127">
        <f>'Input data'!A128</f>
        <v>2028</v>
      </c>
      <c r="B148" s="1551">
        <f>'Input data'!B128</f>
        <v>66.921626677758155</v>
      </c>
      <c r="C148" s="1550">
        <f>'Input data'!C128</f>
        <v>5001.3400000000011</v>
      </c>
      <c r="D148" s="1511">
        <f>'Input data'!D128</f>
        <v>32897025.730580334</v>
      </c>
      <c r="E148" s="527">
        <f>'Input data'!J128*C148</f>
        <v>60171.349735206066</v>
      </c>
      <c r="F148" s="1509">
        <f>'Input data'!L128</f>
        <v>93068.375465786405</v>
      </c>
      <c r="G148" s="1557">
        <f>($G$152-$G$147)/($A$152-$A$147)+G147</f>
        <v>21900.706671236927</v>
      </c>
      <c r="H148" s="1509">
        <f t="shared" si="95"/>
        <v>43498.330401514526</v>
      </c>
      <c r="I148" s="1511">
        <f t="shared" si="98"/>
        <v>32897.025730580332</v>
      </c>
      <c r="J148" s="1454">
        <f t="shared" si="122"/>
        <v>0.34793042132233321</v>
      </c>
      <c r="K148" s="1512">
        <f t="shared" si="123"/>
        <v>9421.1384824682391</v>
      </c>
      <c r="L148" s="1512">
        <f t="shared" si="99"/>
        <v>0</v>
      </c>
      <c r="M148" s="1511">
        <f t="shared" si="124"/>
        <v>9421.1384824682391</v>
      </c>
      <c r="N148" s="1454">
        <f>N147</f>
        <v>0.5</v>
      </c>
      <c r="O148" s="530">
        <f t="shared" si="100"/>
        <v>751.91700000000026</v>
      </c>
      <c r="P148" s="1210">
        <f t="shared" si="127"/>
        <v>10173.055482468239</v>
      </c>
      <c r="Q148" s="1364">
        <f t="shared" si="101"/>
        <v>55225.981590283212</v>
      </c>
      <c r="R148" s="1364">
        <f t="shared" si="125"/>
        <v>33325.274919046286</v>
      </c>
      <c r="S148" s="1514">
        <f t="shared" si="102"/>
        <v>0.98668958694111608</v>
      </c>
      <c r="T148" s="135" t="str">
        <f t="shared" si="103"/>
        <v>Yes</v>
      </c>
      <c r="U148" s="1514">
        <f t="shared" si="104"/>
        <v>0.98668958694111608</v>
      </c>
      <c r="V148" s="1539">
        <f t="shared" si="96"/>
        <v>59743.100546740112</v>
      </c>
      <c r="W148" s="1540">
        <f t="shared" si="97"/>
        <v>0.35807302697893617</v>
      </c>
      <c r="X148" s="527">
        <f t="shared" si="105"/>
        <v>21900.706671236927</v>
      </c>
      <c r="Y148" s="1509">
        <f t="shared" si="106"/>
        <v>16264.285863350544</v>
      </c>
      <c r="Z148" s="1509">
        <f t="shared" si="107"/>
        <v>3471.0300255081979</v>
      </c>
      <c r="AA148" s="1509">
        <f t="shared" si="108"/>
        <v>0</v>
      </c>
      <c r="AB148" s="1509">
        <f t="shared" si="109"/>
        <v>18107.077986644446</v>
      </c>
      <c r="AC148" s="1509">
        <f t="shared" si="110"/>
        <v>59743.100546740112</v>
      </c>
      <c r="AD148" s="1554">
        <f t="shared" si="111"/>
        <v>0</v>
      </c>
      <c r="AE148" s="1504">
        <f t="shared" si="112"/>
        <v>0.36658135367619349</v>
      </c>
      <c r="AF148" s="1504">
        <f t="shared" si="113"/>
        <v>0.27223705690711775</v>
      </c>
      <c r="AG148" s="1504">
        <f t="shared" si="114"/>
        <v>5.8099261567327462E-2</v>
      </c>
      <c r="AH148" s="1504">
        <f t="shared" si="126"/>
        <v>0</v>
      </c>
      <c r="AI148" s="1504">
        <f t="shared" si="115"/>
        <v>0.30308232784936134</v>
      </c>
      <c r="AJ148" s="1541">
        <f t="shared" si="116"/>
        <v>1</v>
      </c>
      <c r="AK148" s="1555">
        <f t="shared" si="117"/>
        <v>21451.149707887878</v>
      </c>
      <c r="AL148" s="1556">
        <f t="shared" si="118"/>
        <v>427.45311251863677</v>
      </c>
      <c r="AM148" s="1556">
        <f t="shared" si="119"/>
        <v>22.103850830406991</v>
      </c>
      <c r="AN148" s="1556">
        <f t="shared" si="120"/>
        <v>21900.706671236923</v>
      </c>
      <c r="AO148" s="1543">
        <f t="shared" si="121"/>
        <v>0</v>
      </c>
      <c r="AV148" s="561"/>
      <c r="AW148" s="561"/>
    </row>
    <row r="149" spans="1:49">
      <c r="A149" s="127">
        <f>'Input data'!A129</f>
        <v>2029</v>
      </c>
      <c r="B149" s="1551">
        <f>'Input data'!B129</f>
        <v>67.749778587208695</v>
      </c>
      <c r="C149" s="1550">
        <f>'Input data'!C129</f>
        <v>5124.16</v>
      </c>
      <c r="D149" s="1511">
        <f>'Input data'!D129</f>
        <v>31986451.408819646</v>
      </c>
      <c r="E149" s="527">
        <f>'Input data'!J129*C149</f>
        <v>61649.00275909125</v>
      </c>
      <c r="F149" s="1509">
        <f>'Input data'!L129</f>
        <v>93635.454167910895</v>
      </c>
      <c r="G149" s="1557">
        <f t="shared" ref="G149:G151" si="129">($G$152-$G$147)/($A$152-$A$147)+G148</f>
        <v>19847.515420808464</v>
      </c>
      <c r="H149" s="1509">
        <f t="shared" si="95"/>
        <v>45544.878946119388</v>
      </c>
      <c r="I149" s="1511">
        <f t="shared" si="98"/>
        <v>31986.451408819645</v>
      </c>
      <c r="J149" s="1454">
        <f t="shared" si="122"/>
        <v>0.37396521066116656</v>
      </c>
      <c r="K149" s="1512">
        <f t="shared" si="123"/>
        <v>9993.1262895053915</v>
      </c>
      <c r="L149" s="1512">
        <f t="shared" si="99"/>
        <v>0</v>
      </c>
      <c r="M149" s="1511">
        <f t="shared" si="124"/>
        <v>9993.1262895053915</v>
      </c>
      <c r="N149" s="1454">
        <f t="shared" ref="N149:N170" si="130">N148</f>
        <v>0.5</v>
      </c>
      <c r="O149" s="530">
        <f t="shared" si="100"/>
        <v>751.91700000000026</v>
      </c>
      <c r="P149" s="1210">
        <f t="shared" si="127"/>
        <v>10745.043289505391</v>
      </c>
      <c r="Q149" s="1364">
        <f t="shared" si="101"/>
        <v>54647.351077422463</v>
      </c>
      <c r="R149" s="1364">
        <f t="shared" si="125"/>
        <v>34799.835656613999</v>
      </c>
      <c r="S149" s="1514">
        <f t="shared" si="102"/>
        <v>1.0051155989507035</v>
      </c>
      <c r="T149" s="135" t="str">
        <f t="shared" si="103"/>
        <v>No</v>
      </c>
      <c r="U149" s="1514">
        <f t="shared" si="104"/>
        <v>1</v>
      </c>
      <c r="V149" s="1539">
        <f t="shared" si="96"/>
        <v>59012.734459905667</v>
      </c>
      <c r="W149" s="1540">
        <f t="shared" si="97"/>
        <v>0.36976079216659063</v>
      </c>
      <c r="X149" s="527">
        <f t="shared" si="105"/>
        <v>20024.631369417235</v>
      </c>
      <c r="Y149" s="1509">
        <f t="shared" si="106"/>
        <v>16898.557587560812</v>
      </c>
      <c r="Z149" s="1509">
        <f t="shared" si="107"/>
        <v>3537.8044223284328</v>
      </c>
      <c r="AA149" s="1509">
        <f t="shared" si="108"/>
        <v>0</v>
      </c>
      <c r="AB149" s="1509">
        <f t="shared" si="109"/>
        <v>18551.741080599193</v>
      </c>
      <c r="AC149" s="1509">
        <f t="shared" si="110"/>
        <v>59012.734459905667</v>
      </c>
      <c r="AD149" s="1554">
        <f t="shared" si="111"/>
        <v>177.11594860877085</v>
      </c>
      <c r="AE149" s="1504">
        <f t="shared" si="112"/>
        <v>0.33932729185803678</v>
      </c>
      <c r="AF149" s="1504">
        <f t="shared" si="113"/>
        <v>0.28635442404455941</v>
      </c>
      <c r="AG149" s="1504">
        <f t="shared" si="114"/>
        <v>5.9949847345780627E-2</v>
      </c>
      <c r="AH149" s="1504">
        <f t="shared" si="126"/>
        <v>0</v>
      </c>
      <c r="AI149" s="1504">
        <f t="shared" si="115"/>
        <v>0.31436843675162324</v>
      </c>
      <c r="AJ149" s="1541">
        <f t="shared" si="116"/>
        <v>1.0000000000000002</v>
      </c>
      <c r="AK149" s="1555">
        <f t="shared" si="117"/>
        <v>20024.631369417239</v>
      </c>
      <c r="AL149" s="1556">
        <f t="shared" si="118"/>
        <v>0</v>
      </c>
      <c r="AM149" s="1556">
        <f t="shared" si="119"/>
        <v>0</v>
      </c>
      <c r="AN149" s="1556">
        <f t="shared" si="120"/>
        <v>20024.631369417239</v>
      </c>
      <c r="AO149" s="1543">
        <f t="shared" si="121"/>
        <v>0</v>
      </c>
      <c r="AV149" s="561"/>
      <c r="AW149" s="561"/>
    </row>
    <row r="150" spans="1:49">
      <c r="A150" s="127">
        <f>'Input data'!A130</f>
        <v>2030</v>
      </c>
      <c r="B150" s="1551">
        <f>'Input data'!B130</f>
        <v>68.525074762177482</v>
      </c>
      <c r="C150" s="1550">
        <f>'Input data'!C130</f>
        <v>5234.6499999999996</v>
      </c>
      <c r="D150" s="1511">
        <f>'Input data'!D130</f>
        <v>29783743.542171866</v>
      </c>
      <c r="E150" s="527">
        <f>'Input data'!J130*C150</f>
        <v>62978.312990397841</v>
      </c>
      <c r="F150" s="1509">
        <f>'Input data'!L130</f>
        <v>92762.05653256971</v>
      </c>
      <c r="G150" s="1557">
        <f t="shared" si="129"/>
        <v>17794.324170380001</v>
      </c>
      <c r="H150" s="1509">
        <f t="shared" si="95"/>
        <v>46293.701692944283</v>
      </c>
      <c r="I150" s="1511">
        <f t="shared" si="98"/>
        <v>29783.743542171866</v>
      </c>
      <c r="J150" s="1454">
        <f>$H$19</f>
        <v>0.4</v>
      </c>
      <c r="K150" s="1512">
        <f t="shared" si="123"/>
        <v>10080.375354949685</v>
      </c>
      <c r="L150" s="1512">
        <f t="shared" si="99"/>
        <v>0</v>
      </c>
      <c r="M150" s="1511">
        <f t="shared" si="124"/>
        <v>10080.375354949685</v>
      </c>
      <c r="N150" s="1454">
        <f t="shared" si="130"/>
        <v>0.5</v>
      </c>
      <c r="O150" s="530">
        <f t="shared" si="100"/>
        <v>751.91700000000026</v>
      </c>
      <c r="P150" s="1210">
        <f t="shared" si="127"/>
        <v>10832.292354949685</v>
      </c>
      <c r="Q150" s="1364">
        <f t="shared" si="101"/>
        <v>53255.7335083746</v>
      </c>
      <c r="R150" s="1364">
        <f t="shared" si="125"/>
        <v>35461.409337994599</v>
      </c>
      <c r="S150" s="1514">
        <f t="shared" si="102"/>
        <v>1.002145567591064</v>
      </c>
      <c r="T150" s="135" t="str">
        <f t="shared" si="103"/>
        <v>No</v>
      </c>
      <c r="U150" s="1514">
        <f t="shared" si="104"/>
        <v>1</v>
      </c>
      <c r="V150" s="1539">
        <f t="shared" si="96"/>
        <v>57376.569149498231</v>
      </c>
      <c r="W150" s="1540">
        <f t="shared" si="97"/>
        <v>0.38146510228185027</v>
      </c>
      <c r="X150" s="527">
        <f t="shared" si="105"/>
        <v>17870.246125303118</v>
      </c>
      <c r="Y150" s="1509">
        <f t="shared" si="106"/>
        <v>16956.68365743645</v>
      </c>
      <c r="Z150" s="1509">
        <f t="shared" si="107"/>
        <v>3597.8752829754594</v>
      </c>
      <c r="AA150" s="1509">
        <f t="shared" si="108"/>
        <v>0</v>
      </c>
      <c r="AB150" s="1509">
        <f t="shared" si="109"/>
        <v>18951.764083783208</v>
      </c>
      <c r="AC150" s="1509">
        <f t="shared" si="110"/>
        <v>57376.569149498231</v>
      </c>
      <c r="AD150" s="1554">
        <f t="shared" si="111"/>
        <v>75.921954923116573</v>
      </c>
      <c r="AE150" s="1504">
        <f t="shared" si="112"/>
        <v>0.311455466755795</v>
      </c>
      <c r="AF150" s="1504">
        <f t="shared" si="113"/>
        <v>0.29553324482080401</v>
      </c>
      <c r="AG150" s="1504">
        <f t="shared" si="114"/>
        <v>6.2706350977538766E-2</v>
      </c>
      <c r="AH150" s="1504">
        <f t="shared" si="126"/>
        <v>0</v>
      </c>
      <c r="AI150" s="1504">
        <f t="shared" si="115"/>
        <v>0.33030493744586231</v>
      </c>
      <c r="AJ150" s="1541">
        <f t="shared" si="116"/>
        <v>1</v>
      </c>
      <c r="AK150" s="1555">
        <f t="shared" si="117"/>
        <v>17870.246125303122</v>
      </c>
      <c r="AL150" s="1556">
        <f t="shared" si="118"/>
        <v>0</v>
      </c>
      <c r="AM150" s="1556">
        <f t="shared" si="119"/>
        <v>0</v>
      </c>
      <c r="AN150" s="1556">
        <f t="shared" si="120"/>
        <v>17870.246125303122</v>
      </c>
      <c r="AO150" s="1543">
        <f t="shared" si="121"/>
        <v>0</v>
      </c>
      <c r="AV150" s="561"/>
      <c r="AW150" s="561"/>
    </row>
    <row r="151" spans="1:49">
      <c r="A151" s="127">
        <f>'Input data'!A131</f>
        <v>2031</v>
      </c>
      <c r="B151" s="1551">
        <f>'Input data'!B131</f>
        <v>69.286388472916428</v>
      </c>
      <c r="C151" s="1550">
        <f>'Input data'!C131</f>
        <v>5365.4400000000005</v>
      </c>
      <c r="D151" s="1511">
        <f>'Input data'!D131</f>
        <v>28782558.928955987</v>
      </c>
      <c r="E151" s="527">
        <f>'Input data'!J131*C151</f>
        <v>64551.853447928748</v>
      </c>
      <c r="F151" s="1509">
        <f>'Input data'!L131</f>
        <v>93334.412376884735</v>
      </c>
      <c r="G151" s="1557">
        <f t="shared" si="129"/>
        <v>15741.132919951538</v>
      </c>
      <c r="H151" s="1509">
        <f t="shared" si="95"/>
        <v>48310.237696745928</v>
      </c>
      <c r="I151" s="1511">
        <f t="shared" si="98"/>
        <v>28782.558928955987</v>
      </c>
      <c r="J151" s="1454">
        <f>J150</f>
        <v>0.4</v>
      </c>
      <c r="K151" s="1512">
        <f t="shared" si="123"/>
        <v>9741.5221585230465</v>
      </c>
      <c r="L151" s="1512">
        <f t="shared" si="99"/>
        <v>0</v>
      </c>
      <c r="M151" s="1511">
        <f t="shared" si="124"/>
        <v>9741.5221585230465</v>
      </c>
      <c r="N151" s="1454">
        <f t="shared" si="130"/>
        <v>0.5</v>
      </c>
      <c r="O151" s="530">
        <f t="shared" si="100"/>
        <v>751.91700000000026</v>
      </c>
      <c r="P151" s="1210">
        <f t="shared" si="127"/>
        <v>10493.439158523046</v>
      </c>
      <c r="Q151" s="1364">
        <f t="shared" si="101"/>
        <v>53557.931458174418</v>
      </c>
      <c r="R151" s="1364">
        <f t="shared" si="125"/>
        <v>37816.79853822288</v>
      </c>
      <c r="S151" s="1514">
        <f t="shared" si="102"/>
        <v>1.0421182141303931</v>
      </c>
      <c r="T151" s="135" t="str">
        <f t="shared" si="103"/>
        <v>No</v>
      </c>
      <c r="U151" s="1514">
        <f t="shared" si="104"/>
        <v>1</v>
      </c>
      <c r="V151" s="1539">
        <f t="shared" si="96"/>
        <v>57046.016276083916</v>
      </c>
      <c r="W151" s="1540">
        <f t="shared" si="97"/>
        <v>0.38879974895291702</v>
      </c>
      <c r="X151" s="527">
        <f t="shared" si="105"/>
        <v>17269.535357373592</v>
      </c>
      <c r="Y151" s="1509">
        <f t="shared" si="106"/>
        <v>16682.216007101786</v>
      </c>
      <c r="Z151" s="1509">
        <f t="shared" si="107"/>
        <v>3668.9827846862445</v>
      </c>
      <c r="AA151" s="1509">
        <f t="shared" si="108"/>
        <v>0</v>
      </c>
      <c r="AB151" s="1509">
        <f t="shared" si="109"/>
        <v>19425.282126922295</v>
      </c>
      <c r="AC151" s="1509">
        <f t="shared" si="110"/>
        <v>57046.016276083916</v>
      </c>
      <c r="AD151" s="1554">
        <f t="shared" si="111"/>
        <v>1528.4024374220535</v>
      </c>
      <c r="AE151" s="1504">
        <f t="shared" si="112"/>
        <v>0.30272990972401531</v>
      </c>
      <c r="AF151" s="1504">
        <f t="shared" si="113"/>
        <v>0.29243437309216053</v>
      </c>
      <c r="AG151" s="1504">
        <f t="shared" si="114"/>
        <v>6.4316196365572259E-2</v>
      </c>
      <c r="AH151" s="1504">
        <f t="shared" si="126"/>
        <v>0</v>
      </c>
      <c r="AI151" s="1504">
        <f t="shared" si="115"/>
        <v>0.34051952081825193</v>
      </c>
      <c r="AJ151" s="1541">
        <f t="shared" si="116"/>
        <v>1</v>
      </c>
      <c r="AK151" s="1555">
        <f t="shared" si="117"/>
        <v>17269.535357373592</v>
      </c>
      <c r="AL151" s="1556">
        <f t="shared" si="118"/>
        <v>0</v>
      </c>
      <c r="AM151" s="1556">
        <f t="shared" si="119"/>
        <v>0</v>
      </c>
      <c r="AN151" s="1556">
        <f t="shared" si="120"/>
        <v>17269.535357373592</v>
      </c>
      <c r="AO151" s="1543">
        <f t="shared" si="121"/>
        <v>0</v>
      </c>
      <c r="AV151" s="561"/>
      <c r="AW151" s="561"/>
    </row>
    <row r="152" spans="1:49">
      <c r="A152" s="127">
        <f>'Input data'!A132</f>
        <v>2032</v>
      </c>
      <c r="B152" s="1551">
        <f>'Input data'!B132</f>
        <v>70.033051881823098</v>
      </c>
      <c r="C152" s="1550">
        <f>'Input data'!C132</f>
        <v>5502.3</v>
      </c>
      <c r="D152" s="1511">
        <f>'Input data'!D132</f>
        <v>27987384.812012181</v>
      </c>
      <c r="E152" s="527">
        <f>'Input data'!J132*C152</f>
        <v>66198.422352414404</v>
      </c>
      <c r="F152" s="1509">
        <f>'Input data'!L132</f>
        <v>94185.807164426587</v>
      </c>
      <c r="G152" s="1557">
        <f>G137*(1-E6)</f>
        <v>13687.941669523079</v>
      </c>
      <c r="H152" s="1509">
        <f t="shared" si="95"/>
        <v>50562.008959453378</v>
      </c>
      <c r="I152" s="1511">
        <f t="shared" si="98"/>
        <v>27987.38481201218</v>
      </c>
      <c r="J152" s="1454">
        <f t="shared" ref="J152:J170" si="131">J151</f>
        <v>0.4</v>
      </c>
      <c r="K152" s="1512">
        <f t="shared" si="123"/>
        <v>9472.3936804328241</v>
      </c>
      <c r="L152" s="1512">
        <f t="shared" si="99"/>
        <v>0</v>
      </c>
      <c r="M152" s="1511">
        <f t="shared" si="124"/>
        <v>9472.3936804328241</v>
      </c>
      <c r="N152" s="1454">
        <f t="shared" si="130"/>
        <v>0.5</v>
      </c>
      <c r="O152" s="530">
        <f t="shared" si="100"/>
        <v>751.91700000000026</v>
      </c>
      <c r="P152" s="1210">
        <f t="shared" si="127"/>
        <v>10224.310680432824</v>
      </c>
      <c r="Q152" s="1364">
        <f t="shared" si="101"/>
        <v>54025.639948543627</v>
      </c>
      <c r="R152" s="1364">
        <f t="shared" si="125"/>
        <v>40337.698279020551</v>
      </c>
      <c r="S152" s="1514">
        <f t="shared" si="102"/>
        <v>1.0833795768871288</v>
      </c>
      <c r="T152" s="135" t="str">
        <f t="shared" si="103"/>
        <v>No</v>
      </c>
      <c r="U152" s="1514">
        <f t="shared" si="104"/>
        <v>1</v>
      </c>
      <c r="V152" s="1539">
        <f t="shared" si="96"/>
        <v>56952.598103090262</v>
      </c>
      <c r="W152" s="1540">
        <f t="shared" si="97"/>
        <v>0.39531655758213946</v>
      </c>
      <c r="X152" s="527">
        <f t="shared" si="105"/>
        <v>16792.430887207309</v>
      </c>
      <c r="Y152" s="1509">
        <f t="shared" si="106"/>
        <v>16496.000537563257</v>
      </c>
      <c r="Z152" s="1509">
        <f t="shared" si="107"/>
        <v>3743.3904051781628</v>
      </c>
      <c r="AA152" s="1509">
        <f t="shared" si="108"/>
        <v>0</v>
      </c>
      <c r="AB152" s="1509">
        <f t="shared" si="109"/>
        <v>19920.776273141539</v>
      </c>
      <c r="AC152" s="1509">
        <f t="shared" si="110"/>
        <v>56952.598103090262</v>
      </c>
      <c r="AD152" s="1554">
        <f t="shared" si="111"/>
        <v>3104.4892176842295</v>
      </c>
      <c r="AE152" s="1504">
        <f t="shared" si="112"/>
        <v>0.29484925089477432</v>
      </c>
      <c r="AF152" s="1504">
        <f t="shared" si="113"/>
        <v>0.28964439001893716</v>
      </c>
      <c r="AG152" s="1504">
        <f t="shared" si="114"/>
        <v>6.5728176235300584E-2</v>
      </c>
      <c r="AH152" s="1504">
        <f t="shared" si="126"/>
        <v>0</v>
      </c>
      <c r="AI152" s="1504">
        <f t="shared" si="115"/>
        <v>0.349778182850988</v>
      </c>
      <c r="AJ152" s="1541">
        <f t="shared" si="116"/>
        <v>1</v>
      </c>
      <c r="AK152" s="1555">
        <f t="shared" si="117"/>
        <v>16792.430887207309</v>
      </c>
      <c r="AL152" s="1556">
        <f t="shared" si="118"/>
        <v>0</v>
      </c>
      <c r="AM152" s="1556">
        <f t="shared" si="119"/>
        <v>0</v>
      </c>
      <c r="AN152" s="1556">
        <f t="shared" si="120"/>
        <v>16792.430887207309</v>
      </c>
      <c r="AO152" s="1543">
        <f t="shared" si="121"/>
        <v>0</v>
      </c>
      <c r="AV152" s="561"/>
      <c r="AW152" s="561"/>
    </row>
    <row r="153" spans="1:49">
      <c r="A153" s="127">
        <f>'Input data'!A133</f>
        <v>2033</v>
      </c>
      <c r="B153" s="1551">
        <f>'Input data'!B133</f>
        <v>70.764404167450692</v>
      </c>
      <c r="C153" s="1550">
        <f>'Input data'!C133</f>
        <v>5663.260000000002</v>
      </c>
      <c r="D153" s="1511">
        <f>'Input data'!D133</f>
        <v>28989172.151095852</v>
      </c>
      <c r="E153" s="527">
        <f>'Input data'!J133*C153</f>
        <v>68134.939456506283</v>
      </c>
      <c r="F153" s="1509">
        <f>'Input data'!L133</f>
        <v>97124.111607602128</v>
      </c>
      <c r="G153" s="1557">
        <f>G152</f>
        <v>13687.941669523079</v>
      </c>
      <c r="H153" s="1509">
        <f t="shared" si="95"/>
        <v>52613.325855088377</v>
      </c>
      <c r="I153" s="1511">
        <f t="shared" si="98"/>
        <v>28989.172151095852</v>
      </c>
      <c r="J153" s="1454">
        <f t="shared" si="131"/>
        <v>0.4</v>
      </c>
      <c r="K153" s="1512">
        <f t="shared" si="123"/>
        <v>9811.4508707924233</v>
      </c>
      <c r="L153" s="1512">
        <f t="shared" si="99"/>
        <v>0</v>
      </c>
      <c r="M153" s="1511">
        <f t="shared" si="124"/>
        <v>9811.4508707924233</v>
      </c>
      <c r="N153" s="1454">
        <f t="shared" si="130"/>
        <v>0.5</v>
      </c>
      <c r="O153" s="530">
        <f t="shared" si="100"/>
        <v>751.91700000000026</v>
      </c>
      <c r="P153" s="1210">
        <f t="shared" si="127"/>
        <v>10563.367870792423</v>
      </c>
      <c r="Q153" s="1364">
        <f t="shared" si="101"/>
        <v>55737.899653819026</v>
      </c>
      <c r="R153" s="1364">
        <f t="shared" si="125"/>
        <v>42049.95798429595</v>
      </c>
      <c r="S153" s="1514">
        <f t="shared" si="102"/>
        <v>1.0966389348273706</v>
      </c>
      <c r="T153" s="135" t="str">
        <f t="shared" si="103"/>
        <v>No</v>
      </c>
      <c r="U153" s="1514">
        <f t="shared" si="104"/>
        <v>1</v>
      </c>
      <c r="V153" s="1539">
        <f t="shared" si="96"/>
        <v>58779.715244440624</v>
      </c>
      <c r="W153" s="1540">
        <f t="shared" si="97"/>
        <v>0.39479791092534633</v>
      </c>
      <c r="X153" s="527">
        <f t="shared" si="105"/>
        <v>17393.503290657511</v>
      </c>
      <c r="Y153" s="1509">
        <f t="shared" si="106"/>
        <v>17051.788163306242</v>
      </c>
      <c r="Z153" s="1509">
        <f t="shared" si="107"/>
        <v>3830.9006389526726</v>
      </c>
      <c r="AA153" s="1509">
        <f t="shared" si="108"/>
        <v>0</v>
      </c>
      <c r="AB153" s="1509">
        <f t="shared" si="109"/>
        <v>20503.523151524198</v>
      </c>
      <c r="AC153" s="1509">
        <f t="shared" si="110"/>
        <v>58779.715244440624</v>
      </c>
      <c r="AD153" s="1554">
        <f t="shared" si="111"/>
        <v>3705.5616211344313</v>
      </c>
      <c r="AE153" s="1504">
        <f t="shared" si="112"/>
        <v>0.29590996176699896</v>
      </c>
      <c r="AF153" s="1504">
        <f t="shared" si="113"/>
        <v>0.29009647447924647</v>
      </c>
      <c r="AG153" s="1504">
        <f t="shared" si="114"/>
        <v>6.5173855011402063E-2</v>
      </c>
      <c r="AH153" s="1504">
        <f t="shared" si="126"/>
        <v>0</v>
      </c>
      <c r="AI153" s="1504">
        <f t="shared" si="115"/>
        <v>0.34881970874235252</v>
      </c>
      <c r="AJ153" s="1541">
        <f t="shared" si="116"/>
        <v>1</v>
      </c>
      <c r="AK153" s="1555">
        <f t="shared" si="117"/>
        <v>17393.503290657514</v>
      </c>
      <c r="AL153" s="1556">
        <f t="shared" si="118"/>
        <v>0</v>
      </c>
      <c r="AM153" s="1556">
        <f t="shared" si="119"/>
        <v>0</v>
      </c>
      <c r="AN153" s="1556">
        <f t="shared" si="120"/>
        <v>17393.503290657514</v>
      </c>
      <c r="AO153" s="1543">
        <f t="shared" si="121"/>
        <v>0</v>
      </c>
      <c r="AV153" s="561"/>
      <c r="AW153" s="561"/>
    </row>
    <row r="154" spans="1:49">
      <c r="A154" s="127">
        <f>'Input data'!A134</f>
        <v>2034</v>
      </c>
      <c r="B154" s="1551">
        <f>'Input data'!B134</f>
        <v>71.479792486390252</v>
      </c>
      <c r="C154" s="1550">
        <f>'Input data'!C134</f>
        <v>5838.79</v>
      </c>
      <c r="D154" s="1511">
        <f>'Input data'!D134</f>
        <v>30478258.098855209</v>
      </c>
      <c r="E154" s="527">
        <f>'Input data'!J134*C154</f>
        <v>70246.748895380792</v>
      </c>
      <c r="F154" s="1509">
        <f>'Input data'!L134</f>
        <v>100725.006994236</v>
      </c>
      <c r="G154" s="1557">
        <f t="shared" ref="G154:G170" si="132">G153</f>
        <v>13687.941669523079</v>
      </c>
      <c r="H154" s="1509">
        <f t="shared" si="95"/>
        <v>55222.533221748541</v>
      </c>
      <c r="I154" s="1511">
        <f t="shared" si="98"/>
        <v>30478.258098855207</v>
      </c>
      <c r="J154" s="1454">
        <f t="shared" si="131"/>
        <v>0.4</v>
      </c>
      <c r="K154" s="1512">
        <f t="shared" si="123"/>
        <v>10315.435377237738</v>
      </c>
      <c r="L154" s="1512">
        <f t="shared" si="99"/>
        <v>0</v>
      </c>
      <c r="M154" s="1511">
        <f t="shared" si="124"/>
        <v>10315.435377237738</v>
      </c>
      <c r="N154" s="1454">
        <f t="shared" si="130"/>
        <v>0.5</v>
      </c>
      <c r="O154" s="530">
        <f t="shared" si="100"/>
        <v>751.91700000000026</v>
      </c>
      <c r="P154" s="1210">
        <f t="shared" si="127"/>
        <v>11067.352377237738</v>
      </c>
      <c r="Q154" s="1364">
        <f t="shared" si="101"/>
        <v>57843.122514033879</v>
      </c>
      <c r="R154" s="1364">
        <f t="shared" si="125"/>
        <v>44155.180844510804</v>
      </c>
      <c r="S154" s="1514">
        <f t="shared" si="102"/>
        <v>1.1162653882432207</v>
      </c>
      <c r="T154" s="135" t="str">
        <f t="shared" si="103"/>
        <v>No</v>
      </c>
      <c r="U154" s="1514">
        <f t="shared" si="104"/>
        <v>1</v>
      </c>
      <c r="V154" s="1539">
        <f t="shared" si="96"/>
        <v>61168.839339515267</v>
      </c>
      <c r="W154" s="1540">
        <f t="shared" si="97"/>
        <v>0.39271446917828801</v>
      </c>
      <c r="X154" s="527">
        <f t="shared" si="105"/>
        <v>18286.954859313122</v>
      </c>
      <c r="Y154" s="1509">
        <f t="shared" si="106"/>
        <v>17816.532316856574</v>
      </c>
      <c r="Z154" s="1509">
        <f t="shared" si="107"/>
        <v>3926.3322451557001</v>
      </c>
      <c r="AA154" s="1509">
        <f t="shared" si="108"/>
        <v>0</v>
      </c>
      <c r="AB154" s="1509">
        <f t="shared" si="109"/>
        <v>21139.019918189864</v>
      </c>
      <c r="AC154" s="1509">
        <f t="shared" si="110"/>
        <v>61168.839339515267</v>
      </c>
      <c r="AD154" s="1554">
        <f t="shared" si="111"/>
        <v>4599.0131897900428</v>
      </c>
      <c r="AE154" s="1504">
        <f t="shared" si="112"/>
        <v>0.29895867008056326</v>
      </c>
      <c r="AF154" s="1504">
        <f t="shared" si="113"/>
        <v>0.29126811149655141</v>
      </c>
      <c r="AG154" s="1504">
        <f t="shared" si="114"/>
        <v>6.418843789666738E-2</v>
      </c>
      <c r="AH154" s="1504">
        <f t="shared" si="126"/>
        <v>0</v>
      </c>
      <c r="AI154" s="1504">
        <f t="shared" si="115"/>
        <v>0.34558478052621783</v>
      </c>
      <c r="AJ154" s="1541">
        <f t="shared" si="116"/>
        <v>1</v>
      </c>
      <c r="AK154" s="1555">
        <f t="shared" si="117"/>
        <v>18286.954859313126</v>
      </c>
      <c r="AL154" s="1556">
        <f t="shared" si="118"/>
        <v>0</v>
      </c>
      <c r="AM154" s="1556">
        <f t="shared" si="119"/>
        <v>0</v>
      </c>
      <c r="AN154" s="1556">
        <f t="shared" si="120"/>
        <v>18286.954859313126</v>
      </c>
      <c r="AO154" s="1543">
        <f t="shared" si="121"/>
        <v>0</v>
      </c>
      <c r="AV154" s="561"/>
      <c r="AW154" s="561"/>
    </row>
    <row r="155" spans="1:49">
      <c r="A155" s="127">
        <f>'Input data'!A135</f>
        <v>2035</v>
      </c>
      <c r="B155" s="1551">
        <f>'Input data'!B135</f>
        <v>72.178572932855872</v>
      </c>
      <c r="C155" s="1550">
        <f>'Input data'!C135</f>
        <v>5978.8699999999981</v>
      </c>
      <c r="D155" s="1511">
        <f>'Input data'!D135</f>
        <v>23293526.984521989</v>
      </c>
      <c r="E155" s="527">
        <f>'Input data'!J135*C155</f>
        <v>71932.057766784754</v>
      </c>
      <c r="F155" s="1509">
        <f>'Input data'!L135</f>
        <v>95225.584751306742</v>
      </c>
      <c r="G155" s="1557">
        <f t="shared" si="132"/>
        <v>13687.941669523079</v>
      </c>
      <c r="H155" s="1509">
        <f t="shared" si="95"/>
        <v>49447.048289288534</v>
      </c>
      <c r="I155" s="1511">
        <f t="shared" si="98"/>
        <v>23293.526984521988</v>
      </c>
      <c r="J155" s="1454">
        <f t="shared" si="131"/>
        <v>0.4</v>
      </c>
      <c r="K155" s="1512">
        <f t="shared" si="123"/>
        <v>7883.7468840059882</v>
      </c>
      <c r="L155" s="1512">
        <f t="shared" si="99"/>
        <v>0</v>
      </c>
      <c r="M155" s="1511">
        <f t="shared" si="124"/>
        <v>7883.7468840059882</v>
      </c>
      <c r="N155" s="1454">
        <f t="shared" si="130"/>
        <v>0.5</v>
      </c>
      <c r="O155" s="530">
        <f t="shared" si="100"/>
        <v>751.91700000000026</v>
      </c>
      <c r="P155" s="1210">
        <f t="shared" si="127"/>
        <v>8635.6638840059877</v>
      </c>
      <c r="Q155" s="1364">
        <f t="shared" si="101"/>
        <v>54499.326074805627</v>
      </c>
      <c r="R155" s="1364">
        <f t="shared" si="125"/>
        <v>40811.384405282544</v>
      </c>
      <c r="S155" s="1514">
        <f t="shared" si="102"/>
        <v>1.0071113448814732</v>
      </c>
      <c r="T155" s="135" t="str">
        <f t="shared" si="103"/>
        <v>No</v>
      </c>
      <c r="U155" s="1514">
        <f t="shared" si="104"/>
        <v>1</v>
      </c>
      <c r="V155" s="1539">
        <f t="shared" si="96"/>
        <v>54702.374867214312</v>
      </c>
      <c r="W155" s="1540">
        <f t="shared" si="97"/>
        <v>0.42554960402631026</v>
      </c>
      <c r="X155" s="527">
        <f t="shared" si="105"/>
        <v>13976.116190713192</v>
      </c>
      <c r="Y155" s="1509">
        <f t="shared" si="106"/>
        <v>15077.596272903485</v>
      </c>
      <c r="Z155" s="1509">
        <f t="shared" si="107"/>
        <v>4002.4905052646268</v>
      </c>
      <c r="AA155" s="1509">
        <f t="shared" si="108"/>
        <v>0</v>
      </c>
      <c r="AB155" s="1509">
        <f t="shared" si="109"/>
        <v>21646.171898333007</v>
      </c>
      <c r="AC155" s="1509">
        <f t="shared" si="110"/>
        <v>54702.374867214312</v>
      </c>
      <c r="AD155" s="1554">
        <f t="shared" si="111"/>
        <v>288.1745211901125</v>
      </c>
      <c r="AE155" s="1504">
        <f t="shared" si="112"/>
        <v>0.25549377380121263</v>
      </c>
      <c r="AF155" s="1504">
        <f t="shared" si="113"/>
        <v>0.27562964696693987</v>
      </c>
      <c r="AG155" s="1504">
        <f t="shared" si="114"/>
        <v>7.3168496157257443E-2</v>
      </c>
      <c r="AH155" s="1504">
        <f t="shared" si="126"/>
        <v>0</v>
      </c>
      <c r="AI155" s="1504">
        <f t="shared" si="115"/>
        <v>0.39570808307459004</v>
      </c>
      <c r="AJ155" s="1541">
        <f t="shared" si="116"/>
        <v>1</v>
      </c>
      <c r="AK155" s="1555">
        <f t="shared" si="117"/>
        <v>13976.11619071319</v>
      </c>
      <c r="AL155" s="1556">
        <f t="shared" si="118"/>
        <v>0</v>
      </c>
      <c r="AM155" s="1556">
        <f t="shared" si="119"/>
        <v>0</v>
      </c>
      <c r="AN155" s="1556">
        <f t="shared" si="120"/>
        <v>13976.11619071319</v>
      </c>
      <c r="AO155" s="1543">
        <f t="shared" si="121"/>
        <v>0</v>
      </c>
      <c r="AV155" s="561"/>
      <c r="AW155" s="561"/>
    </row>
    <row r="156" spans="1:49">
      <c r="A156" s="127">
        <f>'Input data'!A136</f>
        <v>2036</v>
      </c>
      <c r="B156" s="1551">
        <f>'Input data'!B136</f>
        <v>72.865243718484663</v>
      </c>
      <c r="C156" s="1550">
        <f>'Input data'!C136</f>
        <v>6119.1299999999983</v>
      </c>
      <c r="D156" s="1511">
        <f>'Input data'!D136</f>
        <v>16814169.506355952</v>
      </c>
      <c r="E156" s="527">
        <f>'Input data'!J136*C156</f>
        <v>73619.532226401585</v>
      </c>
      <c r="F156" s="1509">
        <f>'Input data'!L136</f>
        <v>90433.70173275753</v>
      </c>
      <c r="G156" s="1557">
        <f t="shared" si="132"/>
        <v>13687.941669523079</v>
      </c>
      <c r="H156" s="1509">
        <f t="shared" si="95"/>
        <v>44334.765470759972</v>
      </c>
      <c r="I156" s="1511">
        <f t="shared" si="98"/>
        <v>16814.169506355953</v>
      </c>
      <c r="J156" s="1454">
        <f t="shared" si="131"/>
        <v>0.4</v>
      </c>
      <c r="K156" s="1512">
        <f t="shared" si="123"/>
        <v>5690.7936930703718</v>
      </c>
      <c r="L156" s="1512">
        <f t="shared" si="99"/>
        <v>0</v>
      </c>
      <c r="M156" s="1511">
        <f t="shared" si="124"/>
        <v>5690.7936930703718</v>
      </c>
      <c r="N156" s="1454">
        <f t="shared" si="130"/>
        <v>0.5</v>
      </c>
      <c r="O156" s="530">
        <f t="shared" si="100"/>
        <v>751.91700000000026</v>
      </c>
      <c r="P156" s="1210">
        <f t="shared" si="127"/>
        <v>6442.7106930703721</v>
      </c>
      <c r="Q156" s="1364">
        <f t="shared" si="101"/>
        <v>51579.996447212674</v>
      </c>
      <c r="R156" s="1364">
        <f t="shared" si="125"/>
        <v>37892.054777689598</v>
      </c>
      <c r="S156" s="1514">
        <f t="shared" si="102"/>
        <v>0.91324872752910058</v>
      </c>
      <c r="T156" s="135" t="str">
        <f t="shared" si="103"/>
        <v>Yes</v>
      </c>
      <c r="U156" s="1514">
        <f t="shared" si="104"/>
        <v>0.91324872752910058</v>
      </c>
      <c r="V156" s="1539">
        <f t="shared" si="96"/>
        <v>52541.646955067947</v>
      </c>
      <c r="W156" s="1540">
        <f t="shared" si="97"/>
        <v>0.41900369056731934</v>
      </c>
      <c r="X156" s="527">
        <f t="shared" si="105"/>
        <v>13687.941669523079</v>
      </c>
      <c r="Y156" s="1509">
        <f t="shared" si="106"/>
        <v>12620.983099695972</v>
      </c>
      <c r="Z156" s="1509">
        <f t="shared" si="107"/>
        <v>4078.7466272155002</v>
      </c>
      <c r="AA156" s="1509">
        <f t="shared" si="108"/>
        <v>0</v>
      </c>
      <c r="AB156" s="1509">
        <f t="shared" si="109"/>
        <v>22153.975558633399</v>
      </c>
      <c r="AC156" s="1509">
        <f t="shared" si="110"/>
        <v>52541.646955067947</v>
      </c>
      <c r="AD156" s="1554">
        <f t="shared" si="111"/>
        <v>0</v>
      </c>
      <c r="AE156" s="1504">
        <f t="shared" si="112"/>
        <v>0.26051603752026653</v>
      </c>
      <c r="AF156" s="1504">
        <f t="shared" si="113"/>
        <v>0.24020912611454798</v>
      </c>
      <c r="AG156" s="1504">
        <f t="shared" si="114"/>
        <v>7.7628830910144914E-2</v>
      </c>
      <c r="AH156" s="1504">
        <f t="shared" si="126"/>
        <v>0</v>
      </c>
      <c r="AI156" s="1504">
        <f t="shared" si="115"/>
        <v>0.42164600545504066</v>
      </c>
      <c r="AJ156" s="1541">
        <f t="shared" si="116"/>
        <v>1</v>
      </c>
      <c r="AK156" s="1555">
        <f t="shared" si="117"/>
        <v>10088.50170381357</v>
      </c>
      <c r="AL156" s="1556">
        <f t="shared" si="118"/>
        <v>3408.6005099278223</v>
      </c>
      <c r="AM156" s="1556">
        <f t="shared" si="119"/>
        <v>190.8394557816834</v>
      </c>
      <c r="AN156" s="1556">
        <f t="shared" si="120"/>
        <v>13687.941669523076</v>
      </c>
      <c r="AO156" s="1543">
        <f t="shared" si="121"/>
        <v>0</v>
      </c>
      <c r="AV156" s="561"/>
      <c r="AW156" s="561"/>
    </row>
    <row r="157" spans="1:49">
      <c r="A157" s="127">
        <f>'Input data'!A137</f>
        <v>2037</v>
      </c>
      <c r="B157" s="1551">
        <f>'Input data'!B137</f>
        <v>73.539326072165721</v>
      </c>
      <c r="C157" s="1550">
        <f>'Input data'!C137</f>
        <v>6283.2400000000007</v>
      </c>
      <c r="D157" s="1511">
        <f>'Input data'!D137</f>
        <v>17542322.49040458</v>
      </c>
      <c r="E157" s="527">
        <f>'Input data'!J137*C157</f>
        <v>75593.947124217928</v>
      </c>
      <c r="F157" s="1509">
        <f>'Input data'!L137</f>
        <v>93136.269614622506</v>
      </c>
      <c r="G157" s="1557">
        <f t="shared" si="132"/>
        <v>13687.941669523079</v>
      </c>
      <c r="H157" s="1509">
        <f t="shared" si="95"/>
        <v>46151.035610975785</v>
      </c>
      <c r="I157" s="1511">
        <f t="shared" si="98"/>
        <v>17542.322490404578</v>
      </c>
      <c r="J157" s="1454">
        <f t="shared" si="131"/>
        <v>0.4</v>
      </c>
      <c r="K157" s="1512">
        <f t="shared" si="123"/>
        <v>5937.2387171703067</v>
      </c>
      <c r="L157" s="1512">
        <f t="shared" si="99"/>
        <v>0</v>
      </c>
      <c r="M157" s="1511">
        <f t="shared" si="124"/>
        <v>5937.2387171703067</v>
      </c>
      <c r="N157" s="1454">
        <f t="shared" si="130"/>
        <v>0.5</v>
      </c>
      <c r="O157" s="530">
        <f t="shared" si="100"/>
        <v>751.91700000000026</v>
      </c>
      <c r="P157" s="1210">
        <f t="shared" si="127"/>
        <v>6689.1557171703071</v>
      </c>
      <c r="Q157" s="1364">
        <f t="shared" si="101"/>
        <v>53149.821563328558</v>
      </c>
      <c r="R157" s="1364">
        <f t="shared" si="125"/>
        <v>39461.879893805482</v>
      </c>
      <c r="S157" s="1514">
        <f t="shared" si="102"/>
        <v>0.92580432586322414</v>
      </c>
      <c r="T157" s="135" t="str">
        <f t="shared" si="103"/>
        <v>Yes</v>
      </c>
      <c r="U157" s="1514">
        <f t="shared" si="104"/>
        <v>0.92580432586322414</v>
      </c>
      <c r="V157" s="1539">
        <f t="shared" si="96"/>
        <v>53674.389720817031</v>
      </c>
      <c r="W157" s="1540">
        <f t="shared" si="97"/>
        <v>0.4237004558706301</v>
      </c>
      <c r="X157" s="527">
        <f t="shared" si="105"/>
        <v>13687.941669523079</v>
      </c>
      <c r="Y157" s="1509">
        <f t="shared" si="106"/>
        <v>13070.351768302207</v>
      </c>
      <c r="Z157" s="1509">
        <f t="shared" si="107"/>
        <v>4167.9694432240412</v>
      </c>
      <c r="AA157" s="1509">
        <f t="shared" si="108"/>
        <v>0</v>
      </c>
      <c r="AB157" s="1509">
        <f t="shared" si="109"/>
        <v>22748.126839767705</v>
      </c>
      <c r="AC157" s="1509">
        <f t="shared" si="110"/>
        <v>53674.389720817031</v>
      </c>
      <c r="AD157" s="1554">
        <f t="shared" si="111"/>
        <v>0</v>
      </c>
      <c r="AE157" s="1504">
        <f t="shared" si="112"/>
        <v>0.25501811461145241</v>
      </c>
      <c r="AF157" s="1504">
        <f t="shared" si="113"/>
        <v>0.24351188409009544</v>
      </c>
      <c r="AG157" s="1504">
        <f t="shared" si="114"/>
        <v>7.765285203806499E-2</v>
      </c>
      <c r="AH157" s="1504">
        <f t="shared" si="126"/>
        <v>0</v>
      </c>
      <c r="AI157" s="1504">
        <f t="shared" si="115"/>
        <v>0.42381714926038722</v>
      </c>
      <c r="AJ157" s="1541">
        <f t="shared" si="116"/>
        <v>1</v>
      </c>
      <c r="AK157" s="1555">
        <f t="shared" si="117"/>
        <v>10525.393494242746</v>
      </c>
      <c r="AL157" s="1556">
        <f t="shared" si="118"/>
        <v>2993.4554897775324</v>
      </c>
      <c r="AM157" s="1556">
        <f t="shared" si="119"/>
        <v>169.09268550280007</v>
      </c>
      <c r="AN157" s="1556">
        <f t="shared" si="120"/>
        <v>13687.941669523078</v>
      </c>
      <c r="AO157" s="1543">
        <f t="shared" si="121"/>
        <v>0</v>
      </c>
      <c r="AV157" s="561"/>
      <c r="AW157" s="561"/>
    </row>
    <row r="158" spans="1:49">
      <c r="A158" s="127">
        <f>'Input data'!A138</f>
        <v>2038</v>
      </c>
      <c r="B158" s="1551">
        <f>'Input data'!B138</f>
        <v>74.200346452615136</v>
      </c>
      <c r="C158" s="1550">
        <f>'Input data'!C138</f>
        <v>6443.4999999999982</v>
      </c>
      <c r="D158" s="1511">
        <f>'Input data'!D138</f>
        <v>14615640.739395874</v>
      </c>
      <c r="E158" s="527">
        <f>'Input data'!J138*C158</f>
        <v>77522.042496370981</v>
      </c>
      <c r="F158" s="1509">
        <f>'Input data'!L138</f>
        <v>92137.683235766861</v>
      </c>
      <c r="G158" s="1509">
        <f t="shared" si="132"/>
        <v>13687.941669523079</v>
      </c>
      <c r="H158" s="1509">
        <f t="shared" si="95"/>
        <v>44510.839355407574</v>
      </c>
      <c r="I158" s="1511">
        <f t="shared" si="98"/>
        <v>14615.640739395874</v>
      </c>
      <c r="J158" s="1454">
        <f t="shared" si="131"/>
        <v>0.4</v>
      </c>
      <c r="K158" s="1512">
        <f t="shared" si="123"/>
        <v>4946.6966601291524</v>
      </c>
      <c r="L158" s="1512">
        <f t="shared" si="99"/>
        <v>0</v>
      </c>
      <c r="M158" s="1511">
        <f t="shared" si="124"/>
        <v>4946.6966601291524</v>
      </c>
      <c r="N158" s="1454">
        <f t="shared" si="130"/>
        <v>0.5</v>
      </c>
      <c r="O158" s="530">
        <f t="shared" si="100"/>
        <v>751.91700000000026</v>
      </c>
      <c r="P158" s="1210">
        <f t="shared" si="127"/>
        <v>5698.6136601291528</v>
      </c>
      <c r="Q158" s="1364">
        <f t="shared" si="101"/>
        <v>52500.167364801498</v>
      </c>
      <c r="R158" s="1364">
        <f t="shared" si="125"/>
        <v>38812.225695278423</v>
      </c>
      <c r="S158" s="1514">
        <f t="shared" si="102"/>
        <v>0.88752643110111884</v>
      </c>
      <c r="T158" s="135" t="str">
        <f t="shared" si="103"/>
        <v>Yes</v>
      </c>
      <c r="U158" s="1514">
        <f t="shared" si="104"/>
        <v>0.88752643110111884</v>
      </c>
      <c r="V158" s="1539">
        <f t="shared" si="96"/>
        <v>53325.457540488445</v>
      </c>
      <c r="W158" s="1540">
        <f t="shared" si="97"/>
        <v>0.42124160638990238</v>
      </c>
      <c r="X158" s="527">
        <f t="shared" si="105"/>
        <v>13687.941669523076</v>
      </c>
      <c r="Y158" s="1509">
        <f t="shared" si="106"/>
        <v>12054.077361368847</v>
      </c>
      <c r="Z158" s="1509">
        <f t="shared" si="107"/>
        <v>4255.0991031687627</v>
      </c>
      <c r="AA158" s="1509">
        <f t="shared" si="108"/>
        <v>0</v>
      </c>
      <c r="AB158" s="1509">
        <f t="shared" si="109"/>
        <v>23328.33940642776</v>
      </c>
      <c r="AC158" s="1509">
        <f t="shared" si="110"/>
        <v>53325.457540488445</v>
      </c>
      <c r="AD158" s="1554">
        <f t="shared" si="111"/>
        <v>0</v>
      </c>
      <c r="AE158" s="1504">
        <f t="shared" si="112"/>
        <v>0.25668681153143835</v>
      </c>
      <c r="AF158" s="1504">
        <f t="shared" si="113"/>
        <v>0.22604733118729534</v>
      </c>
      <c r="AG158" s="1504">
        <f t="shared" si="114"/>
        <v>7.9794891585093133E-2</v>
      </c>
      <c r="AH158" s="1504">
        <f t="shared" si="126"/>
        <v>0</v>
      </c>
      <c r="AI158" s="1504">
        <f t="shared" si="115"/>
        <v>0.43747096569617316</v>
      </c>
      <c r="AJ158" s="1541">
        <f t="shared" si="116"/>
        <v>1</v>
      </c>
      <c r="AK158" s="1555">
        <f t="shared" si="117"/>
        <v>8769.3844436375221</v>
      </c>
      <c r="AL158" s="1556">
        <f t="shared" si="118"/>
        <v>4653.5338771562037</v>
      </c>
      <c r="AM158" s="1556">
        <f t="shared" si="119"/>
        <v>265.0233487293479</v>
      </c>
      <c r="AN158" s="1556">
        <f t="shared" si="120"/>
        <v>13687.941669523074</v>
      </c>
      <c r="AO158" s="1543">
        <f t="shared" si="121"/>
        <v>0</v>
      </c>
      <c r="AV158" s="561"/>
      <c r="AW158" s="561"/>
    </row>
    <row r="159" spans="1:49">
      <c r="A159" s="127">
        <f>'Input data'!A139</f>
        <v>2039</v>
      </c>
      <c r="B159" s="1551">
        <f>'Input data'!B139</f>
        <v>74.847837096563296</v>
      </c>
      <c r="C159" s="1550">
        <f>'Input data'!C139</f>
        <v>6615.260000000002</v>
      </c>
      <c r="D159" s="1511">
        <f>'Input data'!D139</f>
        <v>11688958.988387169</v>
      </c>
      <c r="E159" s="527">
        <f>'Input data'!J139*C159</f>
        <v>79588.494893232477</v>
      </c>
      <c r="F159" s="1509">
        <f>'Input data'!L139</f>
        <v>91277.453881619644</v>
      </c>
      <c r="G159" s="1509">
        <f t="shared" si="132"/>
        <v>13687.941669523079</v>
      </c>
      <c r="H159" s="1509">
        <f t="shared" si="95"/>
        <v>42950.033345683027</v>
      </c>
      <c r="I159" s="1511">
        <f t="shared" si="98"/>
        <v>11688.958988387169</v>
      </c>
      <c r="J159" s="1454">
        <f t="shared" si="131"/>
        <v>0.4</v>
      </c>
      <c r="K159" s="1512">
        <f t="shared" si="123"/>
        <v>3956.1546030879963</v>
      </c>
      <c r="L159" s="1512">
        <f t="shared" si="99"/>
        <v>0</v>
      </c>
      <c r="M159" s="1511">
        <f t="shared" si="124"/>
        <v>3956.1546030879963</v>
      </c>
      <c r="N159" s="1454">
        <f t="shared" si="130"/>
        <v>0.5</v>
      </c>
      <c r="O159" s="530">
        <f t="shared" si="100"/>
        <v>751.91700000000026</v>
      </c>
      <c r="P159" s="1210">
        <f t="shared" si="127"/>
        <v>4708.0716030879967</v>
      </c>
      <c r="Q159" s="1364">
        <f t="shared" si="101"/>
        <v>51929.903412118103</v>
      </c>
      <c r="R159" s="1364">
        <f t="shared" si="125"/>
        <v>38241.961742595027</v>
      </c>
      <c r="S159" s="1514">
        <f t="shared" si="102"/>
        <v>0.85140066316669361</v>
      </c>
      <c r="T159" s="135" t="str">
        <f t="shared" si="103"/>
        <v>Yes</v>
      </c>
      <c r="U159" s="1514">
        <f t="shared" si="104"/>
        <v>0.85140066316669361</v>
      </c>
      <c r="V159" s="1539">
        <f t="shared" si="96"/>
        <v>53035.492139024624</v>
      </c>
      <c r="W159" s="1540">
        <f t="shared" si="97"/>
        <v>0.41896394034163265</v>
      </c>
      <c r="X159" s="527">
        <f t="shared" si="105"/>
        <v>13687.941669523076</v>
      </c>
      <c r="Y159" s="1509">
        <f t="shared" si="106"/>
        <v>11048.882327796944</v>
      </c>
      <c r="Z159" s="1509">
        <f t="shared" si="107"/>
        <v>4348.4810474599535</v>
      </c>
      <c r="AA159" s="1509">
        <f t="shared" si="108"/>
        <v>0</v>
      </c>
      <c r="AB159" s="1509">
        <f t="shared" si="109"/>
        <v>23950.187094244651</v>
      </c>
      <c r="AC159" s="1509">
        <f t="shared" si="110"/>
        <v>53035.492139024624</v>
      </c>
      <c r="AD159" s="1554">
        <f t="shared" si="111"/>
        <v>0</v>
      </c>
      <c r="AE159" s="1504">
        <f t="shared" si="112"/>
        <v>0.25809021689932055</v>
      </c>
      <c r="AF159" s="1504">
        <f t="shared" si="113"/>
        <v>0.20832996701216516</v>
      </c>
      <c r="AG159" s="1504">
        <f t="shared" si="114"/>
        <v>8.1991905270928006E-2</v>
      </c>
      <c r="AH159" s="1504">
        <f t="shared" si="126"/>
        <v>0</v>
      </c>
      <c r="AI159" s="1504">
        <f t="shared" si="115"/>
        <v>0.45158791081758631</v>
      </c>
      <c r="AJ159" s="1541">
        <f t="shared" si="116"/>
        <v>1</v>
      </c>
      <c r="AK159" s="1555">
        <f t="shared" si="117"/>
        <v>7013.3753930323019</v>
      </c>
      <c r="AL159" s="1556">
        <f t="shared" si="118"/>
        <v>6312.1071171452149</v>
      </c>
      <c r="AM159" s="1556">
        <f t="shared" si="119"/>
        <v>362.45915934556035</v>
      </c>
      <c r="AN159" s="1556">
        <f t="shared" si="120"/>
        <v>13687.941669523078</v>
      </c>
      <c r="AO159" s="1543">
        <f t="shared" si="121"/>
        <v>0</v>
      </c>
      <c r="AV159" s="561"/>
      <c r="AW159" s="561"/>
    </row>
    <row r="160" spans="1:49">
      <c r="A160" s="127">
        <f>'Input data'!A140</f>
        <v>2040</v>
      </c>
      <c r="B160" s="1551">
        <f>'Input data'!B140</f>
        <v>75.481336564720067</v>
      </c>
      <c r="C160" s="1550">
        <f>'Input data'!C140</f>
        <v>6787.6000000000013</v>
      </c>
      <c r="D160" s="1511">
        <f>'Input data'!D140</f>
        <v>8762277.2373784631</v>
      </c>
      <c r="E160" s="527">
        <f>'Input data'!J140*C160</f>
        <v>81661.925296557456</v>
      </c>
      <c r="F160" s="1509">
        <f>'Input data'!L140</f>
        <v>90424.202533935924</v>
      </c>
      <c r="G160" s="1509">
        <f t="shared" si="132"/>
        <v>13687.941669523079</v>
      </c>
      <c r="H160" s="1509">
        <f t="shared" si="95"/>
        <v>41393.231365748812</v>
      </c>
      <c r="I160" s="1511">
        <f t="shared" si="98"/>
        <v>8762.2772373784628</v>
      </c>
      <c r="J160" s="1454">
        <f t="shared" si="131"/>
        <v>0.4</v>
      </c>
      <c r="K160" s="1512">
        <f t="shared" si="123"/>
        <v>2965.6125460468411</v>
      </c>
      <c r="L160" s="1512">
        <f t="shared" si="99"/>
        <v>0</v>
      </c>
      <c r="M160" s="1511">
        <f t="shared" si="124"/>
        <v>2965.6125460468411</v>
      </c>
      <c r="N160" s="1454">
        <f t="shared" si="130"/>
        <v>0.5</v>
      </c>
      <c r="O160" s="530">
        <f t="shared" si="100"/>
        <v>751.91700000000026</v>
      </c>
      <c r="P160" s="1210">
        <f t="shared" si="127"/>
        <v>3717.5295460468415</v>
      </c>
      <c r="Q160" s="1364">
        <f t="shared" si="101"/>
        <v>51363.643489225055</v>
      </c>
      <c r="R160" s="1364">
        <f t="shared" si="125"/>
        <v>37675.701819701979</v>
      </c>
      <c r="S160" s="1514">
        <f t="shared" si="102"/>
        <v>0.81714907711473095</v>
      </c>
      <c r="T160" s="135" t="str">
        <f t="shared" si="103"/>
        <v>Yes</v>
      </c>
      <c r="U160" s="1514">
        <f t="shared" si="104"/>
        <v>0.81714907711473095</v>
      </c>
      <c r="V160" s="1539">
        <f t="shared" si="96"/>
        <v>52748.500714233953</v>
      </c>
      <c r="W160" s="1540">
        <f t="shared" si="97"/>
        <v>0.41665506317915713</v>
      </c>
      <c r="X160" s="527">
        <f t="shared" si="105"/>
        <v>13687.941669523076</v>
      </c>
      <c r="Y160" s="1509">
        <f t="shared" si="106"/>
        <v>10044.246080011962</v>
      </c>
      <c r="Z160" s="1509">
        <f t="shared" si="107"/>
        <v>4442.1783243529617</v>
      </c>
      <c r="AA160" s="1509">
        <f t="shared" si="108"/>
        <v>0</v>
      </c>
      <c r="AB160" s="1509">
        <f t="shared" si="109"/>
        <v>24574.134640345954</v>
      </c>
      <c r="AC160" s="1509">
        <f t="shared" si="110"/>
        <v>52748.500714233953</v>
      </c>
      <c r="AD160" s="1535">
        <f t="shared" si="111"/>
        <v>0</v>
      </c>
      <c r="AE160" s="1504">
        <f t="shared" si="112"/>
        <v>0.25949442134247136</v>
      </c>
      <c r="AF160" s="1504">
        <f t="shared" si="113"/>
        <v>0.19041766010425329</v>
      </c>
      <c r="AG160" s="1504">
        <f t="shared" si="114"/>
        <v>8.4214304941453225E-2</v>
      </c>
      <c r="AH160" s="1504">
        <f t="shared" si="126"/>
        <v>0</v>
      </c>
      <c r="AI160" s="1504">
        <f t="shared" si="115"/>
        <v>0.46587361361182217</v>
      </c>
      <c r="AJ160" s="1541">
        <f t="shared" si="116"/>
        <v>1</v>
      </c>
      <c r="AK160" s="1555">
        <f t="shared" si="117"/>
        <v>5257.3663424270781</v>
      </c>
      <c r="AL160" s="1556">
        <f t="shared" si="118"/>
        <v>7969.3695979671247</v>
      </c>
      <c r="AM160" s="1556">
        <f t="shared" si="119"/>
        <v>461.20572912887332</v>
      </c>
      <c r="AN160" s="1556">
        <f t="shared" si="120"/>
        <v>13687.941669523076</v>
      </c>
      <c r="AO160" s="1543">
        <f t="shared" si="121"/>
        <v>0</v>
      </c>
      <c r="AV160" s="561"/>
      <c r="AW160" s="561"/>
    </row>
    <row r="161" spans="1:49">
      <c r="A161" s="127">
        <f>'Input data'!A141</f>
        <v>2041</v>
      </c>
      <c r="B161" s="1551">
        <f>'Input data'!B141</f>
        <v>76.101885632753024</v>
      </c>
      <c r="C161" s="1550">
        <f>'Input data'!C141</f>
        <v>6981.3799999999992</v>
      </c>
      <c r="D161" s="1511">
        <f>'Input data'!D141</f>
        <v>7249397.5356904445</v>
      </c>
      <c r="E161" s="527">
        <f>'Input data'!J141*C161</f>
        <v>83993.301318121303</v>
      </c>
      <c r="F161" s="1509">
        <f>'Input data'!L141</f>
        <v>91242.698853811744</v>
      </c>
      <c r="G161" s="1509">
        <f t="shared" si="132"/>
        <v>13687.941669523079</v>
      </c>
      <c r="H161" s="1509">
        <f t="shared" si="95"/>
        <v>41311.226148429458</v>
      </c>
      <c r="I161" s="1511">
        <f t="shared" si="98"/>
        <v>7249.3975356904448</v>
      </c>
      <c r="J161" s="1454">
        <f t="shared" si="131"/>
        <v>0.4</v>
      </c>
      <c r="K161" s="1512">
        <f t="shared" si="123"/>
        <v>2453.5749897770611</v>
      </c>
      <c r="L161" s="1512">
        <f t="shared" si="99"/>
        <v>0</v>
      </c>
      <c r="M161" s="1511">
        <f t="shared" si="124"/>
        <v>2453.5749897770611</v>
      </c>
      <c r="N161" s="1454">
        <f t="shared" si="130"/>
        <v>0.5</v>
      </c>
      <c r="O161" s="530">
        <f t="shared" si="100"/>
        <v>751.91700000000026</v>
      </c>
      <c r="P161" s="1210">
        <f t="shared" si="127"/>
        <v>3205.4919897770615</v>
      </c>
      <c r="Q161" s="1364">
        <f t="shared" si="101"/>
        <v>51793.675828175481</v>
      </c>
      <c r="R161" s="1364">
        <f t="shared" si="125"/>
        <v>38105.734158652398</v>
      </c>
      <c r="S161" s="1514">
        <f t="shared" si="102"/>
        <v>0.80317224928119635</v>
      </c>
      <c r="T161" s="135" t="str">
        <f t="shared" si="103"/>
        <v>Yes</v>
      </c>
      <c r="U161" s="1514">
        <f t="shared" si="104"/>
        <v>0.80317224928119635</v>
      </c>
      <c r="V161" s="1539">
        <f t="shared" si="96"/>
        <v>53136.964695159368</v>
      </c>
      <c r="W161" s="1540">
        <f t="shared" si="97"/>
        <v>0.41763050235619459</v>
      </c>
      <c r="X161" s="527">
        <f t="shared" si="105"/>
        <v>13687.941669523083</v>
      </c>
      <c r="Y161" s="1509">
        <f t="shared" si="106"/>
        <v>9625.7864575960848</v>
      </c>
      <c r="Z161" s="1509">
        <f t="shared" si="107"/>
        <v>4547.532033975378</v>
      </c>
      <c r="AA161" s="1509">
        <f t="shared" si="108"/>
        <v>0</v>
      </c>
      <c r="AB161" s="1509">
        <f t="shared" si="109"/>
        <v>25275.704534064822</v>
      </c>
      <c r="AC161" s="1509">
        <f t="shared" si="110"/>
        <v>53136.964695159368</v>
      </c>
      <c r="AD161" s="1535">
        <f t="shared" si="111"/>
        <v>0</v>
      </c>
      <c r="AE161" s="1504">
        <f t="shared" si="112"/>
        <v>0.25759735709499448</v>
      </c>
      <c r="AF161" s="1504">
        <f t="shared" si="113"/>
        <v>0.18115047618579855</v>
      </c>
      <c r="AG161" s="1504">
        <f t="shared" si="114"/>
        <v>8.558132855468964E-2</v>
      </c>
      <c r="AH161" s="1504">
        <f t="shared" si="126"/>
        <v>0</v>
      </c>
      <c r="AI161" s="1504">
        <f t="shared" si="115"/>
        <v>0.47567083816451733</v>
      </c>
      <c r="AJ161" s="1541">
        <f t="shared" si="116"/>
        <v>1</v>
      </c>
      <c r="AK161" s="1555">
        <f t="shared" si="117"/>
        <v>4349.6385214142665</v>
      </c>
      <c r="AL161" s="1556">
        <f t="shared" si="118"/>
        <v>8823.4449025006761</v>
      </c>
      <c r="AM161" s="1556">
        <f t="shared" si="119"/>
        <v>514.85824560813717</v>
      </c>
      <c r="AN161" s="1556">
        <f t="shared" si="120"/>
        <v>13687.941669523079</v>
      </c>
      <c r="AO161" s="1543">
        <f t="shared" si="121"/>
        <v>0</v>
      </c>
      <c r="AV161" s="561"/>
      <c r="AW161" s="561"/>
    </row>
    <row r="162" spans="1:49">
      <c r="A162" s="127">
        <f>'Input data'!A142</f>
        <v>2042</v>
      </c>
      <c r="B162" s="1551">
        <f>'Input data'!B142</f>
        <v>76.709073592680113</v>
      </c>
      <c r="C162" s="1550">
        <f>'Input data'!C142</f>
        <v>7178.2100000000019</v>
      </c>
      <c r="D162" s="1511">
        <f>'Input data'!D142</f>
        <v>5736517.8340024278</v>
      </c>
      <c r="E162" s="527">
        <f>'Input data'!J142*C162</f>
        <v>86361.372028846978</v>
      </c>
      <c r="F162" s="1509">
        <f>'Input data'!L142</f>
        <v>92097.889862849406</v>
      </c>
      <c r="G162" s="1509">
        <f t="shared" si="132"/>
        <v>13687.941669523079</v>
      </c>
      <c r="H162" s="1509">
        <f t="shared" si="95"/>
        <v>41250.276605007777</v>
      </c>
      <c r="I162" s="1511">
        <f t="shared" si="98"/>
        <v>5736.5178340024277</v>
      </c>
      <c r="J162" s="1454">
        <f t="shared" si="131"/>
        <v>0.4</v>
      </c>
      <c r="K162" s="1512">
        <f t="shared" si="123"/>
        <v>1941.5374335072811</v>
      </c>
      <c r="L162" s="1512">
        <f t="shared" si="99"/>
        <v>0</v>
      </c>
      <c r="M162" s="1511">
        <f t="shared" si="124"/>
        <v>1941.5374335072811</v>
      </c>
      <c r="N162" s="1454">
        <f t="shared" si="130"/>
        <v>0.5</v>
      </c>
      <c r="O162" s="530">
        <f t="shared" si="100"/>
        <v>751.91700000000026</v>
      </c>
      <c r="P162" s="1210">
        <f t="shared" si="127"/>
        <v>2693.4544335072815</v>
      </c>
      <c r="Q162" s="1364">
        <f t="shared" si="101"/>
        <v>52244.763841023581</v>
      </c>
      <c r="R162" s="1364">
        <f t="shared" si="125"/>
        <v>38556.822171500506</v>
      </c>
      <c r="S162" s="1514">
        <f t="shared" si="102"/>
        <v>0.79005262377594254</v>
      </c>
      <c r="T162" s="135" t="str">
        <f t="shared" si="103"/>
        <v>Yes</v>
      </c>
      <c r="U162" s="1514">
        <f t="shared" si="104"/>
        <v>0.79005262377594254</v>
      </c>
      <c r="V162" s="1539">
        <f t="shared" si="96"/>
        <v>53541.067691348915</v>
      </c>
      <c r="W162" s="1540">
        <f t="shared" si="97"/>
        <v>0.41865044062267498</v>
      </c>
      <c r="X162" s="527">
        <f t="shared" si="105"/>
        <v>13687.941669523074</v>
      </c>
      <c r="Y162" s="1509">
        <f t="shared" si="106"/>
        <v>9210.2652776804243</v>
      </c>
      <c r="Z162" s="1509">
        <f t="shared" si="107"/>
        <v>4654.5439581418577</v>
      </c>
      <c r="AA162" s="1509">
        <f t="shared" si="108"/>
        <v>0</v>
      </c>
      <c r="AB162" s="1509">
        <f t="shared" si="109"/>
        <v>25988.316786003554</v>
      </c>
      <c r="AC162" s="1509">
        <f t="shared" si="110"/>
        <v>53541.067691348915</v>
      </c>
      <c r="AD162" s="1535">
        <f t="shared" si="111"/>
        <v>0</v>
      </c>
      <c r="AE162" s="1504">
        <f t="shared" si="112"/>
        <v>0.25565313244088989</v>
      </c>
      <c r="AF162" s="1504">
        <f t="shared" si="113"/>
        <v>0.1720224432350759</v>
      </c>
      <c r="AG162" s="1504">
        <f t="shared" si="114"/>
        <v>8.6934089267217435E-2</v>
      </c>
      <c r="AH162" s="1504">
        <f t="shared" si="126"/>
        <v>0</v>
      </c>
      <c r="AI162" s="1504">
        <f t="shared" si="115"/>
        <v>0.48539033505681672</v>
      </c>
      <c r="AJ162" s="1541">
        <f t="shared" si="116"/>
        <v>1</v>
      </c>
      <c r="AK162" s="1555">
        <f t="shared" si="117"/>
        <v>3441.9107004014568</v>
      </c>
      <c r="AL162" s="1556">
        <f t="shared" si="118"/>
        <v>9676.9206996863068</v>
      </c>
      <c r="AM162" s="1556">
        <f t="shared" si="119"/>
        <v>569.11026943530908</v>
      </c>
      <c r="AN162" s="1556">
        <f t="shared" si="120"/>
        <v>13687.941669523072</v>
      </c>
      <c r="AO162" s="1543">
        <f t="shared" si="121"/>
        <v>0</v>
      </c>
      <c r="AV162" s="561"/>
      <c r="AW162" s="561"/>
    </row>
    <row r="163" spans="1:49">
      <c r="A163" s="127">
        <f>'Input data'!A143</f>
        <v>2043</v>
      </c>
      <c r="B163" s="1551">
        <f>'Input data'!B143</f>
        <v>77.302495984815266</v>
      </c>
      <c r="C163" s="1550">
        <f>'Input data'!C143</f>
        <v>7380.12</v>
      </c>
      <c r="D163" s="1511">
        <f>'Input data'!D143</f>
        <v>4223638.132314411</v>
      </c>
      <c r="E163" s="527">
        <f>'Input data'!J143*C163</f>
        <v>88790.560451356811</v>
      </c>
      <c r="F163" s="1509">
        <f>'Input data'!L143</f>
        <v>93014.198583671227</v>
      </c>
      <c r="G163" s="1509">
        <f t="shared" si="132"/>
        <v>13687.941669523079</v>
      </c>
      <c r="H163" s="1509">
        <f t="shared" si="95"/>
        <v>41224.396839750043</v>
      </c>
      <c r="I163" s="1511">
        <f t="shared" si="98"/>
        <v>4223.6381323144105</v>
      </c>
      <c r="J163" s="1454">
        <f t="shared" si="131"/>
        <v>0.4</v>
      </c>
      <c r="K163" s="1512">
        <f t="shared" si="123"/>
        <v>1429.4998772375013</v>
      </c>
      <c r="L163" s="1512">
        <f t="shared" si="99"/>
        <v>0</v>
      </c>
      <c r="M163" s="1511">
        <f t="shared" si="124"/>
        <v>1429.4998772375013</v>
      </c>
      <c r="N163" s="1454">
        <f t="shared" si="130"/>
        <v>0.5</v>
      </c>
      <c r="O163" s="530">
        <f t="shared" si="100"/>
        <v>751.91700000000026</v>
      </c>
      <c r="P163" s="1210">
        <f t="shared" si="127"/>
        <v>2181.4168772375015</v>
      </c>
      <c r="Q163" s="1364">
        <f t="shared" si="101"/>
        <v>52730.921632035621</v>
      </c>
      <c r="R163" s="1364">
        <f t="shared" si="125"/>
        <v>39042.979962512545</v>
      </c>
      <c r="S163" s="1514">
        <f t="shared" si="102"/>
        <v>0.77779913461915351</v>
      </c>
      <c r="T163" s="135" t="str">
        <f t="shared" si="103"/>
        <v>Yes</v>
      </c>
      <c r="U163" s="1514">
        <f t="shared" si="104"/>
        <v>0.77779913461915351</v>
      </c>
      <c r="V163" s="1539">
        <f t="shared" si="96"/>
        <v>53971.218621158681</v>
      </c>
      <c r="W163" s="1540">
        <f t="shared" si="97"/>
        <v>0.41975290393317</v>
      </c>
      <c r="X163" s="527">
        <f t="shared" si="105"/>
        <v>13687.941669523076</v>
      </c>
      <c r="Y163" s="1509">
        <f t="shared" si="106"/>
        <v>8799.6382905192077</v>
      </c>
      <c r="Z163" s="1509">
        <f t="shared" si="107"/>
        <v>4764.3177609587738</v>
      </c>
      <c r="AA163" s="1509">
        <f t="shared" si="108"/>
        <v>0</v>
      </c>
      <c r="AB163" s="1509">
        <f t="shared" si="109"/>
        <v>26719.320900157629</v>
      </c>
      <c r="AC163" s="1509">
        <f t="shared" si="110"/>
        <v>53971.218621158681</v>
      </c>
      <c r="AD163" s="1535">
        <f t="shared" si="111"/>
        <v>0</v>
      </c>
      <c r="AE163" s="1504">
        <f t="shared" si="112"/>
        <v>0.25361557547186647</v>
      </c>
      <c r="AF163" s="1504">
        <f t="shared" si="113"/>
        <v>0.1630431647705918</v>
      </c>
      <c r="AG163" s="1504">
        <f t="shared" si="114"/>
        <v>8.8275156327320498E-2</v>
      </c>
      <c r="AH163" s="1504">
        <f t="shared" si="126"/>
        <v>0</v>
      </c>
      <c r="AI163" s="1504">
        <f t="shared" si="115"/>
        <v>0.49506610343022128</v>
      </c>
      <c r="AJ163" s="1541">
        <f t="shared" si="116"/>
        <v>1</v>
      </c>
      <c r="AK163" s="1555">
        <f t="shared" si="117"/>
        <v>2534.1828793886461</v>
      </c>
      <c r="AL163" s="1556">
        <f t="shared" si="118"/>
        <v>10529.790741278357</v>
      </c>
      <c r="AM163" s="1556">
        <f t="shared" si="119"/>
        <v>623.96804885607298</v>
      </c>
      <c r="AN163" s="1556">
        <f t="shared" si="120"/>
        <v>13687.941669523076</v>
      </c>
      <c r="AO163" s="1543">
        <f t="shared" si="121"/>
        <v>0</v>
      </c>
      <c r="AV163" s="561"/>
      <c r="AW163" s="561"/>
    </row>
    <row r="164" spans="1:49">
      <c r="A164" s="127">
        <f>'Input data'!A144</f>
        <v>2044</v>
      </c>
      <c r="B164" s="1551">
        <f>'Input data'!B144</f>
        <v>77.881755043150378</v>
      </c>
      <c r="C164" s="1550">
        <f>'Input data'!C144</f>
        <v>7589.87</v>
      </c>
      <c r="D164" s="1511">
        <f>'Input data'!D144</f>
        <v>2710758.4306263938</v>
      </c>
      <c r="E164" s="527">
        <f>'Input data'!J144*C164</f>
        <v>91314.072271580881</v>
      </c>
      <c r="F164" s="1509">
        <f>'Input data'!L144</f>
        <v>94024.830702207269</v>
      </c>
      <c r="G164" s="1509">
        <f t="shared" si="132"/>
        <v>13687.941669523079</v>
      </c>
      <c r="H164" s="1509">
        <f t="shared" si="95"/>
        <v>41252.640511658756</v>
      </c>
      <c r="I164" s="1511">
        <f t="shared" si="98"/>
        <v>2710.7584306263939</v>
      </c>
      <c r="J164" s="1454">
        <f t="shared" si="131"/>
        <v>0.4</v>
      </c>
      <c r="K164" s="1512">
        <f t="shared" si="123"/>
        <v>917.46232096772155</v>
      </c>
      <c r="L164" s="1512">
        <f t="shared" si="99"/>
        <v>0</v>
      </c>
      <c r="M164" s="1511">
        <f t="shared" si="124"/>
        <v>917.46232096772155</v>
      </c>
      <c r="N164" s="1454">
        <f t="shared" si="130"/>
        <v>0.5</v>
      </c>
      <c r="O164" s="530">
        <f t="shared" si="100"/>
        <v>751.91700000000026</v>
      </c>
      <c r="P164" s="1210">
        <f t="shared" si="127"/>
        <v>1669.3793209677219</v>
      </c>
      <c r="Q164" s="1364">
        <f t="shared" si="101"/>
        <v>53271.202860214107</v>
      </c>
      <c r="R164" s="1364">
        <f t="shared" si="125"/>
        <v>39583.261190691032</v>
      </c>
      <c r="S164" s="1514">
        <f t="shared" si="102"/>
        <v>0.76645279288752932</v>
      </c>
      <c r="T164" s="135" t="str">
        <f t="shared" si="103"/>
        <v>Yes</v>
      </c>
      <c r="U164" s="1514">
        <f t="shared" si="104"/>
        <v>0.76645279288752932</v>
      </c>
      <c r="V164" s="1539">
        <f t="shared" si="96"/>
        <v>54441.569511516253</v>
      </c>
      <c r="W164" s="1540">
        <f t="shared" si="97"/>
        <v>0.42098731680845014</v>
      </c>
      <c r="X164" s="527">
        <f t="shared" si="105"/>
        <v>13687.941669523074</v>
      </c>
      <c r="Y164" s="1509">
        <f t="shared" si="106"/>
        <v>8396.5645457191931</v>
      </c>
      <c r="Z164" s="1509">
        <f t="shared" si="107"/>
        <v>4878.3539906692804</v>
      </c>
      <c r="AA164" s="1509">
        <f t="shared" si="108"/>
        <v>0</v>
      </c>
      <c r="AB164" s="1509">
        <f t="shared" si="109"/>
        <v>27478.709305604705</v>
      </c>
      <c r="AC164" s="1509">
        <f t="shared" si="110"/>
        <v>54441.569511516253</v>
      </c>
      <c r="AD164" s="1535">
        <f t="shared" si="111"/>
        <v>0</v>
      </c>
      <c r="AE164" s="1504">
        <f t="shared" si="112"/>
        <v>0.25142444996240615</v>
      </c>
      <c r="AF164" s="1504">
        <f t="shared" si="113"/>
        <v>0.15423075824334992</v>
      </c>
      <c r="AG164" s="1504">
        <f t="shared" si="114"/>
        <v>8.9607151932630122E-2</v>
      </c>
      <c r="AH164" s="1504">
        <f t="shared" si="126"/>
        <v>0</v>
      </c>
      <c r="AI164" s="1504">
        <f t="shared" si="115"/>
        <v>0.5047376398616138</v>
      </c>
      <c r="AJ164" s="1541">
        <f t="shared" si="116"/>
        <v>1</v>
      </c>
      <c r="AK164" s="1555">
        <f t="shared" si="117"/>
        <v>1626.455058375836</v>
      </c>
      <c r="AL164" s="1556">
        <f t="shared" si="118"/>
        <v>11382.026345084732</v>
      </c>
      <c r="AM164" s="1556">
        <f t="shared" si="119"/>
        <v>679.46026606250325</v>
      </c>
      <c r="AN164" s="1556">
        <f t="shared" si="120"/>
        <v>13687.941669523072</v>
      </c>
      <c r="AO164" s="1543">
        <f t="shared" si="121"/>
        <v>0</v>
      </c>
      <c r="AV164" s="561"/>
      <c r="AW164" s="561"/>
    </row>
    <row r="165" spans="1:49">
      <c r="A165" s="127">
        <f>'Input data'!A145</f>
        <v>2045</v>
      </c>
      <c r="B165" s="1551">
        <f>'Input data'!B145</f>
        <v>78.446460136387472</v>
      </c>
      <c r="C165" s="1550">
        <f>'Input data'!C145</f>
        <v>7808.4800000000005</v>
      </c>
      <c r="D165" s="1511">
        <f>'Input data'!D145</f>
        <v>1197878.7289383768</v>
      </c>
      <c r="E165" s="527">
        <f>'Input data'!J145*C165</f>
        <v>93944.179156058526</v>
      </c>
      <c r="F165" s="1509">
        <f>'Input data'!L145</f>
        <v>95142.057884996902</v>
      </c>
      <c r="G165" s="1509">
        <f t="shared" si="132"/>
        <v>13687.941669523079</v>
      </c>
      <c r="H165" s="1509">
        <f t="shared" si="95"/>
        <v>41342.049190365244</v>
      </c>
      <c r="I165" s="1511">
        <f t="shared" si="98"/>
        <v>1197.8787289383768</v>
      </c>
      <c r="J165" s="1454">
        <f t="shared" si="131"/>
        <v>0.4</v>
      </c>
      <c r="K165" s="1512">
        <f t="shared" si="123"/>
        <v>405.42476469794167</v>
      </c>
      <c r="L165" s="1512">
        <f t="shared" si="99"/>
        <v>0</v>
      </c>
      <c r="M165" s="1511">
        <f t="shared" si="124"/>
        <v>405.42476469794167</v>
      </c>
      <c r="N165" s="1454">
        <f t="shared" si="130"/>
        <v>0.5</v>
      </c>
      <c r="O165" s="530">
        <f t="shared" si="100"/>
        <v>751.91700000000026</v>
      </c>
      <c r="P165" s="1210">
        <f t="shared" si="127"/>
        <v>1157.3417646979419</v>
      </c>
      <c r="Q165" s="1364">
        <f t="shared" si="101"/>
        <v>53872.649095190383</v>
      </c>
      <c r="R165" s="1364">
        <f t="shared" si="125"/>
        <v>40184.707425667308</v>
      </c>
      <c r="S165" s="1514">
        <f t="shared" si="102"/>
        <v>0.75600644357251268</v>
      </c>
      <c r="T165" s="135" t="str">
        <f t="shared" si="103"/>
        <v>Yes</v>
      </c>
      <c r="U165" s="1514">
        <f t="shared" si="104"/>
        <v>0.75600644357251268</v>
      </c>
      <c r="V165" s="1539">
        <f t="shared" si="96"/>
        <v>54957.350459329609</v>
      </c>
      <c r="W165" s="1540">
        <f t="shared" si="97"/>
        <v>0.42236533788496167</v>
      </c>
      <c r="X165" s="527">
        <f t="shared" si="105"/>
        <v>13687.941669523078</v>
      </c>
      <c r="Y165" s="1509">
        <f t="shared" si="106"/>
        <v>8002.0267355263504</v>
      </c>
      <c r="Z165" s="1509">
        <f t="shared" si="107"/>
        <v>4997.2071977110627</v>
      </c>
      <c r="AA165" s="1509">
        <f t="shared" si="108"/>
        <v>0</v>
      </c>
      <c r="AB165" s="1509">
        <f t="shared" si="109"/>
        <v>28270.174856569116</v>
      </c>
      <c r="AC165" s="1509">
        <f t="shared" si="110"/>
        <v>54957.350459329609</v>
      </c>
      <c r="AD165" s="1535">
        <f t="shared" si="111"/>
        <v>0</v>
      </c>
      <c r="AE165" s="1504">
        <f t="shared" si="112"/>
        <v>0.24906480307220488</v>
      </c>
      <c r="AF165" s="1504">
        <f t="shared" si="113"/>
        <v>0.14560430349436396</v>
      </c>
      <c r="AG165" s="1504">
        <f t="shared" si="114"/>
        <v>9.0928823095450598E-2</v>
      </c>
      <c r="AH165" s="1504">
        <f t="shared" si="126"/>
        <v>0</v>
      </c>
      <c r="AI165" s="1504">
        <f t="shared" si="115"/>
        <v>0.51440207033798058</v>
      </c>
      <c r="AJ165" s="1541">
        <f t="shared" si="116"/>
        <v>1</v>
      </c>
      <c r="AK165" s="1555">
        <f t="shared" si="117"/>
        <v>718.72723736302589</v>
      </c>
      <c r="AL165" s="1556">
        <f t="shared" si="118"/>
        <v>12233.632515151823</v>
      </c>
      <c r="AM165" s="1556">
        <f t="shared" si="119"/>
        <v>735.58191700822488</v>
      </c>
      <c r="AN165" s="1556">
        <f t="shared" si="120"/>
        <v>13687.941669523074</v>
      </c>
      <c r="AO165" s="1543">
        <f t="shared" si="121"/>
        <v>0</v>
      </c>
      <c r="AV165" s="561"/>
      <c r="AW165" s="561"/>
    </row>
    <row r="166" spans="1:49">
      <c r="A166" s="127">
        <f>'Input data'!A146</f>
        <v>2046</v>
      </c>
      <c r="B166" s="1551">
        <f>'Input data'!B146</f>
        <v>78.997842335977523</v>
      </c>
      <c r="C166" s="1550">
        <f>'Input data'!C146</f>
        <v>8042.25</v>
      </c>
      <c r="D166" s="1511">
        <f>'Input data'!D146</f>
        <v>1000767.4916723419</v>
      </c>
      <c r="E166" s="527">
        <f>'Input data'!J146*C166</f>
        <v>96756.67669223866</v>
      </c>
      <c r="F166" s="1509">
        <f>'Input data'!L146</f>
        <v>97757.444183911008</v>
      </c>
      <c r="G166" s="1509">
        <f t="shared" si="132"/>
        <v>13687.941669523079</v>
      </c>
      <c r="H166" s="1509">
        <f t="shared" si="95"/>
        <v>42770.900814514534</v>
      </c>
      <c r="I166" s="1511">
        <f t="shared" si="98"/>
        <v>1000.767491672342</v>
      </c>
      <c r="J166" s="1454">
        <f t="shared" si="131"/>
        <v>0.4</v>
      </c>
      <c r="K166" s="1512">
        <f t="shared" si="123"/>
        <v>338.71202069694738</v>
      </c>
      <c r="L166" s="1512">
        <f t="shared" si="99"/>
        <v>0</v>
      </c>
      <c r="M166" s="1511">
        <f t="shared" si="124"/>
        <v>338.71202069694738</v>
      </c>
      <c r="N166" s="1454">
        <f t="shared" si="130"/>
        <v>0.5</v>
      </c>
      <c r="O166" s="530">
        <f t="shared" si="100"/>
        <v>751.91700000000026</v>
      </c>
      <c r="P166" s="1210">
        <f t="shared" si="127"/>
        <v>1090.6290206969477</v>
      </c>
      <c r="Q166" s="1364">
        <f t="shared" si="101"/>
        <v>55368.21346334066</v>
      </c>
      <c r="R166" s="1364">
        <f t="shared" si="125"/>
        <v>41680.271793817577</v>
      </c>
      <c r="S166" s="1514">
        <f t="shared" si="102"/>
        <v>0.76103673301904662</v>
      </c>
      <c r="T166" s="135" t="str">
        <f t="shared" si="103"/>
        <v>Yes</v>
      </c>
      <c r="U166" s="1514">
        <f t="shared" si="104"/>
        <v>0.76103673301904662</v>
      </c>
      <c r="V166" s="1539">
        <f t="shared" si="96"/>
        <v>56077.17239009343</v>
      </c>
      <c r="W166" s="1540">
        <f t="shared" si="97"/>
        <v>0.4263641724859798</v>
      </c>
      <c r="X166" s="527">
        <f t="shared" si="105"/>
        <v>13687.941669523083</v>
      </c>
      <c r="Y166" s="1509">
        <f t="shared" si="106"/>
        <v>8148.4018154640071</v>
      </c>
      <c r="Z166" s="1509">
        <f t="shared" si="107"/>
        <v>5124.3025465521841</v>
      </c>
      <c r="AA166" s="1509">
        <f t="shared" si="108"/>
        <v>0</v>
      </c>
      <c r="AB166" s="1509">
        <f t="shared" si="109"/>
        <v>29116.526358554158</v>
      </c>
      <c r="AC166" s="1509">
        <f t="shared" si="110"/>
        <v>56077.17239009343</v>
      </c>
      <c r="AD166" s="1535">
        <f t="shared" si="111"/>
        <v>0</v>
      </c>
      <c r="AE166" s="1504">
        <f t="shared" si="112"/>
        <v>0.24409115306857357</v>
      </c>
      <c r="AF166" s="1504">
        <f t="shared" si="113"/>
        <v>0.14530693093404795</v>
      </c>
      <c r="AG166" s="1504">
        <f t="shared" si="114"/>
        <v>9.137947453744015E-2</v>
      </c>
      <c r="AH166" s="1504">
        <f t="shared" si="126"/>
        <v>0</v>
      </c>
      <c r="AI166" s="1504">
        <f t="shared" si="115"/>
        <v>0.51922244145993834</v>
      </c>
      <c r="AJ166" s="1541">
        <f t="shared" si="116"/>
        <v>1</v>
      </c>
      <c r="AK166" s="1555">
        <f t="shared" si="117"/>
        <v>600.46049500340519</v>
      </c>
      <c r="AL166" s="1556">
        <f t="shared" si="118"/>
        <v>12340.117288175104</v>
      </c>
      <c r="AM166" s="1556">
        <f t="shared" si="119"/>
        <v>747.36388634457148</v>
      </c>
      <c r="AN166" s="1556">
        <f t="shared" si="120"/>
        <v>13687.941669523081</v>
      </c>
      <c r="AO166" s="1543">
        <f t="shared" si="121"/>
        <v>0</v>
      </c>
      <c r="AV166" s="561"/>
      <c r="AW166" s="561"/>
    </row>
    <row r="167" spans="1:49">
      <c r="A167" s="127">
        <f>'Input data'!A147</f>
        <v>2047</v>
      </c>
      <c r="B167" s="1551">
        <f>'Input data'!B147</f>
        <v>79.535560193629763</v>
      </c>
      <c r="C167" s="1550">
        <f>'Input data'!C147</f>
        <v>8187.4100000000008</v>
      </c>
      <c r="D167" s="1511">
        <f>'Input data'!D147</f>
        <v>803656.25440630724</v>
      </c>
      <c r="E167" s="527">
        <f>'Input data'!J147*C167</f>
        <v>98503.103275426867</v>
      </c>
      <c r="F167" s="1509">
        <f>'Input data'!L147</f>
        <v>99306.759529833173</v>
      </c>
      <c r="G167" s="1509">
        <f t="shared" si="132"/>
        <v>13687.941669523079</v>
      </c>
      <c r="H167" s="1509">
        <f t="shared" si="95"/>
        <v>43588.033335689601</v>
      </c>
      <c r="I167" s="1511">
        <f t="shared" si="98"/>
        <v>803.6562544063072</v>
      </c>
      <c r="J167" s="1454">
        <f t="shared" si="131"/>
        <v>0.4</v>
      </c>
      <c r="K167" s="1512">
        <f t="shared" si="123"/>
        <v>271.99927669595314</v>
      </c>
      <c r="L167" s="1512">
        <f t="shared" si="99"/>
        <v>0</v>
      </c>
      <c r="M167" s="1511">
        <f t="shared" si="124"/>
        <v>271.99927669595314</v>
      </c>
      <c r="N167" s="1454">
        <f t="shared" si="130"/>
        <v>0.5</v>
      </c>
      <c r="O167" s="530">
        <f t="shared" si="100"/>
        <v>751.91700000000026</v>
      </c>
      <c r="P167" s="1210">
        <f t="shared" si="127"/>
        <v>1023.9162766959535</v>
      </c>
      <c r="Q167" s="1364">
        <f t="shared" si="101"/>
        <v>56252.05872851672</v>
      </c>
      <c r="R167" s="1364">
        <f t="shared" si="125"/>
        <v>42564.117058993637</v>
      </c>
      <c r="S167" s="1514">
        <f t="shared" si="102"/>
        <v>0.76320997150356473</v>
      </c>
      <c r="T167" s="135" t="str">
        <f t="shared" si="103"/>
        <v>Yes</v>
      </c>
      <c r="U167" s="1514">
        <f t="shared" si="104"/>
        <v>0.76320997150356473</v>
      </c>
      <c r="V167" s="1539">
        <f t="shared" si="96"/>
        <v>56742.64247083955</v>
      </c>
      <c r="W167" s="1540">
        <f t="shared" si="97"/>
        <v>0.42861248580170164</v>
      </c>
      <c r="X167" s="527">
        <f t="shared" si="105"/>
        <v>13687.941669523085</v>
      </c>
      <c r="Y167" s="1509">
        <f t="shared" si="106"/>
        <v>8209.4079150922444</v>
      </c>
      <c r="Z167" s="1509">
        <f t="shared" si="107"/>
        <v>5203.2226853115508</v>
      </c>
      <c r="AA167" s="1509">
        <f t="shared" si="108"/>
        <v>0</v>
      </c>
      <c r="AB167" s="1509">
        <f t="shared" si="109"/>
        <v>29642.070200912669</v>
      </c>
      <c r="AC167" s="1509">
        <f t="shared" si="110"/>
        <v>56742.64247083955</v>
      </c>
      <c r="AD167" s="1535">
        <f t="shared" si="111"/>
        <v>0</v>
      </c>
      <c r="AE167" s="1504">
        <f t="shared" si="112"/>
        <v>0.24122848484818832</v>
      </c>
      <c r="AF167" s="1504">
        <f t="shared" si="113"/>
        <v>0.14467792752709954</v>
      </c>
      <c r="AG167" s="1504">
        <f t="shared" si="114"/>
        <v>9.1698631906075301E-2</v>
      </c>
      <c r="AH167" s="1504">
        <f t="shared" si="126"/>
        <v>0</v>
      </c>
      <c r="AI167" s="1504">
        <f t="shared" si="115"/>
        <v>0.52239495571863681</v>
      </c>
      <c r="AJ167" s="1541">
        <f t="shared" si="116"/>
        <v>1</v>
      </c>
      <c r="AK167" s="1555">
        <f t="shared" si="117"/>
        <v>482.19375264378431</v>
      </c>
      <c r="AL167" s="1556">
        <f t="shared" si="118"/>
        <v>12448.600216113002</v>
      </c>
      <c r="AM167" s="1556">
        <f t="shared" si="119"/>
        <v>757.14770076629748</v>
      </c>
      <c r="AN167" s="1556">
        <f t="shared" si="120"/>
        <v>13687.941669523085</v>
      </c>
      <c r="AO167" s="1543">
        <f t="shared" si="121"/>
        <v>0</v>
      </c>
      <c r="AV167" s="561"/>
      <c r="AW167" s="561"/>
    </row>
    <row r="168" spans="1:49">
      <c r="A168" s="127">
        <f>'Input data'!A148</f>
        <v>2048</v>
      </c>
      <c r="B168" s="1551">
        <f>'Input data'!B148</f>
        <v>80.059278886956378</v>
      </c>
      <c r="C168" s="1550">
        <f>'Input data'!C148</f>
        <v>8322.6399999999976</v>
      </c>
      <c r="D168" s="1511">
        <f>'Input data'!D148</f>
        <v>606545.01714027242</v>
      </c>
      <c r="E168" s="527">
        <f>'Input data'!J148*C168</f>
        <v>100130.06157554078</v>
      </c>
      <c r="F168" s="1509">
        <f>'Input data'!L148</f>
        <v>100736.60659268106</v>
      </c>
      <c r="G168" s="1509">
        <f t="shared" si="132"/>
        <v>13687.941669523079</v>
      </c>
      <c r="H168" s="1509">
        <f t="shared" si="95"/>
        <v>44336.614105453584</v>
      </c>
      <c r="I168" s="1511">
        <f t="shared" si="98"/>
        <v>606.54501714027242</v>
      </c>
      <c r="J168" s="1454">
        <f t="shared" si="131"/>
        <v>0.4</v>
      </c>
      <c r="K168" s="1512">
        <f t="shared" si="123"/>
        <v>205.28653269495894</v>
      </c>
      <c r="L168" s="1512">
        <f t="shared" si="99"/>
        <v>0</v>
      </c>
      <c r="M168" s="1511">
        <f t="shared" si="124"/>
        <v>205.28653269495894</v>
      </c>
      <c r="N168" s="1454">
        <f t="shared" si="130"/>
        <v>0.5</v>
      </c>
      <c r="O168" s="530">
        <f t="shared" si="100"/>
        <v>751.91700000000026</v>
      </c>
      <c r="P168" s="1210">
        <f t="shared" si="127"/>
        <v>957.20353269495922</v>
      </c>
      <c r="Q168" s="1364">
        <f t="shared" si="101"/>
        <v>57067.352242281697</v>
      </c>
      <c r="R168" s="1364">
        <f t="shared" si="125"/>
        <v>43379.410572758614</v>
      </c>
      <c r="S168" s="1514">
        <f t="shared" si="102"/>
        <v>0.76502275471499681</v>
      </c>
      <c r="T168" s="135" t="str">
        <f t="shared" si="103"/>
        <v>Yes</v>
      </c>
      <c r="U168" s="1514">
        <f t="shared" si="104"/>
        <v>0.76502275471499681</v>
      </c>
      <c r="V168" s="1539">
        <f t="shared" si="96"/>
        <v>57357.196019922449</v>
      </c>
      <c r="W168" s="1540">
        <f t="shared" si="97"/>
        <v>0.43062211484013102</v>
      </c>
      <c r="X168" s="527">
        <f t="shared" si="105"/>
        <v>13687.941669523087</v>
      </c>
      <c r="Y168" s="1509">
        <f t="shared" si="106"/>
        <v>8260.8472166788051</v>
      </c>
      <c r="Z168" s="1509">
        <f t="shared" si="107"/>
        <v>5276.7441124569687</v>
      </c>
      <c r="AA168" s="1509">
        <f t="shared" si="108"/>
        <v>0</v>
      </c>
      <c r="AB168" s="1509">
        <f t="shared" si="109"/>
        <v>30131.663021263586</v>
      </c>
      <c r="AC168" s="1509">
        <f t="shared" si="110"/>
        <v>57357.196019922449</v>
      </c>
      <c r="AD168" s="1535">
        <f t="shared" si="111"/>
        <v>0</v>
      </c>
      <c r="AE168" s="1504">
        <f t="shared" si="112"/>
        <v>0.23864384278423786</v>
      </c>
      <c r="AF168" s="1504">
        <f t="shared" si="113"/>
        <v>0.14402460004860562</v>
      </c>
      <c r="AG168" s="1504">
        <f t="shared" si="114"/>
        <v>9.1997944087506375E-2</v>
      </c>
      <c r="AH168" s="1504">
        <f t="shared" si="126"/>
        <v>0</v>
      </c>
      <c r="AI168" s="1504">
        <f t="shared" si="115"/>
        <v>0.5253336130796501</v>
      </c>
      <c r="AJ168" s="1541">
        <f t="shared" si="116"/>
        <v>1</v>
      </c>
      <c r="AK168" s="1555">
        <f t="shared" si="117"/>
        <v>363.92701028416343</v>
      </c>
      <c r="AL168" s="1556">
        <f t="shared" si="118"/>
        <v>12557.33523807547</v>
      </c>
      <c r="AM168" s="1556">
        <f t="shared" si="119"/>
        <v>766.67942116345284</v>
      </c>
      <c r="AN168" s="1556">
        <f t="shared" si="120"/>
        <v>13687.941669523087</v>
      </c>
      <c r="AO168" s="1543">
        <f t="shared" si="121"/>
        <v>0</v>
      </c>
      <c r="AV168" s="561"/>
      <c r="AW168" s="561"/>
    </row>
    <row r="169" spans="1:49">
      <c r="A169" s="127">
        <f>'Input data'!A149</f>
        <v>2049</v>
      </c>
      <c r="B169" s="662">
        <f>'Input data'!B149</f>
        <v>80.568670564877792</v>
      </c>
      <c r="C169" s="236">
        <f>'Input data'!C149</f>
        <v>8457.3799999999992</v>
      </c>
      <c r="D169" s="1511">
        <f>'Input data'!D149</f>
        <v>409433.77987423755</v>
      </c>
      <c r="E169" s="527">
        <f>'Input data'!J149*C169</f>
        <v>101751.12466329761</v>
      </c>
      <c r="F169" s="528">
        <f>'Input data'!L149</f>
        <v>102160.55844317185</v>
      </c>
      <c r="G169" s="528">
        <f t="shared" si="132"/>
        <v>13687.941669523079</v>
      </c>
      <c r="H169" s="528">
        <f t="shared" si="95"/>
        <v>45081.812160394693</v>
      </c>
      <c r="I169" s="530">
        <f t="shared" si="98"/>
        <v>409.43377987423753</v>
      </c>
      <c r="J169" s="649">
        <f t="shared" si="131"/>
        <v>0.4</v>
      </c>
      <c r="K169" s="775">
        <f t="shared" si="123"/>
        <v>138.57378869396467</v>
      </c>
      <c r="L169" s="775">
        <f t="shared" si="99"/>
        <v>0</v>
      </c>
      <c r="M169" s="530">
        <f t="shared" si="124"/>
        <v>138.57378869396467</v>
      </c>
      <c r="N169" s="649">
        <f t="shared" si="130"/>
        <v>0.5</v>
      </c>
      <c r="O169" s="530">
        <f t="shared" si="100"/>
        <v>751.91700000000026</v>
      </c>
      <c r="P169" s="1210">
        <f t="shared" si="127"/>
        <v>890.49078869396499</v>
      </c>
      <c r="Q169" s="1364">
        <f t="shared" si="101"/>
        <v>57879.263041223814</v>
      </c>
      <c r="R169" s="1364">
        <f t="shared" si="125"/>
        <v>44191.321371700731</v>
      </c>
      <c r="S169" s="1514">
        <f t="shared" si="102"/>
        <v>0.76676312507351807</v>
      </c>
      <c r="T169" s="135" t="str">
        <f t="shared" si="103"/>
        <v>Yes</v>
      </c>
      <c r="U169" s="1514">
        <f t="shared" si="104"/>
        <v>0.76676312507351807</v>
      </c>
      <c r="V169" s="1539">
        <f t="shared" si="96"/>
        <v>57969.237071471129</v>
      </c>
      <c r="W169" s="1540">
        <f t="shared" si="97"/>
        <v>0.43256734345557357</v>
      </c>
      <c r="X169" s="527">
        <f t="shared" si="105"/>
        <v>13687.941669523085</v>
      </c>
      <c r="Y169" s="1509">
        <f t="shared" si="106"/>
        <v>8311.8144406177962</v>
      </c>
      <c r="Z169" s="1509">
        <f t="shared" si="107"/>
        <v>5349.9991379215398</v>
      </c>
      <c r="AA169" s="1509">
        <f t="shared" si="108"/>
        <v>0</v>
      </c>
      <c r="AB169" s="1509">
        <f t="shared" si="109"/>
        <v>30619.481823408714</v>
      </c>
      <c r="AC169" s="1509">
        <f t="shared" si="110"/>
        <v>57969.237071471129</v>
      </c>
      <c r="AD169" s="1535">
        <f t="shared" si="111"/>
        <v>0</v>
      </c>
      <c r="AE169" s="1504">
        <f t="shared" si="112"/>
        <v>0.23612423349037731</v>
      </c>
      <c r="AF169" s="1504">
        <f t="shared" si="113"/>
        <v>0.14338319530357174</v>
      </c>
      <c r="AG169" s="1504">
        <f t="shared" si="114"/>
        <v>9.2290314797923712E-2</v>
      </c>
      <c r="AH169" s="1504">
        <f t="shared" si="126"/>
        <v>0</v>
      </c>
      <c r="AI169" s="1504">
        <f t="shared" si="115"/>
        <v>0.52820225640812735</v>
      </c>
      <c r="AJ169" s="1541">
        <f t="shared" si="116"/>
        <v>1</v>
      </c>
      <c r="AK169" s="1555">
        <f t="shared" si="117"/>
        <v>245.6602679245425</v>
      </c>
      <c r="AL169" s="1556">
        <f t="shared" si="118"/>
        <v>12666.120903901081</v>
      </c>
      <c r="AM169" s="1556">
        <f t="shared" si="119"/>
        <v>776.16049769746053</v>
      </c>
      <c r="AN169" s="1556">
        <f t="shared" si="120"/>
        <v>13687.941669523085</v>
      </c>
      <c r="AO169" s="1543">
        <f t="shared" si="121"/>
        <v>0</v>
      </c>
      <c r="AV169" s="561"/>
      <c r="AW169" s="561"/>
    </row>
    <row r="170" spans="1:49" ht="15.75" thickBot="1">
      <c r="A170" s="172">
        <f>'Input data'!A150</f>
        <v>2050</v>
      </c>
      <c r="B170" s="664">
        <f>'Input data'!B150</f>
        <v>81.063414687793369</v>
      </c>
      <c r="C170" s="239">
        <f>'Input data'!C150</f>
        <v>8589.119999999999</v>
      </c>
      <c r="D170" s="1520">
        <f>'Input data'!D150</f>
        <v>212322.54260820278</v>
      </c>
      <c r="E170" s="670">
        <f>'Input data'!J150*C170</f>
        <v>103336.09461417398</v>
      </c>
      <c r="F170" s="667">
        <f>'Input data'!L150</f>
        <v>103548.41715678219</v>
      </c>
      <c r="G170" s="667">
        <f t="shared" si="132"/>
        <v>13687.941669523079</v>
      </c>
      <c r="H170" s="667">
        <f t="shared" si="95"/>
        <v>45806.299716420079</v>
      </c>
      <c r="I170" s="659">
        <f t="shared" si="98"/>
        <v>212.32254260820278</v>
      </c>
      <c r="J170" s="650">
        <f t="shared" si="131"/>
        <v>0.4</v>
      </c>
      <c r="K170" s="667">
        <f t="shared" si="123"/>
        <v>71.861044692970424</v>
      </c>
      <c r="L170" s="667">
        <f t="shared" si="99"/>
        <v>0</v>
      </c>
      <c r="M170" s="659">
        <f t="shared" si="124"/>
        <v>71.861044692970424</v>
      </c>
      <c r="N170" s="650">
        <f t="shared" si="130"/>
        <v>0.5</v>
      </c>
      <c r="O170" s="659">
        <f t="shared" si="100"/>
        <v>751.91700000000026</v>
      </c>
      <c r="P170" s="1692">
        <f t="shared" si="127"/>
        <v>823.77804469297064</v>
      </c>
      <c r="Q170" s="1485">
        <f t="shared" si="101"/>
        <v>58670.463341250186</v>
      </c>
      <c r="R170" s="1485">
        <f t="shared" si="125"/>
        <v>44982.521671727111</v>
      </c>
      <c r="S170" s="1523">
        <f t="shared" si="102"/>
        <v>0.76836629533347567</v>
      </c>
      <c r="T170" s="1105" t="str">
        <f t="shared" si="103"/>
        <v>Yes</v>
      </c>
      <c r="U170" s="1523">
        <f t="shared" si="104"/>
        <v>0.76836629533347567</v>
      </c>
      <c r="V170" s="1544">
        <f t="shared" si="96"/>
        <v>58565.895485055094</v>
      </c>
      <c r="W170" s="1545">
        <f t="shared" si="97"/>
        <v>0.43441051931889274</v>
      </c>
      <c r="X170" s="670">
        <f t="shared" si="105"/>
        <v>13687.941669523076</v>
      </c>
      <c r="Y170" s="1518">
        <f t="shared" si="106"/>
        <v>8359.8913932451032</v>
      </c>
      <c r="Z170" s="1518">
        <f t="shared" si="107"/>
        <v>5421.623132687032</v>
      </c>
      <c r="AA170" s="1518">
        <f t="shared" si="108"/>
        <v>0</v>
      </c>
      <c r="AB170" s="1518">
        <f t="shared" si="109"/>
        <v>31096.439289599883</v>
      </c>
      <c r="AC170" s="1518">
        <f t="shared" si="110"/>
        <v>58565.895485055094</v>
      </c>
      <c r="AD170" s="1546">
        <f t="shared" si="111"/>
        <v>0</v>
      </c>
      <c r="AE170" s="1521">
        <f t="shared" si="112"/>
        <v>0.23371864386528468</v>
      </c>
      <c r="AF170" s="1521">
        <f t="shared" si="113"/>
        <v>0.14274333763714736</v>
      </c>
      <c r="AG170" s="1521">
        <f t="shared" si="114"/>
        <v>9.2573042515341153E-2</v>
      </c>
      <c r="AH170" s="1521">
        <f t="shared" si="126"/>
        <v>0</v>
      </c>
      <c r="AI170" s="1521">
        <f>AB170/AC170</f>
        <v>0.53096497598222681</v>
      </c>
      <c r="AJ170" s="1547">
        <f t="shared" si="116"/>
        <v>1</v>
      </c>
      <c r="AK170" s="1639">
        <f t="shared" si="117"/>
        <v>127.39352556492166</v>
      </c>
      <c r="AL170" s="1640">
        <f t="shared" si="118"/>
        <v>12775.002524280831</v>
      </c>
      <c r="AM170" s="1640">
        <f t="shared" si="119"/>
        <v>785.54561967732195</v>
      </c>
      <c r="AN170" s="1640">
        <f t="shared" si="120"/>
        <v>13687.941669523074</v>
      </c>
      <c r="AO170" s="1548">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24" t="s">
        <v>602</v>
      </c>
      <c r="B174" s="1825"/>
      <c r="C174" s="1825"/>
      <c r="D174" s="1826"/>
      <c r="E174" s="1827" t="s">
        <v>603</v>
      </c>
      <c r="F174" s="1828"/>
      <c r="G174" s="1828"/>
      <c r="H174" s="1828"/>
      <c r="I174" s="1829"/>
      <c r="J174" s="1830" t="s">
        <v>604</v>
      </c>
      <c r="K174" s="1831"/>
      <c r="L174" s="1832"/>
      <c r="M174" s="1833" t="s">
        <v>757</v>
      </c>
      <c r="N174" s="1835" t="s">
        <v>607</v>
      </c>
      <c r="O174" s="1836"/>
      <c r="P174" s="1814" t="s">
        <v>594</v>
      </c>
      <c r="Q174" s="1816" t="s">
        <v>765</v>
      </c>
      <c r="R174" s="1816" t="s">
        <v>768</v>
      </c>
      <c r="S174" s="1816" t="s">
        <v>767</v>
      </c>
      <c r="T174" s="1848" t="s">
        <v>769</v>
      </c>
      <c r="U174" s="1881" t="s">
        <v>770</v>
      </c>
      <c r="V174" s="1818" t="s">
        <v>760</v>
      </c>
      <c r="W174" s="1820" t="s">
        <v>761</v>
      </c>
      <c r="X174" s="1915" t="s">
        <v>592</v>
      </c>
      <c r="Y174" s="1885"/>
      <c r="Z174" s="1885"/>
      <c r="AA174" s="1885"/>
      <c r="AB174" s="1885"/>
      <c r="AC174" s="1885"/>
      <c r="AD174" s="1885"/>
      <c r="AE174" s="1885"/>
      <c r="AF174" s="1885"/>
      <c r="AG174" s="1885"/>
      <c r="AH174" s="1885"/>
      <c r="AI174" s="1885"/>
      <c r="AJ174" s="1885"/>
      <c r="AK174" s="1929" t="s">
        <v>723</v>
      </c>
      <c r="AL174" s="1930"/>
      <c r="AM174" s="1930"/>
      <c r="AN174" s="1930"/>
      <c r="AO174" s="1931"/>
    </row>
    <row r="175" spans="1:49" ht="37.9" customHeight="1">
      <c r="A175" s="1822" t="s">
        <v>217</v>
      </c>
      <c r="B175" s="703" t="s">
        <v>218</v>
      </c>
      <c r="C175" s="703" t="s">
        <v>390</v>
      </c>
      <c r="D175" s="469" t="s">
        <v>630</v>
      </c>
      <c r="E175" s="704" t="s">
        <v>779</v>
      </c>
      <c r="F175" s="704" t="s">
        <v>780</v>
      </c>
      <c r="G175" s="704" t="s">
        <v>764</v>
      </c>
      <c r="H175" s="705" t="s">
        <v>597</v>
      </c>
      <c r="I175" s="705" t="s">
        <v>626</v>
      </c>
      <c r="J175" s="1461" t="s">
        <v>326</v>
      </c>
      <c r="K175" s="1461" t="s">
        <v>758</v>
      </c>
      <c r="L175" s="706" t="s">
        <v>759</v>
      </c>
      <c r="M175" s="1834"/>
      <c r="N175" s="508" t="s">
        <v>605</v>
      </c>
      <c r="O175" s="559" t="s">
        <v>606</v>
      </c>
      <c r="P175" s="1815"/>
      <c r="Q175" s="1817"/>
      <c r="R175" s="1817"/>
      <c r="S175" s="1817"/>
      <c r="T175" s="1849"/>
      <c r="U175" s="1882"/>
      <c r="V175" s="1819"/>
      <c r="W175" s="1821"/>
      <c r="X175" s="1464" t="s">
        <v>473</v>
      </c>
      <c r="Y175" s="1465" t="s">
        <v>489</v>
      </c>
      <c r="Z175" s="1636" t="s">
        <v>807</v>
      </c>
      <c r="AA175" s="1465" t="s">
        <v>377</v>
      </c>
      <c r="AB175" s="1465" t="s">
        <v>477</v>
      </c>
      <c r="AC175" s="1465" t="s">
        <v>225</v>
      </c>
      <c r="AD175" s="713" t="s">
        <v>617</v>
      </c>
      <c r="AE175" s="1092" t="s">
        <v>473</v>
      </c>
      <c r="AF175" s="1465" t="s">
        <v>489</v>
      </c>
      <c r="AG175" s="1636" t="s">
        <v>807</v>
      </c>
      <c r="AH175" s="1465" t="s">
        <v>377</v>
      </c>
      <c r="AI175" s="1465" t="s">
        <v>477</v>
      </c>
      <c r="AJ175" s="718" t="s">
        <v>225</v>
      </c>
      <c r="AK175" s="189" t="s">
        <v>724</v>
      </c>
      <c r="AL175" s="712" t="s">
        <v>493</v>
      </c>
      <c r="AM175" s="712" t="s">
        <v>725</v>
      </c>
      <c r="AN175" s="712" t="s">
        <v>225</v>
      </c>
      <c r="AO175" s="1183" t="s">
        <v>617</v>
      </c>
    </row>
    <row r="176" spans="1:49" ht="36" customHeight="1" thickBot="1">
      <c r="A176" s="1823"/>
      <c r="B176" s="1124" t="s">
        <v>232</v>
      </c>
      <c r="C176" s="1125" t="s">
        <v>482</v>
      </c>
      <c r="D176" s="1126" t="s">
        <v>480</v>
      </c>
      <c r="E176" s="1127" t="s">
        <v>228</v>
      </c>
      <c r="F176" s="1127" t="s">
        <v>228</v>
      </c>
      <c r="G176" s="1127" t="s">
        <v>228</v>
      </c>
      <c r="H176" s="1479" t="str">
        <f>G176</f>
        <v>Gg</v>
      </c>
      <c r="I176" s="1127"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6" t="s">
        <v>28</v>
      </c>
      <c r="X176" s="191" t="s">
        <v>228</v>
      </c>
      <c r="Y176" s="1095" t="s">
        <v>228</v>
      </c>
      <c r="Z176" s="1095" t="s">
        <v>228</v>
      </c>
      <c r="AA176" s="1095" t="s">
        <v>228</v>
      </c>
      <c r="AB176" s="1095" t="s">
        <v>228</v>
      </c>
      <c r="AC176" s="1095" t="s">
        <v>228</v>
      </c>
      <c r="AD176" s="1096" t="s">
        <v>762</v>
      </c>
      <c r="AE176" s="1093" t="s">
        <v>229</v>
      </c>
      <c r="AF176" s="711" t="s">
        <v>229</v>
      </c>
      <c r="AG176" s="711" t="s">
        <v>229</v>
      </c>
      <c r="AH176" s="711" t="s">
        <v>229</v>
      </c>
      <c r="AI176" s="711" t="s">
        <v>229</v>
      </c>
      <c r="AJ176" s="1176"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3117.5115237718705</v>
      </c>
      <c r="D177" s="1503">
        <f>'Input data'!E117</f>
        <v>49995051</v>
      </c>
      <c r="E177" s="956">
        <f>'Input data'!J117*C177</f>
        <v>37506.923384615395</v>
      </c>
      <c r="F177" s="957">
        <f>'Input data'!L117</f>
        <v>87501.974384615402</v>
      </c>
      <c r="G177" s="1373">
        <f>F177*B11</f>
        <v>68439.708347615408</v>
      </c>
      <c r="H177" s="1502">
        <f t="shared" ref="H177" si="133">E177*$B$12+I177*$E$80-G177</f>
        <v>0</v>
      </c>
      <c r="I177" s="1503">
        <f>D177/1000</f>
        <v>49995.050999999999</v>
      </c>
      <c r="J177" s="417">
        <f>H17</f>
        <v>6.154773859516615E-2</v>
      </c>
      <c r="K177" s="1501">
        <f>(I177)*J177-(I177)*$J$137</f>
        <v>0</v>
      </c>
      <c r="L177" s="1501">
        <f>(E177)*$C$12*$G$12-(E177)*$C$12*$G$12</f>
        <v>0</v>
      </c>
      <c r="M177" s="1503">
        <f>L177+K177</f>
        <v>0</v>
      </c>
      <c r="N177" s="708">
        <v>0</v>
      </c>
      <c r="O177" s="1467">
        <f>N177*$E$177*($C$85)*$B$12</f>
        <v>0</v>
      </c>
      <c r="P177" s="1691">
        <f>O177+M177</f>
        <v>0</v>
      </c>
      <c r="Q177" s="1484">
        <f>E177*$B$12+(1-$J$137)*I177-P177</f>
        <v>68439.708347615408</v>
      </c>
      <c r="R177" s="1484">
        <f>Q177-G177</f>
        <v>0</v>
      </c>
      <c r="S177" s="1218">
        <f>R177/(Q177-I177*(1-J177))</f>
        <v>0</v>
      </c>
      <c r="T177" s="1489" t="str">
        <f>IF(AND(S177&gt;=0,S177&lt;=1),"Yes","No")</f>
        <v>Yes</v>
      </c>
      <c r="U177" s="1524">
        <f>IF(S177&lt;=0,0,IF(S177&gt;=1,1,S177))</f>
        <v>0</v>
      </c>
      <c r="V177" s="1493">
        <f t="shared" ref="V177:V210" si="134">AC177</f>
        <v>87501.974384615402</v>
      </c>
      <c r="W177" s="1525">
        <f t="shared" ref="W177:W210" si="135">(1-V177/F177)</f>
        <v>0</v>
      </c>
      <c r="X177" s="527">
        <f>(E177*$B$12-O177-L177)*(1-U177)+I177*(1-J177)</f>
        <v>68439.708347615408</v>
      </c>
      <c r="Y177" s="1501">
        <f>I177*J177+E177*$G$12*$C$12</f>
        <v>6080.5670370000007</v>
      </c>
      <c r="Z177" s="1531">
        <f>($C$12*$H$12*E177+O177)</f>
        <v>1694.9190000000001</v>
      </c>
      <c r="AA177" s="1531">
        <f>$F$137*$D$11</f>
        <v>0</v>
      </c>
      <c r="AB177" s="1531">
        <f>E177*$E$12</f>
        <v>11286.78</v>
      </c>
      <c r="AC177" s="1531">
        <f>SUM(X177:AB177)</f>
        <v>87501.974384615402</v>
      </c>
      <c r="AD177" s="1487">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7">
        <f>I177*(1-$J$177)-K177</f>
        <v>46917.968670000002</v>
      </c>
      <c r="AL177" s="1498">
        <f>(E177*$C$86*$B$12-L177)*(1-U177)</f>
        <v>20017.905677615392</v>
      </c>
      <c r="AM177" s="1498">
        <f>(E177*($C$85)*$B$12-O177)*(1-U177)</f>
        <v>1503.8340000000005</v>
      </c>
      <c r="AN177" s="1498">
        <f>SUM(AK177:AM177)</f>
        <v>68439.708347615393</v>
      </c>
      <c r="AO177" s="1184">
        <f>AN177-X177</f>
        <v>0</v>
      </c>
    </row>
    <row r="178" spans="1:41">
      <c r="A178" s="127">
        <f>'Input data'!A118</f>
        <v>2018</v>
      </c>
      <c r="B178" s="662">
        <f>'Input data'!B118</f>
        <v>57.436000617299655</v>
      </c>
      <c r="C178" s="236">
        <f>'Input data'!C118</f>
        <v>3154.0370052724184</v>
      </c>
      <c r="D178" s="1511">
        <f>'Input data'!E118</f>
        <v>50359792.847133137</v>
      </c>
      <c r="E178" s="527">
        <f>'Input data'!J118*C178</f>
        <v>37946.363119089809</v>
      </c>
      <c r="F178" s="528">
        <f>'Input data'!L118</f>
        <v>88306.155966222956</v>
      </c>
      <c r="G178" s="938">
        <f>G177*0.94</f>
        <v>64333.325846758482</v>
      </c>
      <c r="H178" s="1509">
        <f>E178*$B$12+I178*$E$80-G178</f>
        <v>4700.8289604658348</v>
      </c>
      <c r="I178" s="1511">
        <f t="shared" ref="I178:I210" si="136">D178/1000</f>
        <v>50359.79284713314</v>
      </c>
      <c r="J178" s="649">
        <f>($J$190-$J$177)/($A$190-$A$177)+J177</f>
        <v>8.7582527933999524E-2</v>
      </c>
      <c r="K178" s="1512">
        <f>(I178)*J178-(I178)*$J$137</f>
        <v>1311.106597922399</v>
      </c>
      <c r="L178" s="1512">
        <f t="shared" ref="L178:L210" si="137">(E178)*$C$12*$G$12-(E178)*$C$12*$G$12</f>
        <v>0</v>
      </c>
      <c r="M178" s="1511">
        <f>L178+K178</f>
        <v>1311.106597922399</v>
      </c>
      <c r="N178" s="649">
        <v>0.05</v>
      </c>
      <c r="O178" s="530">
        <f t="shared" ref="O178:O210" si="138">N178*$E$177*($C$85)*$B$12</f>
        <v>75.191700000000026</v>
      </c>
      <c r="P178" s="1210">
        <f>O178+M178</f>
        <v>1386.2982979223991</v>
      </c>
      <c r="Q178" s="1364">
        <f t="shared" ref="Q178:Q210" si="139">E178*$B$12+(1-$J$137)*I178-P178</f>
        <v>67647.856509301913</v>
      </c>
      <c r="R178" s="1364">
        <f>Q178-G178</f>
        <v>3314.5306625434314</v>
      </c>
      <c r="S178" s="576">
        <f t="shared" ref="S178:S210" si="140">R178/(Q178-I178*(1-J178))</f>
        <v>0.15275248812947445</v>
      </c>
      <c r="T178" s="135" t="str">
        <f t="shared" ref="T178:T210" si="141">IF(AND(S178&gt;=0,S178&lt;=1),"Yes","No")</f>
        <v>Yes</v>
      </c>
      <c r="U178" s="1526">
        <f t="shared" ref="U178:U210" si="142">IF(S178&lt;=0,0,IF(S178&gt;=1,1,S178))</f>
        <v>0.15275248812947445</v>
      </c>
      <c r="V178" s="1494">
        <f t="shared" si="134"/>
        <v>84991.625303679524</v>
      </c>
      <c r="W178" s="1527">
        <f t="shared" si="135"/>
        <v>3.7534536819961217E-2</v>
      </c>
      <c r="X178" s="527">
        <f t="shared" ref="X178:X210" si="143">(E178*$B$12-O178-L178)*(1-U178)+I178*(1-J178)</f>
        <v>64333.325846758482</v>
      </c>
      <c r="Y178" s="1509">
        <f t="shared" ref="Y178:Y210" si="144">I178*J178+E178*$G$12*$C$12</f>
        <v>7449.3121878932852</v>
      </c>
      <c r="Z178" s="1531">
        <f t="shared" ref="Z178:Z210" si="145">($C$12*$H$12*E178+O178)</f>
        <v>1789.9687605419947</v>
      </c>
      <c r="AA178" s="1531">
        <f t="shared" ref="AA178:AA210" si="146">$F$137*$D$11</f>
        <v>0</v>
      </c>
      <c r="AB178" s="1531">
        <f t="shared" ref="AB178:AB210" si="147">E178*$E$12</f>
        <v>11419.018508485759</v>
      </c>
      <c r="AC178" s="1531">
        <f t="shared" ref="AC178:AC210" si="148">SUM(X178:AB178)</f>
        <v>84991.625303679524</v>
      </c>
      <c r="AD178" s="1487">
        <f t="shared" ref="AD178:AD210" si="149">X178-G178</f>
        <v>0</v>
      </c>
      <c r="AE178" s="649">
        <f t="shared" ref="AE178:AE210" si="150">X178/AC178</f>
        <v>0.75693723489687537</v>
      </c>
      <c r="AF178" s="417">
        <f t="shared" ref="AF178:AF210" si="151">Y178/AC178</f>
        <v>8.7647602469966931E-2</v>
      </c>
      <c r="AG178" s="417">
        <f t="shared" ref="AG178:AG210" si="152">Z178/AC178</f>
        <v>2.1060531012865594E-2</v>
      </c>
      <c r="AH178" s="417">
        <f>AA178/AC178</f>
        <v>0</v>
      </c>
      <c r="AI178" s="417">
        <f t="shared" ref="AI178:AI209" si="153">AB178/AC178</f>
        <v>0.1343546316202921</v>
      </c>
      <c r="AJ178" s="417">
        <f t="shared" ref="AJ178:AJ210" si="154">SUM(AE178:AI178)</f>
        <v>1</v>
      </c>
      <c r="AK178" s="1497">
        <f t="shared" ref="AK178:AK210" si="155">I178*(1-$J$177)-K178</f>
        <v>45949.154883348674</v>
      </c>
      <c r="AL178" s="1498">
        <f t="shared" ref="AL178:AL210" si="156">(E178*$C$86*$B$12-L178)*(1-U178)</f>
        <v>17158.829451148249</v>
      </c>
      <c r="AM178" s="1498">
        <f t="shared" ref="AM178:AM210" si="157">(E178*($C$85)*$B$12-O178)*(1-U178)</f>
        <v>1225.3415122615597</v>
      </c>
      <c r="AN178" s="1498">
        <f t="shared" ref="AN178:AN210" si="158">SUM(AK178:AM178)</f>
        <v>64333.325846758489</v>
      </c>
      <c r="AO178" s="1184">
        <f t="shared" ref="AO178:AO210" si="159">AN178-X178</f>
        <v>0</v>
      </c>
    </row>
    <row r="179" spans="1:41">
      <c r="A179" s="873">
        <f>'Input data'!A119</f>
        <v>2019</v>
      </c>
      <c r="B179" s="1551">
        <f>'Input data'!B119</f>
        <v>58.364834921819444</v>
      </c>
      <c r="C179" s="1550">
        <f>'Input data'!C119</f>
        <v>4436.7699999999986</v>
      </c>
      <c r="D179" s="1511">
        <f>'Input data'!E119</f>
        <v>53464172.913892828</v>
      </c>
      <c r="E179" s="1508">
        <f>'Input data'!J119*C179</f>
        <v>53378.982305676094</v>
      </c>
      <c r="F179" s="1509">
        <f>'Input data'!L119</f>
        <v>106843.15521956893</v>
      </c>
      <c r="G179" s="1557">
        <f>G177*0.89</f>
        <v>60911.340429377713</v>
      </c>
      <c r="H179" s="1509">
        <f t="shared" ref="H179:H210" si="160">E179*$B$12+I179*$E$80-G179</f>
        <v>19891.473637248593</v>
      </c>
      <c r="I179" s="1511">
        <f t="shared" si="136"/>
        <v>53464.172913892828</v>
      </c>
      <c r="J179" s="1454">
        <f t="shared" ref="J179:J189" si="161">($J$190-$J$177)/($A$190-$A$177)+J178</f>
        <v>0.11361731727283289</v>
      </c>
      <c r="K179" s="1512">
        <f t="shared" ref="K179:K210" si="162">(I179)*J179-(I179)*$J$137</f>
        <v>2783.8569579763216</v>
      </c>
      <c r="L179" s="1512">
        <f t="shared" si="137"/>
        <v>0</v>
      </c>
      <c r="M179" s="1511">
        <f t="shared" ref="M179:M210" si="163">L179+K179</f>
        <v>2783.8569579763216</v>
      </c>
      <c r="N179" s="1454">
        <v>0.1</v>
      </c>
      <c r="O179" s="530">
        <f t="shared" si="138"/>
        <v>150.38340000000005</v>
      </c>
      <c r="P179" s="1210">
        <f>O179+M179</f>
        <v>2934.2403579763218</v>
      </c>
      <c r="Q179" s="1364">
        <f t="shared" si="139"/>
        <v>77868.573708649987</v>
      </c>
      <c r="R179" s="1364">
        <f t="shared" ref="R179:R210" si="164">Q179-G179</f>
        <v>16957.233279272274</v>
      </c>
      <c r="S179" s="576">
        <f t="shared" si="140"/>
        <v>0.55636054366934984</v>
      </c>
      <c r="T179" s="135" t="str">
        <f t="shared" si="141"/>
        <v>Yes</v>
      </c>
      <c r="U179" s="1526">
        <f t="shared" si="142"/>
        <v>0.55636054366934984</v>
      </c>
      <c r="V179" s="1494">
        <f t="shared" si="134"/>
        <v>89885.921940296656</v>
      </c>
      <c r="W179" s="1527">
        <f t="shared" si="135"/>
        <v>0.15871146115466328</v>
      </c>
      <c r="X179" s="527">
        <f t="shared" si="143"/>
        <v>60911.340429377713</v>
      </c>
      <c r="Y179" s="1509">
        <f t="shared" si="144"/>
        <v>10348.945579199766</v>
      </c>
      <c r="Z179" s="1531">
        <f t="shared" si="145"/>
        <v>2562.5527582487894</v>
      </c>
      <c r="AA179" s="1531">
        <f t="shared" si="146"/>
        <v>0</v>
      </c>
      <c r="AB179" s="1531">
        <f t="shared" si="147"/>
        <v>16063.083173470395</v>
      </c>
      <c r="AC179" s="1531">
        <f t="shared" si="148"/>
        <v>89885.921940296656</v>
      </c>
      <c r="AD179" s="1487">
        <f t="shared" si="149"/>
        <v>0</v>
      </c>
      <c r="AE179" s="649">
        <f t="shared" si="150"/>
        <v>0.67765161790114115</v>
      </c>
      <c r="AF179" s="417">
        <f t="shared" si="151"/>
        <v>0.1151342207523183</v>
      </c>
      <c r="AG179" s="417">
        <f t="shared" si="152"/>
        <v>2.8508944481326771E-2</v>
      </c>
      <c r="AH179" s="417">
        <f t="shared" ref="AH179:AH210" si="165">AA179/AC179</f>
        <v>0</v>
      </c>
      <c r="AI179" s="417">
        <f t="shared" si="153"/>
        <v>0.17870521686521382</v>
      </c>
      <c r="AJ179" s="417">
        <f t="shared" si="154"/>
        <v>1</v>
      </c>
      <c r="AK179" s="1497">
        <f t="shared" si="155"/>
        <v>47389.717017205468</v>
      </c>
      <c r="AL179" s="1498">
        <f t="shared" si="156"/>
        <v>12638.852664300288</v>
      </c>
      <c r="AM179" s="1498">
        <f t="shared" si="157"/>
        <v>882.77074787194999</v>
      </c>
      <c r="AN179" s="1498">
        <f t="shared" si="158"/>
        <v>60911.340429377713</v>
      </c>
      <c r="AO179" s="1184">
        <f t="shared" si="159"/>
        <v>0</v>
      </c>
    </row>
    <row r="180" spans="1:41">
      <c r="A180" s="873">
        <f>'Input data'!A120</f>
        <v>2020</v>
      </c>
      <c r="B180" s="1551">
        <f>'Input data'!B120</f>
        <v>59.233695328537607</v>
      </c>
      <c r="C180" s="1550">
        <f>'Input data'!C120</f>
        <v>4157.24</v>
      </c>
      <c r="D180" s="1511">
        <f>'Input data'!E120</f>
        <v>51247282.188414559</v>
      </c>
      <c r="E180" s="1508">
        <f>'Input data'!J120*C180</f>
        <v>50015.944121613007</v>
      </c>
      <c r="F180" s="1509">
        <f>'Input data'!L120</f>
        <v>101263.22631002756</v>
      </c>
      <c r="G180" s="1557">
        <f>G177*0.81</f>
        <v>55436.163761568481</v>
      </c>
      <c r="H180" s="1509">
        <f t="shared" si="160"/>
        <v>21356.468936474215</v>
      </c>
      <c r="I180" s="1511">
        <f t="shared" si="136"/>
        <v>51247.28218841456</v>
      </c>
      <c r="J180" s="1454">
        <f t="shared" si="161"/>
        <v>0.13965210661166627</v>
      </c>
      <c r="K180" s="1512">
        <f>(I180)*J180-(I180)*$J$177</f>
        <v>4002.6365878893621</v>
      </c>
      <c r="L180" s="1512">
        <f t="shared" si="137"/>
        <v>0</v>
      </c>
      <c r="M180" s="1511">
        <f t="shared" si="163"/>
        <v>4002.6365878893621</v>
      </c>
      <c r="N180" s="1454">
        <f>($N$142-$N$137)/($A$102-$A$97)+N179</f>
        <v>0.2</v>
      </c>
      <c r="O180" s="530">
        <f t="shared" si="138"/>
        <v>300.7668000000001</v>
      </c>
      <c r="P180" s="1210">
        <f t="shared" ref="P180:P210" si="166">O180+M180</f>
        <v>4303.4033878893624</v>
      </c>
      <c r="Q180" s="1364">
        <f t="shared" si="139"/>
        <v>72489.229310153329</v>
      </c>
      <c r="R180" s="1364">
        <f t="shared" si="164"/>
        <v>17053.065548584847</v>
      </c>
      <c r="S180" s="576">
        <f>R180/(Q180-I180*(1-J180))</f>
        <v>0.60048673733609492</v>
      </c>
      <c r="T180" s="135" t="str">
        <f t="shared" si="141"/>
        <v>Yes</v>
      </c>
      <c r="U180" s="1526">
        <f>IF(S180&lt;=0,0,IF(S180&gt;=1,1,S180))</f>
        <v>0.60048673733609492</v>
      </c>
      <c r="V180" s="1494">
        <f>AC180</f>
        <v>84210.160761442719</v>
      </c>
      <c r="W180" s="1527">
        <f t="shared" si="135"/>
        <v>0.16840334018565795</v>
      </c>
      <c r="X180" s="527">
        <f>(E180*$B$12-O180-L180)*(1-U180)+I180*(1-J180)</f>
        <v>55436.163761568481</v>
      </c>
      <c r="Y180" s="1509">
        <f t="shared" si="144"/>
        <v>11161.974751662076</v>
      </c>
      <c r="Z180" s="1531">
        <f t="shared" si="145"/>
        <v>2560.9621544777392</v>
      </c>
      <c r="AA180" s="1531">
        <f t="shared" si="146"/>
        <v>0</v>
      </c>
      <c r="AB180" s="1531">
        <f>E180*$E$12</f>
        <v>15051.060093734426</v>
      </c>
      <c r="AC180" s="1531">
        <f>SUM(X180:AB180)</f>
        <v>84210.160761442719</v>
      </c>
      <c r="AD180" s="1487">
        <f t="shared" si="149"/>
        <v>0</v>
      </c>
      <c r="AE180" s="649">
        <f t="shared" si="150"/>
        <v>0.65830730235288926</v>
      </c>
      <c r="AF180" s="417">
        <f t="shared" si="151"/>
        <v>0.13254902556572254</v>
      </c>
      <c r="AG180" s="417">
        <f t="shared" si="152"/>
        <v>3.0411557599713385E-2</v>
      </c>
      <c r="AH180" s="417">
        <f t="shared" si="165"/>
        <v>0</v>
      </c>
      <c r="AI180" s="417">
        <f t="shared" si="153"/>
        <v>0.17873211448167489</v>
      </c>
      <c r="AJ180" s="417">
        <f t="shared" si="154"/>
        <v>1</v>
      </c>
      <c r="AK180" s="1497">
        <f t="shared" si="155"/>
        <v>44090.491272679945</v>
      </c>
      <c r="AL180" s="1498">
        <f t="shared" si="156"/>
        <v>10664.656446608829</v>
      </c>
      <c r="AM180" s="1498">
        <f t="shared" si="157"/>
        <v>681.01604227970654</v>
      </c>
      <c r="AN180" s="1498">
        <f t="shared" si="158"/>
        <v>55436.163761568481</v>
      </c>
      <c r="AO180" s="1184">
        <f t="shared" si="159"/>
        <v>0</v>
      </c>
    </row>
    <row r="181" spans="1:41">
      <c r="A181" s="873">
        <f>'Input data'!A121</f>
        <v>2021</v>
      </c>
      <c r="B181" s="1551">
        <f>'Input data'!B121</f>
        <v>60.170135702880636</v>
      </c>
      <c r="C181" s="1550">
        <f>'Input data'!C121</f>
        <v>4296.6100000000006</v>
      </c>
      <c r="D181" s="1511">
        <f>'Input data'!E121</f>
        <v>50719928.257477686</v>
      </c>
      <c r="E181" s="1508">
        <f>'Input data'!J121*C181</f>
        <v>51692.710950621971</v>
      </c>
      <c r="F181" s="1509">
        <f>'Input data'!L121</f>
        <v>102412.63920809966</v>
      </c>
      <c r="G181" s="1557">
        <f>G177*0.65</f>
        <v>44485.810425950018</v>
      </c>
      <c r="H181" s="1509">
        <f t="shared" si="160"/>
        <v>32774.06652767257</v>
      </c>
      <c r="I181" s="1511">
        <f t="shared" si="136"/>
        <v>50719.928257477688</v>
      </c>
      <c r="J181" s="1454">
        <f t="shared" si="161"/>
        <v>0.16568689595049965</v>
      </c>
      <c r="K181" s="1512">
        <f t="shared" si="162"/>
        <v>5281.9305898566954</v>
      </c>
      <c r="L181" s="1512">
        <f t="shared" si="137"/>
        <v>0</v>
      </c>
      <c r="M181" s="1511">
        <f t="shared" si="163"/>
        <v>5281.9305898566954</v>
      </c>
      <c r="N181" s="1454">
        <v>0.4</v>
      </c>
      <c r="O181" s="530">
        <f t="shared" si="138"/>
        <v>601.53360000000021</v>
      </c>
      <c r="P181" s="1210">
        <f t="shared" si="166"/>
        <v>5883.4641898566952</v>
      </c>
      <c r="Q181" s="1364">
        <f t="shared" si="139"/>
        <v>71376.412763765897</v>
      </c>
      <c r="R181" s="1364">
        <f t="shared" si="164"/>
        <v>26890.602337815879</v>
      </c>
      <c r="S181" s="576">
        <f t="shared" si="140"/>
        <v>0.92534407143296438</v>
      </c>
      <c r="T181" s="135" t="str">
        <f t="shared" si="141"/>
        <v>Yes</v>
      </c>
      <c r="U181" s="1526">
        <f t="shared" si="142"/>
        <v>0.92534407143296438</v>
      </c>
      <c r="V181" s="1494">
        <f t="shared" si="134"/>
        <v>75522.036870283788</v>
      </c>
      <c r="W181" s="1527">
        <f t="shared" si="135"/>
        <v>0.26257112936202054</v>
      </c>
      <c r="X181" s="527">
        <f t="shared" si="143"/>
        <v>44485.810425950018</v>
      </c>
      <c r="Y181" s="1509">
        <f t="shared" si="144"/>
        <v>12543.083682644075</v>
      </c>
      <c r="Z181" s="1531">
        <f t="shared" si="145"/>
        <v>2937.5012039878866</v>
      </c>
      <c r="AA181" s="1531">
        <f t="shared" si="146"/>
        <v>0</v>
      </c>
      <c r="AB181" s="1531">
        <f t="shared" si="147"/>
        <v>15555.641557701811</v>
      </c>
      <c r="AC181" s="1531">
        <f t="shared" si="148"/>
        <v>75522.036870283788</v>
      </c>
      <c r="AD181" s="1005">
        <f t="shared" si="149"/>
        <v>0</v>
      </c>
      <c r="AE181" s="649">
        <f t="shared" si="150"/>
        <v>0.58904410248307504</v>
      </c>
      <c r="AF181" s="417">
        <f t="shared" si="151"/>
        <v>0.16608508195015984</v>
      </c>
      <c r="AG181" s="417">
        <f t="shared" si="152"/>
        <v>3.8895947801743241E-2</v>
      </c>
      <c r="AH181" s="417">
        <f t="shared" si="165"/>
        <v>0</v>
      </c>
      <c r="AI181" s="417">
        <f t="shared" si="153"/>
        <v>0.20597486776502189</v>
      </c>
      <c r="AJ181" s="417">
        <f t="shared" si="154"/>
        <v>1</v>
      </c>
      <c r="AK181" s="1497">
        <f t="shared" si="155"/>
        <v>42316.300781664177</v>
      </c>
      <c r="AL181" s="1498">
        <f t="shared" si="156"/>
        <v>2059.6850063472216</v>
      </c>
      <c r="AM181" s="1498">
        <f t="shared" si="157"/>
        <v>109.8246379386195</v>
      </c>
      <c r="AN181" s="1498">
        <f t="shared" si="158"/>
        <v>44485.810425950018</v>
      </c>
      <c r="AO181" s="1184">
        <f t="shared" si="159"/>
        <v>0</v>
      </c>
    </row>
    <row r="182" spans="1:41">
      <c r="A182" s="873">
        <f>'Input data'!A122</f>
        <v>2022</v>
      </c>
      <c r="B182" s="1551">
        <f>'Input data'!B122</f>
        <v>61.14166465104848</v>
      </c>
      <c r="C182" s="1550">
        <f>'Input data'!C122</f>
        <v>4408.5100000000011</v>
      </c>
      <c r="D182" s="1511">
        <f>'Input data'!E122</f>
        <v>50359792.847133137</v>
      </c>
      <c r="E182" s="1508">
        <f>'Input data'!J122*C182</f>
        <v>53038.984956262379</v>
      </c>
      <c r="F182" s="1509">
        <f>'Input data'!L122</f>
        <v>103398.77780339553</v>
      </c>
      <c r="G182" s="1557">
        <f>G177*(1-E4)</f>
        <v>34219.854173807704</v>
      </c>
      <c r="H182" s="1509">
        <f t="shared" si="160"/>
        <v>43474.554499121747</v>
      </c>
      <c r="I182" s="1511">
        <f t="shared" si="136"/>
        <v>50359.79284713314</v>
      </c>
      <c r="J182" s="1454">
        <f t="shared" si="161"/>
        <v>0.19172168528933303</v>
      </c>
      <c r="K182" s="1512">
        <f t="shared" si="162"/>
        <v>6555.5329896119965</v>
      </c>
      <c r="L182" s="1512">
        <f t="shared" si="137"/>
        <v>0</v>
      </c>
      <c r="M182" s="1511">
        <f t="shared" si="163"/>
        <v>6555.5329896119965</v>
      </c>
      <c r="N182" s="1454">
        <f>$E$26</f>
        <v>0.5</v>
      </c>
      <c r="O182" s="530">
        <f t="shared" si="138"/>
        <v>751.91700000000026</v>
      </c>
      <c r="P182" s="1210">
        <f t="shared" si="166"/>
        <v>7307.4499896119969</v>
      </c>
      <c r="Q182" s="1364">
        <f t="shared" si="139"/>
        <v>70386.958683317454</v>
      </c>
      <c r="R182" s="1364">
        <f t="shared" si="164"/>
        <v>36167.104509509751</v>
      </c>
      <c r="S182" s="576">
        <f t="shared" si="140"/>
        <v>1.2184766534043596</v>
      </c>
      <c r="T182" s="135" t="str">
        <f t="shared" si="141"/>
        <v>No</v>
      </c>
      <c r="U182" s="1526">
        <f t="shared" si="142"/>
        <v>1</v>
      </c>
      <c r="V182" s="1494">
        <f t="shared" si="134"/>
        <v>73716.547611737158</v>
      </c>
      <c r="W182" s="1527">
        <f>(1-V182/F182)</f>
        <v>0.28706558067926824</v>
      </c>
      <c r="X182" s="527">
        <f t="shared" si="143"/>
        <v>40704.728491659072</v>
      </c>
      <c r="Y182" s="1509">
        <f t="shared" si="144"/>
        <v>13902.327682230418</v>
      </c>
      <c r="Z182" s="1531">
        <f t="shared" si="145"/>
        <v>3148.72204906348</v>
      </c>
      <c r="AA182" s="1531">
        <f t="shared" si="146"/>
        <v>0</v>
      </c>
      <c r="AB182" s="1531">
        <f t="shared" si="147"/>
        <v>15960.769388784185</v>
      </c>
      <c r="AC182" s="1531">
        <f t="shared" si="148"/>
        <v>73716.547611737158</v>
      </c>
      <c r="AD182" s="1005">
        <f t="shared" si="149"/>
        <v>6484.8743178513687</v>
      </c>
      <c r="AE182" s="649">
        <f t="shared" si="150"/>
        <v>0.55217898572854573</v>
      </c>
      <c r="AF182" s="417">
        <f t="shared" si="151"/>
        <v>0.18859168168663515</v>
      </c>
      <c r="AG182" s="417">
        <f t="shared" si="152"/>
        <v>4.2713910934186777E-2</v>
      </c>
      <c r="AH182" s="417">
        <f t="shared" si="165"/>
        <v>0</v>
      </c>
      <c r="AI182" s="417">
        <f t="shared" si="153"/>
        <v>0.21651542165063234</v>
      </c>
      <c r="AJ182" s="417">
        <f t="shared" si="154"/>
        <v>0.99999999999999989</v>
      </c>
      <c r="AK182" s="1497">
        <f t="shared" si="155"/>
        <v>40704.72849165908</v>
      </c>
      <c r="AL182" s="1498">
        <f t="shared" si="156"/>
        <v>0</v>
      </c>
      <c r="AM182" s="1498">
        <f t="shared" si="157"/>
        <v>0</v>
      </c>
      <c r="AN182" s="1498">
        <f t="shared" si="158"/>
        <v>40704.72849165908</v>
      </c>
      <c r="AO182" s="1184">
        <f t="shared" si="159"/>
        <v>0</v>
      </c>
    </row>
    <row r="183" spans="1:41">
      <c r="A183" s="873">
        <f>'Input data'!A123</f>
        <v>2023</v>
      </c>
      <c r="B183" s="1551">
        <f>'Input data'!B123</f>
        <v>62.126086164056694</v>
      </c>
      <c r="C183" s="1550">
        <f>'Input data'!C123</f>
        <v>4511.7199999999984</v>
      </c>
      <c r="D183" s="1511">
        <f>'Input data'!E123</f>
        <v>48748213.106871188</v>
      </c>
      <c r="E183" s="1508">
        <f>'Input data'!J123*C183</f>
        <v>54280.70917540574</v>
      </c>
      <c r="F183" s="1509">
        <f>'Input data'!L123</f>
        <v>103028.92228227694</v>
      </c>
      <c r="G183" s="1557">
        <f>($G$147-$G$142)/($A$147-$A$142)+G182</f>
        <v>32166.662923379241</v>
      </c>
      <c r="H183" s="1509">
        <f t="shared" si="160"/>
        <v>44727.865295564559</v>
      </c>
      <c r="I183" s="1511">
        <f t="shared" si="136"/>
        <v>48748.21310687119</v>
      </c>
      <c r="J183" s="1454">
        <f t="shared" si="161"/>
        <v>0.21775647462816641</v>
      </c>
      <c r="K183" s="1512">
        <f t="shared" si="162"/>
        <v>7614.8967532916849</v>
      </c>
      <c r="L183" s="1512">
        <f t="shared" si="137"/>
        <v>0</v>
      </c>
      <c r="M183" s="1511">
        <f t="shared" si="163"/>
        <v>7614.8967532916849</v>
      </c>
      <c r="N183" s="1454">
        <f>($N$147-$N$142)/($A$107-$A$102)+N182</f>
        <v>0.5</v>
      </c>
      <c r="O183" s="530">
        <f t="shared" si="138"/>
        <v>751.91700000000026</v>
      </c>
      <c r="P183" s="1210">
        <f t="shared" si="166"/>
        <v>8366.8137532916844</v>
      </c>
      <c r="Q183" s="1364">
        <f t="shared" si="139"/>
        <v>68527.714465652112</v>
      </c>
      <c r="R183" s="1364">
        <f t="shared" si="164"/>
        <v>36361.051542272871</v>
      </c>
      <c r="S183" s="576">
        <f t="shared" si="140"/>
        <v>1.1962941968409282</v>
      </c>
      <c r="T183" s="135" t="str">
        <f t="shared" si="141"/>
        <v>No</v>
      </c>
      <c r="U183" s="1526">
        <f t="shared" si="142"/>
        <v>1</v>
      </c>
      <c r="V183" s="1494">
        <f t="shared" si="134"/>
        <v>72634.181892921173</v>
      </c>
      <c r="W183" s="1527">
        <f t="shared" si="135"/>
        <v>0.29501172793092756</v>
      </c>
      <c r="X183" s="527">
        <f t="shared" si="143"/>
        <v>38132.974076296348</v>
      </c>
      <c r="Y183" s="1509">
        <f t="shared" si="144"/>
        <v>14961.937324690805</v>
      </c>
      <c r="Z183" s="1531">
        <f t="shared" si="145"/>
        <v>3204.8349418807438</v>
      </c>
      <c r="AA183" s="1531">
        <f t="shared" si="146"/>
        <v>0</v>
      </c>
      <c r="AB183" s="1531">
        <f t="shared" si="147"/>
        <v>16334.435550053271</v>
      </c>
      <c r="AC183" s="1531">
        <f t="shared" si="148"/>
        <v>72634.181892921173</v>
      </c>
      <c r="AD183" s="1005">
        <f t="shared" si="149"/>
        <v>5966.3111529171074</v>
      </c>
      <c r="AE183" s="649">
        <f t="shared" si="150"/>
        <v>0.52500039351324668</v>
      </c>
      <c r="AF183" s="417">
        <f t="shared" si="151"/>
        <v>0.20599030559396958</v>
      </c>
      <c r="AG183" s="417">
        <f t="shared" si="152"/>
        <v>4.4122957791489663E-2</v>
      </c>
      <c r="AH183" s="417">
        <f t="shared" si="165"/>
        <v>0</v>
      </c>
      <c r="AI183" s="417">
        <f t="shared" si="153"/>
        <v>0.22488634310129405</v>
      </c>
      <c r="AJ183" s="417">
        <f t="shared" si="154"/>
        <v>1</v>
      </c>
      <c r="AK183" s="1497">
        <f t="shared" si="155"/>
        <v>38132.974076296341</v>
      </c>
      <c r="AL183" s="1498">
        <f t="shared" si="156"/>
        <v>0</v>
      </c>
      <c r="AM183" s="1498">
        <f t="shared" si="157"/>
        <v>0</v>
      </c>
      <c r="AN183" s="1498">
        <f t="shared" si="158"/>
        <v>38132.974076296341</v>
      </c>
      <c r="AO183" s="1184">
        <f t="shared" si="159"/>
        <v>0</v>
      </c>
    </row>
    <row r="184" spans="1:41">
      <c r="A184" s="873">
        <f>'Input data'!A124</f>
        <v>2024</v>
      </c>
      <c r="B184" s="1551">
        <f>'Input data'!B124</f>
        <v>63.126357518916684</v>
      </c>
      <c r="C184" s="1550">
        <f>'Input data'!C124</f>
        <v>4622.4800000000005</v>
      </c>
      <c r="D184" s="1511">
        <f>'Input data'!E124</f>
        <v>46900203.343432628</v>
      </c>
      <c r="E184" s="1508">
        <f>'Input data'!J124*C184</f>
        <v>55613.267789031597</v>
      </c>
      <c r="F184" s="1509">
        <f>'Input data'!L124</f>
        <v>102513.47113246423</v>
      </c>
      <c r="G184" s="1557">
        <f t="shared" ref="G184:G186" si="167">($G$147-$G$142)/($A$147-$A$142)+G183</f>
        <v>30113.471672950778</v>
      </c>
      <c r="H184" s="1509">
        <f t="shared" si="160"/>
        <v>45811.419224364581</v>
      </c>
      <c r="I184" s="1511">
        <f t="shared" si="136"/>
        <v>46900.203343432629</v>
      </c>
      <c r="J184" s="1454">
        <f t="shared" si="161"/>
        <v>0.24379126396699979</v>
      </c>
      <c r="K184" s="1512">
        <f t="shared" si="162"/>
        <v>8547.2583979630217</v>
      </c>
      <c r="L184" s="1512">
        <f t="shared" si="137"/>
        <v>0</v>
      </c>
      <c r="M184" s="1511">
        <f t="shared" si="163"/>
        <v>8547.2583979630217</v>
      </c>
      <c r="N184" s="1454">
        <f>($N$147-$N$142)/($A$107-$A$102)+N183</f>
        <v>0.5</v>
      </c>
      <c r="O184" s="530">
        <f t="shared" si="138"/>
        <v>751.91700000000026</v>
      </c>
      <c r="P184" s="1210">
        <f t="shared" si="166"/>
        <v>9299.1753979630212</v>
      </c>
      <c r="Q184" s="1364">
        <f t="shared" si="139"/>
        <v>66625.715499352344</v>
      </c>
      <c r="R184" s="1364">
        <f t="shared" si="164"/>
        <v>36512.243826401565</v>
      </c>
      <c r="S184" s="576">
        <f t="shared" si="140"/>
        <v>1.1717901058941513</v>
      </c>
      <c r="T184" s="135" t="str">
        <f t="shared" si="141"/>
        <v>No</v>
      </c>
      <c r="U184" s="1526">
        <f t="shared" si="142"/>
        <v>1</v>
      </c>
      <c r="V184" s="1494">
        <f t="shared" si="134"/>
        <v>71354.099123139778</v>
      </c>
      <c r="W184" s="1527">
        <f t="shared" si="135"/>
        <v>0.30395392590951709</v>
      </c>
      <c r="X184" s="527">
        <f t="shared" si="143"/>
        <v>35466.343490027881</v>
      </c>
      <c r="Y184" s="1509">
        <f t="shared" si="144"/>
        <v>15887.266964348062</v>
      </c>
      <c r="Z184" s="1531">
        <f t="shared" si="145"/>
        <v>3265.0525952906887</v>
      </c>
      <c r="AA184" s="1531">
        <f t="shared" si="146"/>
        <v>0</v>
      </c>
      <c r="AB184" s="1531">
        <f t="shared" si="147"/>
        <v>16735.436073473149</v>
      </c>
      <c r="AC184" s="1531">
        <f t="shared" si="148"/>
        <v>71354.099123139778</v>
      </c>
      <c r="AD184" s="1005">
        <f t="shared" si="149"/>
        <v>5352.8718170771026</v>
      </c>
      <c r="AE184" s="649">
        <f t="shared" si="150"/>
        <v>0.4970470362021055</v>
      </c>
      <c r="AF184" s="417">
        <f t="shared" si="151"/>
        <v>0.22265387916860269</v>
      </c>
      <c r="AG184" s="417">
        <f t="shared" si="152"/>
        <v>4.5758444650194574E-2</v>
      </c>
      <c r="AH184" s="417">
        <f t="shared" si="165"/>
        <v>0</v>
      </c>
      <c r="AI184" s="417">
        <f t="shared" si="153"/>
        <v>0.2345406399790973</v>
      </c>
      <c r="AJ184" s="417">
        <f t="shared" si="154"/>
        <v>1</v>
      </c>
      <c r="AK184" s="1497">
        <f t="shared" si="155"/>
        <v>35466.343490027881</v>
      </c>
      <c r="AL184" s="1498">
        <f t="shared" si="156"/>
        <v>0</v>
      </c>
      <c r="AM184" s="1498">
        <f t="shared" si="157"/>
        <v>0</v>
      </c>
      <c r="AN184" s="1498">
        <f t="shared" si="158"/>
        <v>35466.343490027881</v>
      </c>
      <c r="AO184" s="1184">
        <f t="shared" si="159"/>
        <v>0</v>
      </c>
    </row>
    <row r="185" spans="1:41">
      <c r="A185" s="873">
        <f>'Input data'!A125</f>
        <v>2025</v>
      </c>
      <c r="B185" s="1551">
        <f>'Input data'!B125</f>
        <v>64.142733908636146</v>
      </c>
      <c r="C185" s="1550">
        <f>'Input data'!C125</f>
        <v>4727.3100000000004</v>
      </c>
      <c r="D185" s="1511">
        <f>'Input data'!E125</f>
        <v>41859241.005426526</v>
      </c>
      <c r="E185" s="1508">
        <f>'Input data'!J125*C185</f>
        <v>56874.48230209043</v>
      </c>
      <c r="F185" s="1509">
        <f>'Input data'!L125</f>
        <v>98733.72330751695</v>
      </c>
      <c r="G185" s="1557">
        <f t="shared" si="167"/>
        <v>28060.280422522315</v>
      </c>
      <c r="H185" s="1509">
        <f t="shared" si="160"/>
        <v>43857.601836146532</v>
      </c>
      <c r="I185" s="1511">
        <f t="shared" si="136"/>
        <v>41859.241005426527</v>
      </c>
      <c r="J185" s="1454">
        <f t="shared" si="161"/>
        <v>0.26982605330583315</v>
      </c>
      <c r="K185" s="1512">
        <f t="shared" si="162"/>
        <v>8718.3721716778837</v>
      </c>
      <c r="L185" s="1512">
        <f t="shared" si="137"/>
        <v>0</v>
      </c>
      <c r="M185" s="1511">
        <f t="shared" si="163"/>
        <v>8718.3721716778837</v>
      </c>
      <c r="N185" s="1454">
        <f>($N$147-$N$142)/($A$107-$A$102)+N184</f>
        <v>0.5</v>
      </c>
      <c r="O185" s="530">
        <f t="shared" si="138"/>
        <v>751.91700000000026</v>
      </c>
      <c r="P185" s="1210">
        <f t="shared" si="166"/>
        <v>9470.2891716778831</v>
      </c>
      <c r="Q185" s="1364">
        <f t="shared" si="139"/>
        <v>62447.593086990964</v>
      </c>
      <c r="R185" s="1364">
        <f t="shared" si="164"/>
        <v>34387.312664468649</v>
      </c>
      <c r="S185" s="576">
        <f t="shared" si="140"/>
        <v>1.0785447295983877</v>
      </c>
      <c r="T185" s="135" t="str">
        <f t="shared" si="141"/>
        <v>No</v>
      </c>
      <c r="U185" s="1526">
        <f t="shared" si="142"/>
        <v>1</v>
      </c>
      <c r="V185" s="1494">
        <f t="shared" si="134"/>
        <v>66850.657431080588</v>
      </c>
      <c r="W185" s="1527">
        <f t="shared" si="135"/>
        <v>0.3229197158617535</v>
      </c>
      <c r="X185" s="527">
        <f t="shared" si="143"/>
        <v>30564.527210554592</v>
      </c>
      <c r="Y185" s="1509">
        <f t="shared" si="144"/>
        <v>15849.116619683167</v>
      </c>
      <c r="Z185" s="1531">
        <f t="shared" si="145"/>
        <v>3322.0462446854558</v>
      </c>
      <c r="AA185" s="1531">
        <f t="shared" si="146"/>
        <v>0</v>
      </c>
      <c r="AB185" s="1531">
        <f t="shared" si="147"/>
        <v>17114.967356157376</v>
      </c>
      <c r="AC185" s="1531">
        <f t="shared" si="148"/>
        <v>66850.657431080588</v>
      </c>
      <c r="AD185" s="1005">
        <f t="shared" si="149"/>
        <v>2504.2467880322765</v>
      </c>
      <c r="AE185" s="649">
        <f t="shared" si="150"/>
        <v>0.4572060827085353</v>
      </c>
      <c r="AF185" s="417">
        <f t="shared" si="151"/>
        <v>0.23708243461962583</v>
      </c>
      <c r="AG185" s="417">
        <f t="shared" si="152"/>
        <v>4.9693546366545549E-2</v>
      </c>
      <c r="AH185" s="417">
        <f t="shared" si="165"/>
        <v>0</v>
      </c>
      <c r="AI185" s="417">
        <f t="shared" si="153"/>
        <v>0.25601793630529335</v>
      </c>
      <c r="AJ185" s="417">
        <f t="shared" si="154"/>
        <v>1</v>
      </c>
      <c r="AK185" s="1497">
        <f t="shared" si="155"/>
        <v>30564.527210554596</v>
      </c>
      <c r="AL185" s="1498">
        <f t="shared" si="156"/>
        <v>0</v>
      </c>
      <c r="AM185" s="1498">
        <f t="shared" si="157"/>
        <v>0</v>
      </c>
      <c r="AN185" s="1498">
        <f t="shared" si="158"/>
        <v>30564.527210554596</v>
      </c>
      <c r="AO185" s="1184">
        <f t="shared" si="159"/>
        <v>0</v>
      </c>
    </row>
    <row r="186" spans="1:41">
      <c r="A186" s="873">
        <f>'Input data'!A126</f>
        <v>2026</v>
      </c>
      <c r="B186" s="1551">
        <f>'Input data'!B126</f>
        <v>65.115730264701668</v>
      </c>
      <c r="C186" s="1550">
        <f>'Input data'!C126</f>
        <v>4818.42</v>
      </c>
      <c r="D186" s="1511">
        <f>'Input data'!E126</f>
        <v>37757514.205797322</v>
      </c>
      <c r="E186" s="1508">
        <f>'Input data'!J126*C186</f>
        <v>57970.630869149376</v>
      </c>
      <c r="F186" s="1509">
        <f>'Input data'!L126</f>
        <v>95728.145074946689</v>
      </c>
      <c r="G186" s="1557">
        <f t="shared" si="167"/>
        <v>26007.089172093853</v>
      </c>
      <c r="H186" s="1509">
        <f t="shared" si="160"/>
        <v>42690.496147868806</v>
      </c>
      <c r="I186" s="1511">
        <f t="shared" si="136"/>
        <v>37757.514205797321</v>
      </c>
      <c r="J186" s="1454">
        <f t="shared" si="161"/>
        <v>0.2958608426446665</v>
      </c>
      <c r="K186" s="1512">
        <f t="shared" si="162"/>
        <v>8847.0803547534761</v>
      </c>
      <c r="L186" s="1512">
        <f t="shared" si="137"/>
        <v>0</v>
      </c>
      <c r="M186" s="1511">
        <f t="shared" si="163"/>
        <v>8847.0803547534761</v>
      </c>
      <c r="N186" s="1454">
        <f>($N$147-$N$142)/($A$107-$A$102)+N185</f>
        <v>0.5</v>
      </c>
      <c r="O186" s="530">
        <f t="shared" si="138"/>
        <v>751.91700000000026</v>
      </c>
      <c r="P186" s="1210">
        <f t="shared" si="166"/>
        <v>9598.9973547534755</v>
      </c>
      <c r="Q186" s="1364">
        <f t="shared" si="139"/>
        <v>59098.587965209183</v>
      </c>
      <c r="R186" s="1364">
        <f t="shared" si="164"/>
        <v>33091.49879311533</v>
      </c>
      <c r="S186" s="576">
        <f t="shared" si="140"/>
        <v>1.0178227819034407</v>
      </c>
      <c r="T186" s="135" t="str">
        <f t="shared" si="141"/>
        <v>No</v>
      </c>
      <c r="U186" s="1526">
        <f t="shared" si="142"/>
        <v>1</v>
      </c>
      <c r="V186" s="1494">
        <f t="shared" si="134"/>
        <v>63216.101346439682</v>
      </c>
      <c r="W186" s="1527">
        <f t="shared" si="135"/>
        <v>0.33962889078288261</v>
      </c>
      <c r="X186" s="527">
        <f t="shared" si="143"/>
        <v>26586.544236702161</v>
      </c>
      <c r="Y186" s="1509">
        <f t="shared" si="144"/>
        <v>15813.150333642216</v>
      </c>
      <c r="Z186" s="1531">
        <f t="shared" si="145"/>
        <v>3371.5806470164412</v>
      </c>
      <c r="AA186" s="1531">
        <f t="shared" si="146"/>
        <v>0</v>
      </c>
      <c r="AB186" s="1531">
        <f t="shared" si="147"/>
        <v>17444.826129078869</v>
      </c>
      <c r="AC186" s="1531">
        <f t="shared" si="148"/>
        <v>63216.101346439682</v>
      </c>
      <c r="AD186" s="1005">
        <f t="shared" si="149"/>
        <v>579.45506460830802</v>
      </c>
      <c r="AE186" s="1454">
        <f t="shared" si="150"/>
        <v>0.42056602147926525</v>
      </c>
      <c r="AF186" s="1504">
        <f t="shared" si="151"/>
        <v>0.2501443460896503</v>
      </c>
      <c r="AG186" s="1504">
        <f t="shared" si="152"/>
        <v>5.3334207190971102E-2</v>
      </c>
      <c r="AH186" s="1504">
        <f t="shared" si="165"/>
        <v>0</v>
      </c>
      <c r="AI186" s="1504">
        <f t="shared" si="153"/>
        <v>0.27595542524011341</v>
      </c>
      <c r="AJ186" s="1504">
        <f t="shared" si="154"/>
        <v>1</v>
      </c>
      <c r="AK186" s="1555">
        <f t="shared" si="155"/>
        <v>26586.544236702161</v>
      </c>
      <c r="AL186" s="1556">
        <f t="shared" si="156"/>
        <v>0</v>
      </c>
      <c r="AM186" s="1556">
        <f t="shared" si="157"/>
        <v>0</v>
      </c>
      <c r="AN186" s="1556">
        <f t="shared" si="158"/>
        <v>26586.544236702161</v>
      </c>
      <c r="AO186" s="1543">
        <f t="shared" si="159"/>
        <v>0</v>
      </c>
    </row>
    <row r="187" spans="1:41">
      <c r="A187" s="873">
        <f>'Input data'!A127</f>
        <v>2027</v>
      </c>
      <c r="B187" s="1551">
        <f>'Input data'!B127</f>
        <v>66.042835586617315</v>
      </c>
      <c r="C187" s="1550">
        <f>'Input data'!C127</f>
        <v>4908.8799999999992</v>
      </c>
      <c r="D187" s="1511">
        <f>'Input data'!E127</f>
        <v>35019614.880897872</v>
      </c>
      <c r="E187" s="1508">
        <f>'Input data'!J127*C187</f>
        <v>59058.959256550894</v>
      </c>
      <c r="F187" s="1509">
        <f>'Input data'!L127</f>
        <v>94078.57413744877</v>
      </c>
      <c r="G187" s="1557">
        <f>G177*(1-E5)</f>
        <v>23953.89792166539</v>
      </c>
      <c r="H187" s="1509">
        <f t="shared" si="160"/>
        <v>42798.790162652185</v>
      </c>
      <c r="I187" s="1511">
        <f t="shared" si="136"/>
        <v>35019.614880897869</v>
      </c>
      <c r="J187" s="1454">
        <f t="shared" si="161"/>
        <v>0.32189563198349985</v>
      </c>
      <c r="K187" s="1512">
        <f t="shared" si="162"/>
        <v>9117.2829615125029</v>
      </c>
      <c r="L187" s="1512">
        <f t="shared" si="137"/>
        <v>0</v>
      </c>
      <c r="M187" s="1511">
        <f t="shared" si="163"/>
        <v>9117.2829615125029</v>
      </c>
      <c r="N187" s="1454">
        <f>$C$27</f>
        <v>0.5</v>
      </c>
      <c r="O187" s="530">
        <f t="shared" si="138"/>
        <v>751.91700000000026</v>
      </c>
      <c r="P187" s="1210">
        <f t="shared" si="166"/>
        <v>9869.1999615125023</v>
      </c>
      <c r="Q187" s="1364">
        <f t="shared" si="139"/>
        <v>56883.488122805073</v>
      </c>
      <c r="R187" s="1364">
        <f t="shared" si="164"/>
        <v>32929.590201139683</v>
      </c>
      <c r="S187" s="576">
        <f t="shared" si="140"/>
        <v>0.99375480541317152</v>
      </c>
      <c r="T187" s="135" t="str">
        <f t="shared" si="141"/>
        <v>Yes</v>
      </c>
      <c r="U187" s="1526">
        <f t="shared" si="142"/>
        <v>0.99375480541317152</v>
      </c>
      <c r="V187" s="1494">
        <f t="shared" si="134"/>
        <v>61148.983936309101</v>
      </c>
      <c r="W187" s="1527">
        <f t="shared" si="135"/>
        <v>0.35002220753292401</v>
      </c>
      <c r="X187" s="527">
        <f t="shared" si="143"/>
        <v>23953.897921665393</v>
      </c>
      <c r="Y187" s="1509">
        <f t="shared" si="144"/>
        <v>16001.992742737406</v>
      </c>
      <c r="Z187" s="1531">
        <f t="shared" si="145"/>
        <v>3420.7616593626267</v>
      </c>
      <c r="AA187" s="1531">
        <f t="shared" si="146"/>
        <v>0</v>
      </c>
      <c r="AB187" s="1531">
        <f t="shared" si="147"/>
        <v>17772.331612543669</v>
      </c>
      <c r="AC187" s="1531">
        <f t="shared" si="148"/>
        <v>61148.983936309101</v>
      </c>
      <c r="AD187" s="1005">
        <f t="shared" si="149"/>
        <v>0</v>
      </c>
      <c r="AE187" s="1454">
        <f t="shared" si="150"/>
        <v>0.39173010538678837</v>
      </c>
      <c r="AF187" s="1504">
        <f t="shared" si="151"/>
        <v>0.26168861218372147</v>
      </c>
      <c r="AG187" s="1504">
        <f t="shared" si="152"/>
        <v>5.5941430898109226E-2</v>
      </c>
      <c r="AH187" s="1504">
        <f t="shared" si="165"/>
        <v>0</v>
      </c>
      <c r="AI187" s="1504">
        <f t="shared" si="153"/>
        <v>0.29063985153138083</v>
      </c>
      <c r="AJ187" s="1504">
        <f t="shared" si="154"/>
        <v>0.99999999999999989</v>
      </c>
      <c r="AK187" s="1555">
        <f t="shared" si="155"/>
        <v>23746.953816992478</v>
      </c>
      <c r="AL187" s="1556">
        <f t="shared" si="156"/>
        <v>196.85160556739265</v>
      </c>
      <c r="AM187" s="1556">
        <f t="shared" si="157"/>
        <v>10.092499105524491</v>
      </c>
      <c r="AN187" s="1556">
        <f t="shared" si="158"/>
        <v>23953.897921665397</v>
      </c>
      <c r="AO187" s="1543">
        <f t="shared" si="159"/>
        <v>0</v>
      </c>
    </row>
    <row r="188" spans="1:41">
      <c r="A188" s="873">
        <f>'Input data'!A128</f>
        <v>2028</v>
      </c>
      <c r="B188" s="1551">
        <f>'Input data'!B128</f>
        <v>66.921626677758155</v>
      </c>
      <c r="C188" s="1550">
        <f>'Input data'!C128</f>
        <v>5001.3400000000011</v>
      </c>
      <c r="D188" s="1511">
        <f>'Input data'!E128</f>
        <v>32897025.730580334</v>
      </c>
      <c r="E188" s="1508">
        <f>'Input data'!J128*C188</f>
        <v>60171.349735206066</v>
      </c>
      <c r="F188" s="1509">
        <f>'Input data'!L128</f>
        <v>93068.375465786405</v>
      </c>
      <c r="G188" s="1557">
        <f>($G$152-$G$147)/($A$152-$A$147)+G187</f>
        <v>21900.706671236927</v>
      </c>
      <c r="H188" s="1509">
        <f t="shared" si="160"/>
        <v>43498.330401514526</v>
      </c>
      <c r="I188" s="1511">
        <f t="shared" si="136"/>
        <v>32897.025730580332</v>
      </c>
      <c r="J188" s="1454">
        <f t="shared" si="161"/>
        <v>0.34793042132233321</v>
      </c>
      <c r="K188" s="1512">
        <f t="shared" si="162"/>
        <v>9421.1384824682391</v>
      </c>
      <c r="L188" s="1512">
        <f t="shared" si="137"/>
        <v>0</v>
      </c>
      <c r="M188" s="1511">
        <f t="shared" si="163"/>
        <v>9421.1384824682391</v>
      </c>
      <c r="N188" s="1454">
        <f>N187</f>
        <v>0.5</v>
      </c>
      <c r="O188" s="530">
        <f t="shared" si="138"/>
        <v>751.91700000000026</v>
      </c>
      <c r="P188" s="1210">
        <f t="shared" si="166"/>
        <v>10173.055482468239</v>
      </c>
      <c r="Q188" s="1364">
        <f t="shared" si="139"/>
        <v>55225.981590283212</v>
      </c>
      <c r="R188" s="1364">
        <f t="shared" si="164"/>
        <v>33325.274919046286</v>
      </c>
      <c r="S188" s="576">
        <f t="shared" si="140"/>
        <v>0.98668958694111608</v>
      </c>
      <c r="T188" s="135" t="str">
        <f t="shared" si="141"/>
        <v>Yes</v>
      </c>
      <c r="U188" s="1526">
        <f t="shared" si="142"/>
        <v>0.98668958694111608</v>
      </c>
      <c r="V188" s="1494">
        <f t="shared" si="134"/>
        <v>59743.100546740112</v>
      </c>
      <c r="W188" s="1527">
        <f t="shared" si="135"/>
        <v>0.35807302697893617</v>
      </c>
      <c r="X188" s="527">
        <f t="shared" si="143"/>
        <v>21900.706671236927</v>
      </c>
      <c r="Y188" s="1509">
        <f t="shared" si="144"/>
        <v>16264.285863350544</v>
      </c>
      <c r="Z188" s="1531">
        <f t="shared" si="145"/>
        <v>3471.0300255081979</v>
      </c>
      <c r="AA188" s="1531">
        <f t="shared" si="146"/>
        <v>0</v>
      </c>
      <c r="AB188" s="1531">
        <f t="shared" si="147"/>
        <v>18107.077986644446</v>
      </c>
      <c r="AC188" s="1531">
        <f t="shared" si="148"/>
        <v>59743.100546740112</v>
      </c>
      <c r="AD188" s="1005">
        <f t="shared" si="149"/>
        <v>0</v>
      </c>
      <c r="AE188" s="1454">
        <f t="shared" si="150"/>
        <v>0.36658135367619349</v>
      </c>
      <c r="AF188" s="1504">
        <f t="shared" si="151"/>
        <v>0.27223705690711775</v>
      </c>
      <c r="AG188" s="1504">
        <f t="shared" si="152"/>
        <v>5.8099261567327462E-2</v>
      </c>
      <c r="AH188" s="1504">
        <f t="shared" si="165"/>
        <v>0</v>
      </c>
      <c r="AI188" s="1504">
        <f t="shared" si="153"/>
        <v>0.30308232784936134</v>
      </c>
      <c r="AJ188" s="1504">
        <f t="shared" si="154"/>
        <v>1</v>
      </c>
      <c r="AK188" s="1555">
        <f t="shared" si="155"/>
        <v>21451.149707887878</v>
      </c>
      <c r="AL188" s="1556">
        <f t="shared" si="156"/>
        <v>427.45311251863677</v>
      </c>
      <c r="AM188" s="1556">
        <f t="shared" si="157"/>
        <v>22.103850830406991</v>
      </c>
      <c r="AN188" s="1556">
        <f t="shared" si="158"/>
        <v>21900.706671236923</v>
      </c>
      <c r="AO188" s="1543">
        <f t="shared" si="159"/>
        <v>0</v>
      </c>
    </row>
    <row r="189" spans="1:41">
      <c r="A189" s="873">
        <f>'Input data'!A129</f>
        <v>2029</v>
      </c>
      <c r="B189" s="1551">
        <f>'Input data'!B129</f>
        <v>67.749778587208695</v>
      </c>
      <c r="C189" s="1550">
        <f>'Input data'!C129</f>
        <v>5124.16</v>
      </c>
      <c r="D189" s="1511">
        <f>'Input data'!E129</f>
        <v>31986451.408819646</v>
      </c>
      <c r="E189" s="1508">
        <f>'Input data'!J129*C189</f>
        <v>61649.00275909125</v>
      </c>
      <c r="F189" s="1509">
        <f>'Input data'!L129</f>
        <v>93635.454167910895</v>
      </c>
      <c r="G189" s="1557">
        <f t="shared" ref="G189:G191" si="168">($G$152-$G$147)/($A$152-$A$147)+G188</f>
        <v>19847.515420808464</v>
      </c>
      <c r="H189" s="1509">
        <f t="shared" si="160"/>
        <v>45544.878946119388</v>
      </c>
      <c r="I189" s="1511">
        <f t="shared" si="136"/>
        <v>31986.451408819645</v>
      </c>
      <c r="J189" s="1454">
        <f t="shared" si="161"/>
        <v>0.37396521066116656</v>
      </c>
      <c r="K189" s="1512">
        <f t="shared" si="162"/>
        <v>9993.1262895053915</v>
      </c>
      <c r="L189" s="1512">
        <f t="shared" si="137"/>
        <v>0</v>
      </c>
      <c r="M189" s="1511">
        <f t="shared" si="163"/>
        <v>9993.1262895053915</v>
      </c>
      <c r="N189" s="1454">
        <f t="shared" ref="N189:N210" si="169">N188</f>
        <v>0.5</v>
      </c>
      <c r="O189" s="530">
        <f t="shared" si="138"/>
        <v>751.91700000000026</v>
      </c>
      <c r="P189" s="1210">
        <f t="shared" si="166"/>
        <v>10745.043289505391</v>
      </c>
      <c r="Q189" s="1364">
        <f t="shared" si="139"/>
        <v>54647.351077422463</v>
      </c>
      <c r="R189" s="1364">
        <f t="shared" si="164"/>
        <v>34799.835656613999</v>
      </c>
      <c r="S189" s="576">
        <f t="shared" si="140"/>
        <v>1.0051155989507035</v>
      </c>
      <c r="T189" s="135" t="str">
        <f t="shared" si="141"/>
        <v>No</v>
      </c>
      <c r="U189" s="1526">
        <f t="shared" si="142"/>
        <v>1</v>
      </c>
      <c r="V189" s="1494">
        <f t="shared" si="134"/>
        <v>59012.734459905667</v>
      </c>
      <c r="W189" s="1527">
        <f t="shared" si="135"/>
        <v>0.36976079216659063</v>
      </c>
      <c r="X189" s="527">
        <f t="shared" si="143"/>
        <v>20024.631369417235</v>
      </c>
      <c r="Y189" s="1509">
        <f t="shared" si="144"/>
        <v>16898.557587560812</v>
      </c>
      <c r="Z189" s="1531">
        <f t="shared" si="145"/>
        <v>3537.8044223284328</v>
      </c>
      <c r="AA189" s="1531">
        <f t="shared" si="146"/>
        <v>0</v>
      </c>
      <c r="AB189" s="1531">
        <f t="shared" si="147"/>
        <v>18551.741080599193</v>
      </c>
      <c r="AC189" s="1531">
        <f t="shared" si="148"/>
        <v>59012.734459905667</v>
      </c>
      <c r="AD189" s="1005">
        <f t="shared" si="149"/>
        <v>177.11594860877085</v>
      </c>
      <c r="AE189" s="1454">
        <f t="shared" si="150"/>
        <v>0.33932729185803678</v>
      </c>
      <c r="AF189" s="1504">
        <f t="shared" si="151"/>
        <v>0.28635442404455941</v>
      </c>
      <c r="AG189" s="1504">
        <f t="shared" si="152"/>
        <v>5.9949847345780627E-2</v>
      </c>
      <c r="AH189" s="1504">
        <f t="shared" si="165"/>
        <v>0</v>
      </c>
      <c r="AI189" s="1504">
        <f t="shared" si="153"/>
        <v>0.31436843675162324</v>
      </c>
      <c r="AJ189" s="1504">
        <f t="shared" si="154"/>
        <v>1.0000000000000002</v>
      </c>
      <c r="AK189" s="1555">
        <f t="shared" si="155"/>
        <v>20024.631369417239</v>
      </c>
      <c r="AL189" s="1556">
        <f t="shared" si="156"/>
        <v>0</v>
      </c>
      <c r="AM189" s="1556">
        <f t="shared" si="157"/>
        <v>0</v>
      </c>
      <c r="AN189" s="1556">
        <f t="shared" si="158"/>
        <v>20024.631369417239</v>
      </c>
      <c r="AO189" s="1543">
        <f t="shared" si="159"/>
        <v>0</v>
      </c>
    </row>
    <row r="190" spans="1:41">
      <c r="A190" s="873">
        <f>'Input data'!A130</f>
        <v>2030</v>
      </c>
      <c r="B190" s="1551">
        <f>'Input data'!B130</f>
        <v>68.525074762177482</v>
      </c>
      <c r="C190" s="1550">
        <f>'Input data'!C130</f>
        <v>5234.6499999999996</v>
      </c>
      <c r="D190" s="1511">
        <f>'Input data'!E130</f>
        <v>29783743.542171866</v>
      </c>
      <c r="E190" s="1508">
        <f>'Input data'!J130*C190</f>
        <v>62978.312990397841</v>
      </c>
      <c r="F190" s="1509">
        <f>'Input data'!L130</f>
        <v>92762.05653256971</v>
      </c>
      <c r="G190" s="1557">
        <f t="shared" si="168"/>
        <v>17794.324170380001</v>
      </c>
      <c r="H190" s="1509">
        <f t="shared" si="160"/>
        <v>46293.701692944283</v>
      </c>
      <c r="I190" s="1511">
        <f t="shared" si="136"/>
        <v>29783.743542171866</v>
      </c>
      <c r="J190" s="1504">
        <f>$H$19</f>
        <v>0.4</v>
      </c>
      <c r="K190" s="1512">
        <f t="shared" si="162"/>
        <v>10080.375354949685</v>
      </c>
      <c r="L190" s="1512">
        <f t="shared" si="137"/>
        <v>0</v>
      </c>
      <c r="M190" s="1511">
        <f t="shared" si="163"/>
        <v>10080.375354949685</v>
      </c>
      <c r="N190" s="1454">
        <f t="shared" si="169"/>
        <v>0.5</v>
      </c>
      <c r="O190" s="530">
        <f t="shared" si="138"/>
        <v>751.91700000000026</v>
      </c>
      <c r="P190" s="1210">
        <f t="shared" si="166"/>
        <v>10832.292354949685</v>
      </c>
      <c r="Q190" s="1364">
        <f t="shared" si="139"/>
        <v>53255.7335083746</v>
      </c>
      <c r="R190" s="1364">
        <f t="shared" si="164"/>
        <v>35461.409337994599</v>
      </c>
      <c r="S190" s="576">
        <f t="shared" si="140"/>
        <v>1.002145567591064</v>
      </c>
      <c r="T190" s="135" t="str">
        <f t="shared" si="141"/>
        <v>No</v>
      </c>
      <c r="U190" s="1526">
        <f t="shared" si="142"/>
        <v>1</v>
      </c>
      <c r="V190" s="1494">
        <f t="shared" si="134"/>
        <v>57376.569149498231</v>
      </c>
      <c r="W190" s="1527">
        <f t="shared" si="135"/>
        <v>0.38146510228185027</v>
      </c>
      <c r="X190" s="527">
        <f t="shared" si="143"/>
        <v>17870.246125303118</v>
      </c>
      <c r="Y190" s="1509">
        <f t="shared" si="144"/>
        <v>16956.68365743645</v>
      </c>
      <c r="Z190" s="1531">
        <f t="shared" si="145"/>
        <v>3597.8752829754594</v>
      </c>
      <c r="AA190" s="1531">
        <f t="shared" si="146"/>
        <v>0</v>
      </c>
      <c r="AB190" s="1531">
        <f t="shared" si="147"/>
        <v>18951.764083783208</v>
      </c>
      <c r="AC190" s="1531">
        <f t="shared" si="148"/>
        <v>57376.569149498231</v>
      </c>
      <c r="AD190" s="1005">
        <f t="shared" si="149"/>
        <v>75.921954923116573</v>
      </c>
      <c r="AE190" s="1454">
        <f t="shared" si="150"/>
        <v>0.311455466755795</v>
      </c>
      <c r="AF190" s="1504">
        <f t="shared" si="151"/>
        <v>0.29553324482080401</v>
      </c>
      <c r="AG190" s="1504">
        <f t="shared" si="152"/>
        <v>6.2706350977538766E-2</v>
      </c>
      <c r="AH190" s="1504">
        <f t="shared" si="165"/>
        <v>0</v>
      </c>
      <c r="AI190" s="1504">
        <f t="shared" si="153"/>
        <v>0.33030493744586231</v>
      </c>
      <c r="AJ190" s="1504">
        <f t="shared" si="154"/>
        <v>1</v>
      </c>
      <c r="AK190" s="1555">
        <f t="shared" si="155"/>
        <v>17870.246125303122</v>
      </c>
      <c r="AL190" s="1556">
        <f t="shared" si="156"/>
        <v>0</v>
      </c>
      <c r="AM190" s="1556">
        <f t="shared" si="157"/>
        <v>0</v>
      </c>
      <c r="AN190" s="1556">
        <f t="shared" si="158"/>
        <v>17870.246125303122</v>
      </c>
      <c r="AO190" s="1543">
        <f t="shared" si="159"/>
        <v>0</v>
      </c>
    </row>
    <row r="191" spans="1:41">
      <c r="A191" s="873">
        <f>'Input data'!A131</f>
        <v>2031</v>
      </c>
      <c r="B191" s="1551">
        <f>'Input data'!B131</f>
        <v>69.286388472916428</v>
      </c>
      <c r="C191" s="1550">
        <f>'Input data'!C131</f>
        <v>5365.4400000000005</v>
      </c>
      <c r="D191" s="1511">
        <f>'Input data'!E131</f>
        <v>28782558.928955987</v>
      </c>
      <c r="E191" s="1508">
        <f>'Input data'!J131*C191</f>
        <v>64551.853447928748</v>
      </c>
      <c r="F191" s="1509">
        <f>'Input data'!L131</f>
        <v>93334.412376884735</v>
      </c>
      <c r="G191" s="1557">
        <f t="shared" si="168"/>
        <v>15741.132919951538</v>
      </c>
      <c r="H191" s="1509">
        <f t="shared" si="160"/>
        <v>48310.237696745928</v>
      </c>
      <c r="I191" s="1511">
        <f t="shared" si="136"/>
        <v>28782.558928955987</v>
      </c>
      <c r="J191" s="1504">
        <f>J190</f>
        <v>0.4</v>
      </c>
      <c r="K191" s="1512">
        <f t="shared" si="162"/>
        <v>9741.5221585230465</v>
      </c>
      <c r="L191" s="1512">
        <f t="shared" si="137"/>
        <v>0</v>
      </c>
      <c r="M191" s="1511">
        <f t="shared" si="163"/>
        <v>9741.5221585230465</v>
      </c>
      <c r="N191" s="1454">
        <f t="shared" si="169"/>
        <v>0.5</v>
      </c>
      <c r="O191" s="530">
        <f t="shared" si="138"/>
        <v>751.91700000000026</v>
      </c>
      <c r="P191" s="1210">
        <f t="shared" si="166"/>
        <v>10493.439158523046</v>
      </c>
      <c r="Q191" s="1364">
        <f t="shared" si="139"/>
        <v>53557.931458174418</v>
      </c>
      <c r="R191" s="1364">
        <f t="shared" si="164"/>
        <v>37816.79853822288</v>
      </c>
      <c r="S191" s="576">
        <f t="shared" si="140"/>
        <v>1.0421182141303931</v>
      </c>
      <c r="T191" s="135" t="str">
        <f t="shared" si="141"/>
        <v>No</v>
      </c>
      <c r="U191" s="1526">
        <f t="shared" si="142"/>
        <v>1</v>
      </c>
      <c r="V191" s="1494">
        <f t="shared" si="134"/>
        <v>57046.016276083916</v>
      </c>
      <c r="W191" s="1527">
        <f t="shared" si="135"/>
        <v>0.38879974895291702</v>
      </c>
      <c r="X191" s="527">
        <f t="shared" si="143"/>
        <v>17269.535357373592</v>
      </c>
      <c r="Y191" s="1509">
        <f t="shared" si="144"/>
        <v>16682.216007101786</v>
      </c>
      <c r="Z191" s="1531">
        <f t="shared" si="145"/>
        <v>3668.9827846862445</v>
      </c>
      <c r="AA191" s="1531">
        <f t="shared" si="146"/>
        <v>0</v>
      </c>
      <c r="AB191" s="1531">
        <f t="shared" si="147"/>
        <v>19425.282126922295</v>
      </c>
      <c r="AC191" s="1531">
        <f t="shared" si="148"/>
        <v>57046.016276083916</v>
      </c>
      <c r="AD191" s="1005">
        <f t="shared" si="149"/>
        <v>1528.4024374220535</v>
      </c>
      <c r="AE191" s="1454">
        <f t="shared" si="150"/>
        <v>0.30272990972401531</v>
      </c>
      <c r="AF191" s="1504">
        <f t="shared" si="151"/>
        <v>0.29243437309216053</v>
      </c>
      <c r="AG191" s="1504">
        <f t="shared" si="152"/>
        <v>6.4316196365572259E-2</v>
      </c>
      <c r="AH191" s="1504">
        <f t="shared" si="165"/>
        <v>0</v>
      </c>
      <c r="AI191" s="1504">
        <f t="shared" si="153"/>
        <v>0.34051952081825193</v>
      </c>
      <c r="AJ191" s="1504">
        <f t="shared" si="154"/>
        <v>1</v>
      </c>
      <c r="AK191" s="1555">
        <f t="shared" si="155"/>
        <v>17269.535357373592</v>
      </c>
      <c r="AL191" s="1556">
        <f t="shared" si="156"/>
        <v>0</v>
      </c>
      <c r="AM191" s="1556">
        <f t="shared" si="157"/>
        <v>0</v>
      </c>
      <c r="AN191" s="1556">
        <f t="shared" si="158"/>
        <v>17269.535357373592</v>
      </c>
      <c r="AO191" s="1543">
        <f t="shared" si="159"/>
        <v>0</v>
      </c>
    </row>
    <row r="192" spans="1:41">
      <c r="A192" s="873">
        <f>'Input data'!A132</f>
        <v>2032</v>
      </c>
      <c r="B192" s="1551">
        <f>'Input data'!B132</f>
        <v>70.033051881823098</v>
      </c>
      <c r="C192" s="1550">
        <f>'Input data'!C132</f>
        <v>5502.3</v>
      </c>
      <c r="D192" s="1511">
        <f>'Input data'!E132</f>
        <v>27987384.812012181</v>
      </c>
      <c r="E192" s="1508">
        <f>'Input data'!J132*C192</f>
        <v>66198.422352414404</v>
      </c>
      <c r="F192" s="1509">
        <f>'Input data'!L132</f>
        <v>94185.807164426587</v>
      </c>
      <c r="G192" s="1557">
        <f>G177*(1-E6)</f>
        <v>13687.941669523079</v>
      </c>
      <c r="H192" s="1509">
        <f t="shared" si="160"/>
        <v>50562.008959453378</v>
      </c>
      <c r="I192" s="1511">
        <f t="shared" si="136"/>
        <v>27987.38481201218</v>
      </c>
      <c r="J192" s="1504">
        <f t="shared" ref="J192:J210" si="170">J191</f>
        <v>0.4</v>
      </c>
      <c r="K192" s="1512">
        <f t="shared" si="162"/>
        <v>9472.3936804328241</v>
      </c>
      <c r="L192" s="1512">
        <f t="shared" si="137"/>
        <v>0</v>
      </c>
      <c r="M192" s="1511">
        <f t="shared" si="163"/>
        <v>9472.3936804328241</v>
      </c>
      <c r="N192" s="1454">
        <f t="shared" si="169"/>
        <v>0.5</v>
      </c>
      <c r="O192" s="530">
        <f t="shared" si="138"/>
        <v>751.91700000000026</v>
      </c>
      <c r="P192" s="1210">
        <f t="shared" si="166"/>
        <v>10224.310680432824</v>
      </c>
      <c r="Q192" s="1364">
        <f t="shared" si="139"/>
        <v>54025.639948543627</v>
      </c>
      <c r="R192" s="1364">
        <f t="shared" si="164"/>
        <v>40337.698279020551</v>
      </c>
      <c r="S192" s="576">
        <f t="shared" si="140"/>
        <v>1.0833795768871288</v>
      </c>
      <c r="T192" s="135" t="str">
        <f t="shared" si="141"/>
        <v>No</v>
      </c>
      <c r="U192" s="1526">
        <f t="shared" si="142"/>
        <v>1</v>
      </c>
      <c r="V192" s="1494">
        <f t="shared" si="134"/>
        <v>56952.598103090262</v>
      </c>
      <c r="W192" s="1527">
        <f t="shared" si="135"/>
        <v>0.39531655758213946</v>
      </c>
      <c r="X192" s="527">
        <f t="shared" si="143"/>
        <v>16792.430887207309</v>
      </c>
      <c r="Y192" s="1509">
        <f t="shared" si="144"/>
        <v>16496.000537563257</v>
      </c>
      <c r="Z192" s="1531">
        <f t="shared" si="145"/>
        <v>3743.3904051781628</v>
      </c>
      <c r="AA192" s="1531">
        <f t="shared" si="146"/>
        <v>0</v>
      </c>
      <c r="AB192" s="1531">
        <f t="shared" si="147"/>
        <v>19920.776273141539</v>
      </c>
      <c r="AC192" s="1531">
        <f t="shared" si="148"/>
        <v>56952.598103090262</v>
      </c>
      <c r="AD192" s="1005">
        <f t="shared" si="149"/>
        <v>3104.4892176842295</v>
      </c>
      <c r="AE192" s="1454">
        <f t="shared" si="150"/>
        <v>0.29484925089477432</v>
      </c>
      <c r="AF192" s="1504">
        <f t="shared" si="151"/>
        <v>0.28964439001893716</v>
      </c>
      <c r="AG192" s="1504">
        <f t="shared" si="152"/>
        <v>6.5728176235300584E-2</v>
      </c>
      <c r="AH192" s="1504">
        <f t="shared" si="165"/>
        <v>0</v>
      </c>
      <c r="AI192" s="1504">
        <f t="shared" si="153"/>
        <v>0.349778182850988</v>
      </c>
      <c r="AJ192" s="1504">
        <f t="shared" si="154"/>
        <v>1</v>
      </c>
      <c r="AK192" s="1555">
        <f t="shared" si="155"/>
        <v>16792.430887207309</v>
      </c>
      <c r="AL192" s="1556">
        <f t="shared" si="156"/>
        <v>0</v>
      </c>
      <c r="AM192" s="1556">
        <f t="shared" si="157"/>
        <v>0</v>
      </c>
      <c r="AN192" s="1556">
        <f t="shared" si="158"/>
        <v>16792.430887207309</v>
      </c>
      <c r="AO192" s="1543">
        <f t="shared" si="159"/>
        <v>0</v>
      </c>
    </row>
    <row r="193" spans="1:41">
      <c r="A193" s="873">
        <f>'Input data'!A133</f>
        <v>2033</v>
      </c>
      <c r="B193" s="1551">
        <f>'Input data'!B133</f>
        <v>70.764404167450692</v>
      </c>
      <c r="C193" s="1550">
        <f>'Input data'!C133</f>
        <v>5663.260000000002</v>
      </c>
      <c r="D193" s="1511">
        <f>'Input data'!E133</f>
        <v>28989172.151095852</v>
      </c>
      <c r="E193" s="1508">
        <f>'Input data'!J133*C193</f>
        <v>68134.939456506283</v>
      </c>
      <c r="F193" s="1509">
        <f>'Input data'!L133</f>
        <v>97124.111607602128</v>
      </c>
      <c r="G193" s="1557">
        <f>G192</f>
        <v>13687.941669523079</v>
      </c>
      <c r="H193" s="1509">
        <f t="shared" si="160"/>
        <v>52613.325855088377</v>
      </c>
      <c r="I193" s="1511">
        <f t="shared" si="136"/>
        <v>28989.172151095852</v>
      </c>
      <c r="J193" s="1504">
        <f t="shared" si="170"/>
        <v>0.4</v>
      </c>
      <c r="K193" s="1512">
        <f t="shared" si="162"/>
        <v>9811.4508707924233</v>
      </c>
      <c r="L193" s="1512">
        <f t="shared" si="137"/>
        <v>0</v>
      </c>
      <c r="M193" s="1511">
        <f t="shared" si="163"/>
        <v>9811.4508707924233</v>
      </c>
      <c r="N193" s="1454">
        <f t="shared" si="169"/>
        <v>0.5</v>
      </c>
      <c r="O193" s="530">
        <f t="shared" si="138"/>
        <v>751.91700000000026</v>
      </c>
      <c r="P193" s="1210">
        <f t="shared" si="166"/>
        <v>10563.367870792423</v>
      </c>
      <c r="Q193" s="1364">
        <f t="shared" si="139"/>
        <v>55737.899653819026</v>
      </c>
      <c r="R193" s="1364">
        <f t="shared" si="164"/>
        <v>42049.95798429595</v>
      </c>
      <c r="S193" s="576">
        <f t="shared" si="140"/>
        <v>1.0966389348273706</v>
      </c>
      <c r="T193" s="135" t="str">
        <f t="shared" si="141"/>
        <v>No</v>
      </c>
      <c r="U193" s="1526">
        <f t="shared" si="142"/>
        <v>1</v>
      </c>
      <c r="V193" s="1494">
        <f t="shared" si="134"/>
        <v>58779.715244440624</v>
      </c>
      <c r="W193" s="1527">
        <f t="shared" si="135"/>
        <v>0.39479791092534633</v>
      </c>
      <c r="X193" s="527">
        <f t="shared" si="143"/>
        <v>17393.503290657511</v>
      </c>
      <c r="Y193" s="1509">
        <f t="shared" si="144"/>
        <v>17051.788163306242</v>
      </c>
      <c r="Z193" s="1531">
        <f t="shared" si="145"/>
        <v>3830.9006389526726</v>
      </c>
      <c r="AA193" s="1531">
        <f t="shared" si="146"/>
        <v>0</v>
      </c>
      <c r="AB193" s="1531">
        <f t="shared" si="147"/>
        <v>20503.523151524198</v>
      </c>
      <c r="AC193" s="1531">
        <f t="shared" si="148"/>
        <v>58779.715244440624</v>
      </c>
      <c r="AD193" s="1005">
        <f t="shared" si="149"/>
        <v>3705.5616211344313</v>
      </c>
      <c r="AE193" s="1454">
        <f t="shared" si="150"/>
        <v>0.29590996176699896</v>
      </c>
      <c r="AF193" s="1504">
        <f t="shared" si="151"/>
        <v>0.29009647447924647</v>
      </c>
      <c r="AG193" s="1504">
        <f t="shared" si="152"/>
        <v>6.5173855011402063E-2</v>
      </c>
      <c r="AH193" s="1504">
        <f t="shared" si="165"/>
        <v>0</v>
      </c>
      <c r="AI193" s="1504">
        <f t="shared" si="153"/>
        <v>0.34881970874235252</v>
      </c>
      <c r="AJ193" s="1504">
        <f t="shared" si="154"/>
        <v>1</v>
      </c>
      <c r="AK193" s="1555">
        <f t="shared" si="155"/>
        <v>17393.503290657514</v>
      </c>
      <c r="AL193" s="1556">
        <f t="shared" si="156"/>
        <v>0</v>
      </c>
      <c r="AM193" s="1556">
        <f t="shared" si="157"/>
        <v>0</v>
      </c>
      <c r="AN193" s="1556">
        <f t="shared" si="158"/>
        <v>17393.503290657514</v>
      </c>
      <c r="AO193" s="1543">
        <f t="shared" si="159"/>
        <v>0</v>
      </c>
    </row>
    <row r="194" spans="1:41">
      <c r="A194" s="873">
        <f>'Input data'!A134</f>
        <v>2034</v>
      </c>
      <c r="B194" s="1551">
        <f>'Input data'!B134</f>
        <v>71.479792486390252</v>
      </c>
      <c r="C194" s="1550">
        <f>'Input data'!C134</f>
        <v>5838.79</v>
      </c>
      <c r="D194" s="1511">
        <f>'Input data'!E134</f>
        <v>30478258.098855209</v>
      </c>
      <c r="E194" s="1508">
        <f>'Input data'!J134*C194</f>
        <v>70246.748895380792</v>
      </c>
      <c r="F194" s="1509">
        <f>'Input data'!L134</f>
        <v>100725.006994236</v>
      </c>
      <c r="G194" s="1557">
        <f t="shared" ref="G194:G210" si="171">G193</f>
        <v>13687.941669523079</v>
      </c>
      <c r="H194" s="1509">
        <f t="shared" si="160"/>
        <v>55222.533221748541</v>
      </c>
      <c r="I194" s="1511">
        <f t="shared" si="136"/>
        <v>30478.258098855207</v>
      </c>
      <c r="J194" s="1504">
        <f t="shared" si="170"/>
        <v>0.4</v>
      </c>
      <c r="K194" s="1512">
        <f t="shared" si="162"/>
        <v>10315.435377237738</v>
      </c>
      <c r="L194" s="1512">
        <f t="shared" si="137"/>
        <v>0</v>
      </c>
      <c r="M194" s="1511">
        <f t="shared" si="163"/>
        <v>10315.435377237738</v>
      </c>
      <c r="N194" s="1454">
        <f t="shared" si="169"/>
        <v>0.5</v>
      </c>
      <c r="O194" s="530">
        <f t="shared" si="138"/>
        <v>751.91700000000026</v>
      </c>
      <c r="P194" s="1210">
        <f t="shared" si="166"/>
        <v>11067.352377237738</v>
      </c>
      <c r="Q194" s="1364">
        <f t="shared" si="139"/>
        <v>57843.122514033879</v>
      </c>
      <c r="R194" s="1364">
        <f t="shared" si="164"/>
        <v>44155.180844510804</v>
      </c>
      <c r="S194" s="576">
        <f t="shared" si="140"/>
        <v>1.1162653882432207</v>
      </c>
      <c r="T194" s="135" t="str">
        <f t="shared" si="141"/>
        <v>No</v>
      </c>
      <c r="U194" s="1526">
        <f t="shared" si="142"/>
        <v>1</v>
      </c>
      <c r="V194" s="1494">
        <f t="shared" si="134"/>
        <v>61168.839339515267</v>
      </c>
      <c r="W194" s="1527">
        <f t="shared" si="135"/>
        <v>0.39271446917828801</v>
      </c>
      <c r="X194" s="527">
        <f t="shared" si="143"/>
        <v>18286.954859313122</v>
      </c>
      <c r="Y194" s="1509">
        <f t="shared" si="144"/>
        <v>17816.532316856574</v>
      </c>
      <c r="Z194" s="1531">
        <f t="shared" si="145"/>
        <v>3926.3322451557001</v>
      </c>
      <c r="AA194" s="1531">
        <f t="shared" si="146"/>
        <v>0</v>
      </c>
      <c r="AB194" s="1531">
        <f t="shared" si="147"/>
        <v>21139.019918189864</v>
      </c>
      <c r="AC194" s="1531">
        <f t="shared" si="148"/>
        <v>61168.839339515267</v>
      </c>
      <c r="AD194" s="1005">
        <f t="shared" si="149"/>
        <v>4599.0131897900428</v>
      </c>
      <c r="AE194" s="1454">
        <f t="shared" si="150"/>
        <v>0.29895867008056326</v>
      </c>
      <c r="AF194" s="1504">
        <f t="shared" si="151"/>
        <v>0.29126811149655141</v>
      </c>
      <c r="AG194" s="1504">
        <f t="shared" si="152"/>
        <v>6.418843789666738E-2</v>
      </c>
      <c r="AH194" s="1504">
        <f t="shared" si="165"/>
        <v>0</v>
      </c>
      <c r="AI194" s="1504">
        <f t="shared" si="153"/>
        <v>0.34558478052621783</v>
      </c>
      <c r="AJ194" s="1504">
        <f t="shared" si="154"/>
        <v>1</v>
      </c>
      <c r="AK194" s="1555">
        <f t="shared" si="155"/>
        <v>18286.954859313126</v>
      </c>
      <c r="AL194" s="1556">
        <f t="shared" si="156"/>
        <v>0</v>
      </c>
      <c r="AM194" s="1556">
        <f t="shared" si="157"/>
        <v>0</v>
      </c>
      <c r="AN194" s="1556">
        <f t="shared" si="158"/>
        <v>18286.954859313126</v>
      </c>
      <c r="AO194" s="1543">
        <f t="shared" si="159"/>
        <v>0</v>
      </c>
    </row>
    <row r="195" spans="1:41">
      <c r="A195" s="873">
        <f>'Input data'!A135</f>
        <v>2035</v>
      </c>
      <c r="B195" s="1551">
        <f>'Input data'!B135</f>
        <v>72.178572932855872</v>
      </c>
      <c r="C195" s="1550">
        <f>'Input data'!C135</f>
        <v>5978.8699999999981</v>
      </c>
      <c r="D195" s="1511">
        <f>'Input data'!E135</f>
        <v>23293526.984521989</v>
      </c>
      <c r="E195" s="1508">
        <f>'Input data'!J135*C195</f>
        <v>71932.057766784754</v>
      </c>
      <c r="F195" s="1509">
        <f>'Input data'!L135</f>
        <v>95225.584751306742</v>
      </c>
      <c r="G195" s="1557">
        <f t="shared" si="171"/>
        <v>13687.941669523079</v>
      </c>
      <c r="H195" s="1509">
        <f t="shared" si="160"/>
        <v>49447.048289288534</v>
      </c>
      <c r="I195" s="1511">
        <f t="shared" si="136"/>
        <v>23293.526984521988</v>
      </c>
      <c r="J195" s="1504">
        <f t="shared" si="170"/>
        <v>0.4</v>
      </c>
      <c r="K195" s="1512">
        <f t="shared" si="162"/>
        <v>7883.7468840059882</v>
      </c>
      <c r="L195" s="1512">
        <f t="shared" si="137"/>
        <v>0</v>
      </c>
      <c r="M195" s="1511">
        <f t="shared" si="163"/>
        <v>7883.7468840059882</v>
      </c>
      <c r="N195" s="1454">
        <f t="shared" si="169"/>
        <v>0.5</v>
      </c>
      <c r="O195" s="530">
        <f t="shared" si="138"/>
        <v>751.91700000000026</v>
      </c>
      <c r="P195" s="1210">
        <f t="shared" si="166"/>
        <v>8635.6638840059877</v>
      </c>
      <c r="Q195" s="1364">
        <f t="shared" si="139"/>
        <v>54499.326074805627</v>
      </c>
      <c r="R195" s="1364">
        <f t="shared" si="164"/>
        <v>40811.384405282544</v>
      </c>
      <c r="S195" s="576">
        <f t="shared" si="140"/>
        <v>1.0071113448814732</v>
      </c>
      <c r="T195" s="135" t="str">
        <f t="shared" si="141"/>
        <v>No</v>
      </c>
      <c r="U195" s="1526">
        <f t="shared" si="142"/>
        <v>1</v>
      </c>
      <c r="V195" s="1494">
        <f t="shared" si="134"/>
        <v>54702.374867214312</v>
      </c>
      <c r="W195" s="1527">
        <f t="shared" si="135"/>
        <v>0.42554960402631026</v>
      </c>
      <c r="X195" s="527">
        <f t="shared" si="143"/>
        <v>13976.116190713192</v>
      </c>
      <c r="Y195" s="1509">
        <f t="shared" si="144"/>
        <v>15077.596272903485</v>
      </c>
      <c r="Z195" s="1531">
        <f t="shared" si="145"/>
        <v>4002.4905052646268</v>
      </c>
      <c r="AA195" s="1531">
        <f t="shared" si="146"/>
        <v>0</v>
      </c>
      <c r="AB195" s="1531">
        <f t="shared" si="147"/>
        <v>21646.171898333007</v>
      </c>
      <c r="AC195" s="1531">
        <f t="shared" si="148"/>
        <v>54702.374867214312</v>
      </c>
      <c r="AD195" s="1005">
        <f t="shared" si="149"/>
        <v>288.1745211901125</v>
      </c>
      <c r="AE195" s="1454">
        <f t="shared" si="150"/>
        <v>0.25549377380121263</v>
      </c>
      <c r="AF195" s="1504">
        <f t="shared" si="151"/>
        <v>0.27562964696693987</v>
      </c>
      <c r="AG195" s="1504">
        <f t="shared" si="152"/>
        <v>7.3168496157257443E-2</v>
      </c>
      <c r="AH195" s="1504">
        <f t="shared" si="165"/>
        <v>0</v>
      </c>
      <c r="AI195" s="1504">
        <f t="shared" si="153"/>
        <v>0.39570808307459004</v>
      </c>
      <c r="AJ195" s="1504">
        <f t="shared" si="154"/>
        <v>1</v>
      </c>
      <c r="AK195" s="1555">
        <f t="shared" si="155"/>
        <v>13976.11619071319</v>
      </c>
      <c r="AL195" s="1556">
        <f t="shared" si="156"/>
        <v>0</v>
      </c>
      <c r="AM195" s="1556">
        <f t="shared" si="157"/>
        <v>0</v>
      </c>
      <c r="AN195" s="1556">
        <f t="shared" si="158"/>
        <v>13976.11619071319</v>
      </c>
      <c r="AO195" s="1543">
        <f t="shared" si="159"/>
        <v>0</v>
      </c>
    </row>
    <row r="196" spans="1:41">
      <c r="A196" s="873">
        <f>'Input data'!A136</f>
        <v>2036</v>
      </c>
      <c r="B196" s="1551">
        <f>'Input data'!B136</f>
        <v>72.865243718484663</v>
      </c>
      <c r="C196" s="1550">
        <f>'Input data'!C136</f>
        <v>6119.1299999999983</v>
      </c>
      <c r="D196" s="1511">
        <f>'Input data'!E136</f>
        <v>16814169.506355952</v>
      </c>
      <c r="E196" s="1508">
        <f>'Input data'!J136*C196</f>
        <v>73619.532226401585</v>
      </c>
      <c r="F196" s="1509">
        <f>'Input data'!L136</f>
        <v>90433.70173275753</v>
      </c>
      <c r="G196" s="1557">
        <f t="shared" si="171"/>
        <v>13687.941669523079</v>
      </c>
      <c r="H196" s="1509">
        <f t="shared" si="160"/>
        <v>44334.765470759972</v>
      </c>
      <c r="I196" s="1511">
        <f t="shared" si="136"/>
        <v>16814.169506355953</v>
      </c>
      <c r="J196" s="1504">
        <f t="shared" si="170"/>
        <v>0.4</v>
      </c>
      <c r="K196" s="1512">
        <f t="shared" si="162"/>
        <v>5690.7936930703718</v>
      </c>
      <c r="L196" s="1512">
        <f t="shared" si="137"/>
        <v>0</v>
      </c>
      <c r="M196" s="1511">
        <f t="shared" si="163"/>
        <v>5690.7936930703718</v>
      </c>
      <c r="N196" s="1454">
        <f t="shared" si="169"/>
        <v>0.5</v>
      </c>
      <c r="O196" s="530">
        <f t="shared" si="138"/>
        <v>751.91700000000026</v>
      </c>
      <c r="P196" s="1210">
        <f t="shared" si="166"/>
        <v>6442.7106930703721</v>
      </c>
      <c r="Q196" s="1364">
        <f t="shared" si="139"/>
        <v>51579.996447212674</v>
      </c>
      <c r="R196" s="1364">
        <f t="shared" si="164"/>
        <v>37892.054777689598</v>
      </c>
      <c r="S196" s="576">
        <f t="shared" si="140"/>
        <v>0.91324872752910058</v>
      </c>
      <c r="T196" s="135" t="str">
        <f t="shared" si="141"/>
        <v>Yes</v>
      </c>
      <c r="U196" s="1526">
        <f t="shared" si="142"/>
        <v>0.91324872752910058</v>
      </c>
      <c r="V196" s="1494">
        <f t="shared" si="134"/>
        <v>52541.646955067947</v>
      </c>
      <c r="W196" s="1527">
        <f t="shared" si="135"/>
        <v>0.41900369056731934</v>
      </c>
      <c r="X196" s="527">
        <f t="shared" si="143"/>
        <v>13687.941669523079</v>
      </c>
      <c r="Y196" s="1509">
        <f t="shared" si="144"/>
        <v>12620.983099695972</v>
      </c>
      <c r="Z196" s="1531">
        <f t="shared" si="145"/>
        <v>4078.7466272155002</v>
      </c>
      <c r="AA196" s="1531">
        <f t="shared" si="146"/>
        <v>0</v>
      </c>
      <c r="AB196" s="1531">
        <f t="shared" si="147"/>
        <v>22153.975558633399</v>
      </c>
      <c r="AC196" s="1531">
        <f t="shared" si="148"/>
        <v>52541.646955067947</v>
      </c>
      <c r="AD196" s="1005">
        <f t="shared" si="149"/>
        <v>0</v>
      </c>
      <c r="AE196" s="1454">
        <f t="shared" si="150"/>
        <v>0.26051603752026653</v>
      </c>
      <c r="AF196" s="1504">
        <f t="shared" si="151"/>
        <v>0.24020912611454798</v>
      </c>
      <c r="AG196" s="1504">
        <f t="shared" si="152"/>
        <v>7.7628830910144914E-2</v>
      </c>
      <c r="AH196" s="1504">
        <f t="shared" si="165"/>
        <v>0</v>
      </c>
      <c r="AI196" s="1504">
        <f t="shared" si="153"/>
        <v>0.42164600545504066</v>
      </c>
      <c r="AJ196" s="1504">
        <f t="shared" si="154"/>
        <v>1</v>
      </c>
      <c r="AK196" s="1555">
        <f t="shared" si="155"/>
        <v>10088.50170381357</v>
      </c>
      <c r="AL196" s="1556">
        <f t="shared" si="156"/>
        <v>3408.6005099278223</v>
      </c>
      <c r="AM196" s="1556">
        <f t="shared" si="157"/>
        <v>190.8394557816834</v>
      </c>
      <c r="AN196" s="1556">
        <f t="shared" si="158"/>
        <v>13687.941669523076</v>
      </c>
      <c r="AO196" s="1543">
        <f t="shared" si="159"/>
        <v>0</v>
      </c>
    </row>
    <row r="197" spans="1:41">
      <c r="A197" s="873">
        <f>'Input data'!A137</f>
        <v>2037</v>
      </c>
      <c r="B197" s="1551">
        <f>'Input data'!B137</f>
        <v>73.539326072165721</v>
      </c>
      <c r="C197" s="1550">
        <f>'Input data'!C137</f>
        <v>6283.2400000000007</v>
      </c>
      <c r="D197" s="1511">
        <f>'Input data'!E137</f>
        <v>17542322.49040458</v>
      </c>
      <c r="E197" s="1508">
        <f>'Input data'!J137*C197</f>
        <v>75593.947124217928</v>
      </c>
      <c r="F197" s="1509">
        <f>'Input data'!L137</f>
        <v>93136.269614622506</v>
      </c>
      <c r="G197" s="1557">
        <f t="shared" si="171"/>
        <v>13687.941669523079</v>
      </c>
      <c r="H197" s="1509">
        <f t="shared" si="160"/>
        <v>46151.035610975785</v>
      </c>
      <c r="I197" s="1511">
        <f t="shared" si="136"/>
        <v>17542.322490404578</v>
      </c>
      <c r="J197" s="1504">
        <f t="shared" si="170"/>
        <v>0.4</v>
      </c>
      <c r="K197" s="1512">
        <f t="shared" si="162"/>
        <v>5937.2387171703067</v>
      </c>
      <c r="L197" s="1512">
        <f t="shared" si="137"/>
        <v>0</v>
      </c>
      <c r="M197" s="1511">
        <f t="shared" si="163"/>
        <v>5937.2387171703067</v>
      </c>
      <c r="N197" s="1454">
        <f t="shared" si="169"/>
        <v>0.5</v>
      </c>
      <c r="O197" s="530">
        <f t="shared" si="138"/>
        <v>751.91700000000026</v>
      </c>
      <c r="P197" s="1210">
        <f t="shared" si="166"/>
        <v>6689.1557171703071</v>
      </c>
      <c r="Q197" s="1364">
        <f t="shared" si="139"/>
        <v>53149.821563328558</v>
      </c>
      <c r="R197" s="1364">
        <f t="shared" si="164"/>
        <v>39461.879893805482</v>
      </c>
      <c r="S197" s="576">
        <f t="shared" si="140"/>
        <v>0.92580432586322414</v>
      </c>
      <c r="T197" s="135" t="str">
        <f t="shared" si="141"/>
        <v>Yes</v>
      </c>
      <c r="U197" s="1526">
        <f t="shared" si="142"/>
        <v>0.92580432586322414</v>
      </c>
      <c r="V197" s="1494">
        <f t="shared" si="134"/>
        <v>53674.389720817031</v>
      </c>
      <c r="W197" s="1527">
        <f t="shared" si="135"/>
        <v>0.4237004558706301</v>
      </c>
      <c r="X197" s="527">
        <f t="shared" si="143"/>
        <v>13687.941669523079</v>
      </c>
      <c r="Y197" s="1509">
        <f t="shared" si="144"/>
        <v>13070.351768302207</v>
      </c>
      <c r="Z197" s="1531">
        <f t="shared" si="145"/>
        <v>4167.9694432240412</v>
      </c>
      <c r="AA197" s="1531">
        <f t="shared" si="146"/>
        <v>0</v>
      </c>
      <c r="AB197" s="1531">
        <f t="shared" si="147"/>
        <v>22748.126839767705</v>
      </c>
      <c r="AC197" s="1531">
        <f t="shared" si="148"/>
        <v>53674.389720817031</v>
      </c>
      <c r="AD197" s="1005">
        <f t="shared" si="149"/>
        <v>0</v>
      </c>
      <c r="AE197" s="1454">
        <f t="shared" si="150"/>
        <v>0.25501811461145241</v>
      </c>
      <c r="AF197" s="1504">
        <f t="shared" si="151"/>
        <v>0.24351188409009544</v>
      </c>
      <c r="AG197" s="1504">
        <f t="shared" si="152"/>
        <v>7.765285203806499E-2</v>
      </c>
      <c r="AH197" s="1504">
        <f t="shared" si="165"/>
        <v>0</v>
      </c>
      <c r="AI197" s="1504">
        <f t="shared" si="153"/>
        <v>0.42381714926038722</v>
      </c>
      <c r="AJ197" s="1504">
        <f t="shared" si="154"/>
        <v>1</v>
      </c>
      <c r="AK197" s="1555">
        <f t="shared" si="155"/>
        <v>10525.393494242746</v>
      </c>
      <c r="AL197" s="1556">
        <f t="shared" si="156"/>
        <v>2993.4554897775324</v>
      </c>
      <c r="AM197" s="1556">
        <f t="shared" si="157"/>
        <v>169.09268550280007</v>
      </c>
      <c r="AN197" s="1556">
        <f t="shared" si="158"/>
        <v>13687.941669523078</v>
      </c>
      <c r="AO197" s="1543">
        <f t="shared" si="159"/>
        <v>0</v>
      </c>
    </row>
    <row r="198" spans="1:41">
      <c r="A198" s="873">
        <f>'Input data'!A138</f>
        <v>2038</v>
      </c>
      <c r="B198" s="1551">
        <f>'Input data'!B138</f>
        <v>74.200346452615136</v>
      </c>
      <c r="C198" s="1550">
        <f>'Input data'!C138</f>
        <v>6443.4999999999982</v>
      </c>
      <c r="D198" s="1511">
        <f>'Input data'!E138</f>
        <v>14615640.739395874</v>
      </c>
      <c r="E198" s="1508">
        <f>'Input data'!J138*C198</f>
        <v>77522.042496370981</v>
      </c>
      <c r="F198" s="1509">
        <f>'Input data'!L138</f>
        <v>92137.683235766861</v>
      </c>
      <c r="G198" s="1557">
        <f t="shared" si="171"/>
        <v>13687.941669523079</v>
      </c>
      <c r="H198" s="1509">
        <f t="shared" si="160"/>
        <v>44510.839355407574</v>
      </c>
      <c r="I198" s="1511">
        <f t="shared" si="136"/>
        <v>14615.640739395874</v>
      </c>
      <c r="J198" s="1504">
        <f t="shared" si="170"/>
        <v>0.4</v>
      </c>
      <c r="K198" s="1512">
        <f t="shared" si="162"/>
        <v>4946.6966601291524</v>
      </c>
      <c r="L198" s="1512">
        <f t="shared" si="137"/>
        <v>0</v>
      </c>
      <c r="M198" s="1511">
        <f t="shared" si="163"/>
        <v>4946.6966601291524</v>
      </c>
      <c r="N198" s="1454">
        <f t="shared" si="169"/>
        <v>0.5</v>
      </c>
      <c r="O198" s="530">
        <f t="shared" si="138"/>
        <v>751.91700000000026</v>
      </c>
      <c r="P198" s="1210">
        <f t="shared" si="166"/>
        <v>5698.6136601291528</v>
      </c>
      <c r="Q198" s="1364">
        <f t="shared" si="139"/>
        <v>52500.167364801498</v>
      </c>
      <c r="R198" s="1364">
        <f t="shared" si="164"/>
        <v>38812.225695278423</v>
      </c>
      <c r="S198" s="576">
        <f t="shared" si="140"/>
        <v>0.88752643110111884</v>
      </c>
      <c r="T198" s="135" t="str">
        <f t="shared" si="141"/>
        <v>Yes</v>
      </c>
      <c r="U198" s="1526">
        <f t="shared" si="142"/>
        <v>0.88752643110111884</v>
      </c>
      <c r="V198" s="1494">
        <f t="shared" si="134"/>
        <v>53325.457540488445</v>
      </c>
      <c r="W198" s="1527">
        <f t="shared" si="135"/>
        <v>0.42124160638990238</v>
      </c>
      <c r="X198" s="527">
        <f t="shared" si="143"/>
        <v>13687.941669523076</v>
      </c>
      <c r="Y198" s="1509">
        <f t="shared" si="144"/>
        <v>12054.077361368847</v>
      </c>
      <c r="Z198" s="1531">
        <f t="shared" si="145"/>
        <v>4255.0991031687627</v>
      </c>
      <c r="AA198" s="1531">
        <f t="shared" si="146"/>
        <v>0</v>
      </c>
      <c r="AB198" s="1531">
        <f t="shared" si="147"/>
        <v>23328.33940642776</v>
      </c>
      <c r="AC198" s="1531">
        <f t="shared" si="148"/>
        <v>53325.457540488445</v>
      </c>
      <c r="AD198" s="1005">
        <f t="shared" si="149"/>
        <v>0</v>
      </c>
      <c r="AE198" s="1454">
        <f t="shared" si="150"/>
        <v>0.25668681153143835</v>
      </c>
      <c r="AF198" s="1504">
        <f t="shared" si="151"/>
        <v>0.22604733118729534</v>
      </c>
      <c r="AG198" s="1504">
        <f t="shared" si="152"/>
        <v>7.9794891585093133E-2</v>
      </c>
      <c r="AH198" s="1504">
        <f t="shared" si="165"/>
        <v>0</v>
      </c>
      <c r="AI198" s="1504">
        <f t="shared" si="153"/>
        <v>0.43747096569617316</v>
      </c>
      <c r="AJ198" s="1504">
        <f t="shared" si="154"/>
        <v>1</v>
      </c>
      <c r="AK198" s="1555">
        <f t="shared" si="155"/>
        <v>8769.3844436375221</v>
      </c>
      <c r="AL198" s="1556">
        <f t="shared" si="156"/>
        <v>4653.5338771562037</v>
      </c>
      <c r="AM198" s="1556">
        <f t="shared" si="157"/>
        <v>265.0233487293479</v>
      </c>
      <c r="AN198" s="1556">
        <f t="shared" si="158"/>
        <v>13687.941669523074</v>
      </c>
      <c r="AO198" s="1543">
        <f t="shared" si="159"/>
        <v>0</v>
      </c>
    </row>
    <row r="199" spans="1:41">
      <c r="A199" s="873">
        <f>'Input data'!A139</f>
        <v>2039</v>
      </c>
      <c r="B199" s="1551">
        <f>'Input data'!B139</f>
        <v>74.847837096563296</v>
      </c>
      <c r="C199" s="1550">
        <f>'Input data'!C139</f>
        <v>6615.260000000002</v>
      </c>
      <c r="D199" s="1511">
        <f>'Input data'!E139</f>
        <v>11688958.988387169</v>
      </c>
      <c r="E199" s="1508">
        <f>'Input data'!J139*C199</f>
        <v>79588.494893232477</v>
      </c>
      <c r="F199" s="1509">
        <f>'Input data'!L139</f>
        <v>91277.453881619644</v>
      </c>
      <c r="G199" s="1557">
        <f t="shared" si="171"/>
        <v>13687.941669523079</v>
      </c>
      <c r="H199" s="1509">
        <f t="shared" si="160"/>
        <v>42950.033345683027</v>
      </c>
      <c r="I199" s="1511">
        <f t="shared" si="136"/>
        <v>11688.958988387169</v>
      </c>
      <c r="J199" s="1504">
        <f t="shared" si="170"/>
        <v>0.4</v>
      </c>
      <c r="K199" s="1512">
        <f t="shared" si="162"/>
        <v>3956.1546030879963</v>
      </c>
      <c r="L199" s="1512">
        <f t="shared" si="137"/>
        <v>0</v>
      </c>
      <c r="M199" s="1511">
        <f t="shared" si="163"/>
        <v>3956.1546030879963</v>
      </c>
      <c r="N199" s="1454">
        <f t="shared" si="169"/>
        <v>0.5</v>
      </c>
      <c r="O199" s="530">
        <f t="shared" si="138"/>
        <v>751.91700000000026</v>
      </c>
      <c r="P199" s="1210">
        <f t="shared" si="166"/>
        <v>4708.0716030879967</v>
      </c>
      <c r="Q199" s="1364">
        <f t="shared" si="139"/>
        <v>51929.903412118103</v>
      </c>
      <c r="R199" s="1364">
        <f t="shared" si="164"/>
        <v>38241.961742595027</v>
      </c>
      <c r="S199" s="576">
        <f t="shared" si="140"/>
        <v>0.85140066316669361</v>
      </c>
      <c r="T199" s="135" t="str">
        <f t="shared" si="141"/>
        <v>Yes</v>
      </c>
      <c r="U199" s="1526">
        <f t="shared" si="142"/>
        <v>0.85140066316669361</v>
      </c>
      <c r="V199" s="1494">
        <f t="shared" si="134"/>
        <v>53035.492139024624</v>
      </c>
      <c r="W199" s="1527">
        <f t="shared" si="135"/>
        <v>0.41896394034163265</v>
      </c>
      <c r="X199" s="527">
        <f t="shared" si="143"/>
        <v>13687.941669523076</v>
      </c>
      <c r="Y199" s="1509">
        <f t="shared" si="144"/>
        <v>11048.882327796944</v>
      </c>
      <c r="Z199" s="1531">
        <f t="shared" si="145"/>
        <v>4348.4810474599535</v>
      </c>
      <c r="AA199" s="1531">
        <f t="shared" si="146"/>
        <v>0</v>
      </c>
      <c r="AB199" s="1531">
        <f t="shared" si="147"/>
        <v>23950.187094244651</v>
      </c>
      <c r="AC199" s="1531">
        <f t="shared" si="148"/>
        <v>53035.492139024624</v>
      </c>
      <c r="AD199" s="1005">
        <f t="shared" si="149"/>
        <v>0</v>
      </c>
      <c r="AE199" s="1454">
        <f t="shared" si="150"/>
        <v>0.25809021689932055</v>
      </c>
      <c r="AF199" s="1504">
        <f t="shared" si="151"/>
        <v>0.20832996701216516</v>
      </c>
      <c r="AG199" s="1504">
        <f t="shared" si="152"/>
        <v>8.1991905270928006E-2</v>
      </c>
      <c r="AH199" s="1504">
        <f t="shared" si="165"/>
        <v>0</v>
      </c>
      <c r="AI199" s="1504">
        <f t="shared" si="153"/>
        <v>0.45158791081758631</v>
      </c>
      <c r="AJ199" s="1504">
        <f t="shared" si="154"/>
        <v>1</v>
      </c>
      <c r="AK199" s="1555">
        <f t="shared" si="155"/>
        <v>7013.3753930323019</v>
      </c>
      <c r="AL199" s="1556">
        <f t="shared" si="156"/>
        <v>6312.1071171452149</v>
      </c>
      <c r="AM199" s="1556">
        <f t="shared" si="157"/>
        <v>362.45915934556035</v>
      </c>
      <c r="AN199" s="1556">
        <f t="shared" si="158"/>
        <v>13687.941669523078</v>
      </c>
      <c r="AO199" s="1543">
        <f t="shared" si="159"/>
        <v>0</v>
      </c>
    </row>
    <row r="200" spans="1:41">
      <c r="A200" s="873">
        <f>'Input data'!A140</f>
        <v>2040</v>
      </c>
      <c r="B200" s="1551">
        <f>'Input data'!B140</f>
        <v>75.481336564720067</v>
      </c>
      <c r="C200" s="1550">
        <f>'Input data'!C140</f>
        <v>6787.6000000000013</v>
      </c>
      <c r="D200" s="1511">
        <f>'Input data'!E140</f>
        <v>8762277.2373784631</v>
      </c>
      <c r="E200" s="1508">
        <f>'Input data'!J140*C200</f>
        <v>81661.925296557456</v>
      </c>
      <c r="F200" s="1509">
        <f>'Input data'!L140</f>
        <v>90424.202533935924</v>
      </c>
      <c r="G200" s="1557">
        <f t="shared" si="171"/>
        <v>13687.941669523079</v>
      </c>
      <c r="H200" s="1509">
        <f t="shared" si="160"/>
        <v>41393.231365748812</v>
      </c>
      <c r="I200" s="1511">
        <f t="shared" si="136"/>
        <v>8762.2772373784628</v>
      </c>
      <c r="J200" s="1504">
        <f t="shared" si="170"/>
        <v>0.4</v>
      </c>
      <c r="K200" s="1512">
        <f t="shared" si="162"/>
        <v>2965.6125460468411</v>
      </c>
      <c r="L200" s="1512">
        <f t="shared" si="137"/>
        <v>0</v>
      </c>
      <c r="M200" s="1511">
        <f t="shared" si="163"/>
        <v>2965.6125460468411</v>
      </c>
      <c r="N200" s="1454">
        <f t="shared" si="169"/>
        <v>0.5</v>
      </c>
      <c r="O200" s="530">
        <f t="shared" si="138"/>
        <v>751.91700000000026</v>
      </c>
      <c r="P200" s="1210">
        <f t="shared" si="166"/>
        <v>3717.5295460468415</v>
      </c>
      <c r="Q200" s="1364">
        <f t="shared" si="139"/>
        <v>51363.643489225055</v>
      </c>
      <c r="R200" s="1364">
        <f t="shared" si="164"/>
        <v>37675.701819701979</v>
      </c>
      <c r="S200" s="576">
        <f t="shared" si="140"/>
        <v>0.81714907711473095</v>
      </c>
      <c r="T200" s="135" t="str">
        <f t="shared" si="141"/>
        <v>Yes</v>
      </c>
      <c r="U200" s="1526">
        <f t="shared" si="142"/>
        <v>0.81714907711473095</v>
      </c>
      <c r="V200" s="1494">
        <f t="shared" si="134"/>
        <v>52748.500714233953</v>
      </c>
      <c r="W200" s="1527">
        <f t="shared" si="135"/>
        <v>0.41665506317915713</v>
      </c>
      <c r="X200" s="527">
        <f t="shared" si="143"/>
        <v>13687.941669523076</v>
      </c>
      <c r="Y200" s="1509">
        <f t="shared" si="144"/>
        <v>10044.246080011962</v>
      </c>
      <c r="Z200" s="1531">
        <f t="shared" si="145"/>
        <v>4442.1783243529617</v>
      </c>
      <c r="AA200" s="1531">
        <f t="shared" si="146"/>
        <v>0</v>
      </c>
      <c r="AB200" s="1531">
        <f t="shared" si="147"/>
        <v>24574.134640345954</v>
      </c>
      <c r="AC200" s="1531">
        <f t="shared" si="148"/>
        <v>52748.500714233953</v>
      </c>
      <c r="AD200" s="1005">
        <f t="shared" si="149"/>
        <v>0</v>
      </c>
      <c r="AE200" s="1454">
        <f t="shared" si="150"/>
        <v>0.25949442134247136</v>
      </c>
      <c r="AF200" s="1504">
        <f t="shared" si="151"/>
        <v>0.19041766010425329</v>
      </c>
      <c r="AG200" s="1504">
        <f t="shared" si="152"/>
        <v>8.4214304941453225E-2</v>
      </c>
      <c r="AH200" s="1504">
        <f t="shared" si="165"/>
        <v>0</v>
      </c>
      <c r="AI200" s="1504">
        <f t="shared" si="153"/>
        <v>0.46587361361182217</v>
      </c>
      <c r="AJ200" s="1504">
        <f t="shared" si="154"/>
        <v>1</v>
      </c>
      <c r="AK200" s="1555">
        <f t="shared" si="155"/>
        <v>5257.3663424270781</v>
      </c>
      <c r="AL200" s="1556">
        <f t="shared" si="156"/>
        <v>7969.3695979671247</v>
      </c>
      <c r="AM200" s="1556">
        <f t="shared" si="157"/>
        <v>461.20572912887332</v>
      </c>
      <c r="AN200" s="1556">
        <f t="shared" si="158"/>
        <v>13687.941669523076</v>
      </c>
      <c r="AO200" s="1543">
        <f t="shared" si="159"/>
        <v>0</v>
      </c>
    </row>
    <row r="201" spans="1:41">
      <c r="A201" s="873">
        <f>'Input data'!A141</f>
        <v>2041</v>
      </c>
      <c r="B201" s="1551">
        <f>'Input data'!B141</f>
        <v>76.101885632753024</v>
      </c>
      <c r="C201" s="1550">
        <f>'Input data'!C141</f>
        <v>6981.3799999999992</v>
      </c>
      <c r="D201" s="1511">
        <f>'Input data'!E141</f>
        <v>7249397.5356904445</v>
      </c>
      <c r="E201" s="1508">
        <f>'Input data'!J141*C201</f>
        <v>83993.301318121303</v>
      </c>
      <c r="F201" s="1509">
        <f>'Input data'!L141</f>
        <v>91242.698853811744</v>
      </c>
      <c r="G201" s="1557">
        <f t="shared" si="171"/>
        <v>13687.941669523079</v>
      </c>
      <c r="H201" s="1509">
        <f t="shared" si="160"/>
        <v>41311.226148429458</v>
      </c>
      <c r="I201" s="1511">
        <f t="shared" si="136"/>
        <v>7249.3975356904448</v>
      </c>
      <c r="J201" s="1504">
        <f t="shared" si="170"/>
        <v>0.4</v>
      </c>
      <c r="K201" s="1512">
        <f t="shared" si="162"/>
        <v>2453.5749897770611</v>
      </c>
      <c r="L201" s="1512">
        <f t="shared" si="137"/>
        <v>0</v>
      </c>
      <c r="M201" s="1511">
        <f t="shared" si="163"/>
        <v>2453.5749897770611</v>
      </c>
      <c r="N201" s="1454">
        <f t="shared" si="169"/>
        <v>0.5</v>
      </c>
      <c r="O201" s="530">
        <f t="shared" si="138"/>
        <v>751.91700000000026</v>
      </c>
      <c r="P201" s="1210">
        <f t="shared" si="166"/>
        <v>3205.4919897770615</v>
      </c>
      <c r="Q201" s="1364">
        <f t="shared" si="139"/>
        <v>51793.675828175481</v>
      </c>
      <c r="R201" s="1364">
        <f t="shared" si="164"/>
        <v>38105.734158652398</v>
      </c>
      <c r="S201" s="576">
        <f t="shared" si="140"/>
        <v>0.80317224928119635</v>
      </c>
      <c r="T201" s="135" t="str">
        <f t="shared" si="141"/>
        <v>Yes</v>
      </c>
      <c r="U201" s="1526">
        <f t="shared" si="142"/>
        <v>0.80317224928119635</v>
      </c>
      <c r="V201" s="1494">
        <f t="shared" si="134"/>
        <v>53136.964695159368</v>
      </c>
      <c r="W201" s="1527">
        <f t="shared" si="135"/>
        <v>0.41763050235619459</v>
      </c>
      <c r="X201" s="527">
        <f t="shared" si="143"/>
        <v>13687.941669523083</v>
      </c>
      <c r="Y201" s="1509">
        <f t="shared" si="144"/>
        <v>9625.7864575960848</v>
      </c>
      <c r="Z201" s="1531">
        <f t="shared" si="145"/>
        <v>4547.532033975378</v>
      </c>
      <c r="AA201" s="1531">
        <f t="shared" si="146"/>
        <v>0</v>
      </c>
      <c r="AB201" s="1531">
        <f t="shared" si="147"/>
        <v>25275.704534064822</v>
      </c>
      <c r="AC201" s="1531">
        <f t="shared" si="148"/>
        <v>53136.964695159368</v>
      </c>
      <c r="AD201" s="1005">
        <f t="shared" si="149"/>
        <v>0</v>
      </c>
      <c r="AE201" s="1454">
        <f t="shared" si="150"/>
        <v>0.25759735709499448</v>
      </c>
      <c r="AF201" s="1504">
        <f t="shared" si="151"/>
        <v>0.18115047618579855</v>
      </c>
      <c r="AG201" s="1504">
        <f t="shared" si="152"/>
        <v>8.558132855468964E-2</v>
      </c>
      <c r="AH201" s="1504">
        <f t="shared" si="165"/>
        <v>0</v>
      </c>
      <c r="AI201" s="1504">
        <f t="shared" si="153"/>
        <v>0.47567083816451733</v>
      </c>
      <c r="AJ201" s="1504">
        <f t="shared" si="154"/>
        <v>1</v>
      </c>
      <c r="AK201" s="1555">
        <f t="shared" si="155"/>
        <v>4349.6385214142665</v>
      </c>
      <c r="AL201" s="1556">
        <f t="shared" si="156"/>
        <v>8823.4449025006761</v>
      </c>
      <c r="AM201" s="1556">
        <f t="shared" si="157"/>
        <v>514.85824560813717</v>
      </c>
      <c r="AN201" s="1556">
        <f t="shared" si="158"/>
        <v>13687.941669523079</v>
      </c>
      <c r="AO201" s="1543">
        <f t="shared" si="159"/>
        <v>0</v>
      </c>
    </row>
    <row r="202" spans="1:41">
      <c r="A202" s="873">
        <f>'Input data'!A142</f>
        <v>2042</v>
      </c>
      <c r="B202" s="1551">
        <f>'Input data'!B142</f>
        <v>76.709073592680113</v>
      </c>
      <c r="C202" s="1550">
        <f>'Input data'!C142</f>
        <v>7178.2100000000019</v>
      </c>
      <c r="D202" s="1511">
        <f>'Input data'!E142</f>
        <v>5736517.8340024278</v>
      </c>
      <c r="E202" s="1508">
        <f>'Input data'!J142*C202</f>
        <v>86361.372028846978</v>
      </c>
      <c r="F202" s="1509">
        <f>'Input data'!L142</f>
        <v>92097.889862849406</v>
      </c>
      <c r="G202" s="1557">
        <f t="shared" si="171"/>
        <v>13687.941669523079</v>
      </c>
      <c r="H202" s="1509">
        <f t="shared" si="160"/>
        <v>41250.276605007777</v>
      </c>
      <c r="I202" s="1511">
        <f t="shared" si="136"/>
        <v>5736.5178340024277</v>
      </c>
      <c r="J202" s="1504">
        <f t="shared" si="170"/>
        <v>0.4</v>
      </c>
      <c r="K202" s="1512">
        <f t="shared" si="162"/>
        <v>1941.5374335072811</v>
      </c>
      <c r="L202" s="1512">
        <f t="shared" si="137"/>
        <v>0</v>
      </c>
      <c r="M202" s="1511">
        <f t="shared" si="163"/>
        <v>1941.5374335072811</v>
      </c>
      <c r="N202" s="1454">
        <f t="shared" si="169"/>
        <v>0.5</v>
      </c>
      <c r="O202" s="530">
        <f t="shared" si="138"/>
        <v>751.91700000000026</v>
      </c>
      <c r="P202" s="1210">
        <f t="shared" si="166"/>
        <v>2693.4544335072815</v>
      </c>
      <c r="Q202" s="1364">
        <f t="shared" si="139"/>
        <v>52244.763841023581</v>
      </c>
      <c r="R202" s="1364">
        <f t="shared" si="164"/>
        <v>38556.822171500506</v>
      </c>
      <c r="S202" s="576">
        <f t="shared" si="140"/>
        <v>0.79005262377594254</v>
      </c>
      <c r="T202" s="135" t="str">
        <f t="shared" si="141"/>
        <v>Yes</v>
      </c>
      <c r="U202" s="1526">
        <f t="shared" si="142"/>
        <v>0.79005262377594254</v>
      </c>
      <c r="V202" s="1494">
        <f t="shared" si="134"/>
        <v>53541.067691348915</v>
      </c>
      <c r="W202" s="1527">
        <f t="shared" si="135"/>
        <v>0.41865044062267498</v>
      </c>
      <c r="X202" s="527">
        <f t="shared" si="143"/>
        <v>13687.941669523074</v>
      </c>
      <c r="Y202" s="1509">
        <f t="shared" si="144"/>
        <v>9210.2652776804243</v>
      </c>
      <c r="Z202" s="1531">
        <f t="shared" si="145"/>
        <v>4654.5439581418577</v>
      </c>
      <c r="AA202" s="1531">
        <f t="shared" si="146"/>
        <v>0</v>
      </c>
      <c r="AB202" s="1531">
        <f t="shared" si="147"/>
        <v>25988.316786003554</v>
      </c>
      <c r="AC202" s="1531">
        <f t="shared" si="148"/>
        <v>53541.067691348915</v>
      </c>
      <c r="AD202" s="1005">
        <f t="shared" si="149"/>
        <v>0</v>
      </c>
      <c r="AE202" s="1454">
        <f t="shared" si="150"/>
        <v>0.25565313244088989</v>
      </c>
      <c r="AF202" s="1504">
        <f t="shared" si="151"/>
        <v>0.1720224432350759</v>
      </c>
      <c r="AG202" s="1504">
        <f t="shared" si="152"/>
        <v>8.6934089267217435E-2</v>
      </c>
      <c r="AH202" s="1504">
        <f t="shared" si="165"/>
        <v>0</v>
      </c>
      <c r="AI202" s="1504">
        <f t="shared" si="153"/>
        <v>0.48539033505681672</v>
      </c>
      <c r="AJ202" s="1504">
        <f t="shared" si="154"/>
        <v>1</v>
      </c>
      <c r="AK202" s="1555">
        <f t="shared" si="155"/>
        <v>3441.9107004014568</v>
      </c>
      <c r="AL202" s="1556">
        <f t="shared" si="156"/>
        <v>9676.9206996863068</v>
      </c>
      <c r="AM202" s="1556">
        <f t="shared" si="157"/>
        <v>569.11026943530908</v>
      </c>
      <c r="AN202" s="1556">
        <f t="shared" si="158"/>
        <v>13687.941669523072</v>
      </c>
      <c r="AO202" s="1543">
        <f t="shared" si="159"/>
        <v>0</v>
      </c>
    </row>
    <row r="203" spans="1:41">
      <c r="A203" s="873">
        <f>'Input data'!A143</f>
        <v>2043</v>
      </c>
      <c r="B203" s="1551">
        <f>'Input data'!B143</f>
        <v>77.302495984815266</v>
      </c>
      <c r="C203" s="1550">
        <f>'Input data'!C143</f>
        <v>7380.12</v>
      </c>
      <c r="D203" s="1511">
        <f>'Input data'!E143</f>
        <v>4223638.132314411</v>
      </c>
      <c r="E203" s="1508">
        <f>'Input data'!J143*C203</f>
        <v>88790.560451356811</v>
      </c>
      <c r="F203" s="1509">
        <f>'Input data'!L143</f>
        <v>93014.198583671227</v>
      </c>
      <c r="G203" s="1557">
        <f t="shared" si="171"/>
        <v>13687.941669523079</v>
      </c>
      <c r="H203" s="1509">
        <f t="shared" si="160"/>
        <v>41224.396839750043</v>
      </c>
      <c r="I203" s="1511">
        <f t="shared" si="136"/>
        <v>4223.6381323144105</v>
      </c>
      <c r="J203" s="1504">
        <f t="shared" si="170"/>
        <v>0.4</v>
      </c>
      <c r="K203" s="1512">
        <f t="shared" si="162"/>
        <v>1429.4998772375013</v>
      </c>
      <c r="L203" s="1512">
        <f t="shared" si="137"/>
        <v>0</v>
      </c>
      <c r="M203" s="1511">
        <f t="shared" si="163"/>
        <v>1429.4998772375013</v>
      </c>
      <c r="N203" s="1454">
        <f t="shared" si="169"/>
        <v>0.5</v>
      </c>
      <c r="O203" s="530">
        <f t="shared" si="138"/>
        <v>751.91700000000026</v>
      </c>
      <c r="P203" s="1210">
        <f t="shared" si="166"/>
        <v>2181.4168772375015</v>
      </c>
      <c r="Q203" s="1364">
        <f t="shared" si="139"/>
        <v>52730.921632035621</v>
      </c>
      <c r="R203" s="1364">
        <f t="shared" si="164"/>
        <v>39042.979962512545</v>
      </c>
      <c r="S203" s="576">
        <f t="shared" si="140"/>
        <v>0.77779913461915351</v>
      </c>
      <c r="T203" s="135" t="str">
        <f t="shared" si="141"/>
        <v>Yes</v>
      </c>
      <c r="U203" s="1526">
        <f t="shared" si="142"/>
        <v>0.77779913461915351</v>
      </c>
      <c r="V203" s="1494">
        <f t="shared" si="134"/>
        <v>53971.218621158681</v>
      </c>
      <c r="W203" s="1527">
        <f t="shared" si="135"/>
        <v>0.41975290393317</v>
      </c>
      <c r="X203" s="527">
        <f t="shared" si="143"/>
        <v>13687.941669523076</v>
      </c>
      <c r="Y203" s="1509">
        <f t="shared" si="144"/>
        <v>8799.6382905192077</v>
      </c>
      <c r="Z203" s="1531">
        <f t="shared" si="145"/>
        <v>4764.3177609587738</v>
      </c>
      <c r="AA203" s="1531">
        <f t="shared" si="146"/>
        <v>0</v>
      </c>
      <c r="AB203" s="1531">
        <f t="shared" si="147"/>
        <v>26719.320900157629</v>
      </c>
      <c r="AC203" s="1531">
        <f t="shared" si="148"/>
        <v>53971.218621158681</v>
      </c>
      <c r="AD203" s="1005">
        <f t="shared" si="149"/>
        <v>0</v>
      </c>
      <c r="AE203" s="1454">
        <f t="shared" si="150"/>
        <v>0.25361557547186647</v>
      </c>
      <c r="AF203" s="1504">
        <f t="shared" si="151"/>
        <v>0.1630431647705918</v>
      </c>
      <c r="AG203" s="1504">
        <f t="shared" si="152"/>
        <v>8.8275156327320498E-2</v>
      </c>
      <c r="AH203" s="1504">
        <f t="shared" si="165"/>
        <v>0</v>
      </c>
      <c r="AI203" s="1504">
        <f t="shared" si="153"/>
        <v>0.49506610343022128</v>
      </c>
      <c r="AJ203" s="1504">
        <f t="shared" si="154"/>
        <v>1</v>
      </c>
      <c r="AK203" s="1555">
        <f t="shared" si="155"/>
        <v>2534.1828793886461</v>
      </c>
      <c r="AL203" s="1556">
        <f t="shared" si="156"/>
        <v>10529.790741278357</v>
      </c>
      <c r="AM203" s="1556">
        <f t="shared" si="157"/>
        <v>623.96804885607298</v>
      </c>
      <c r="AN203" s="1556">
        <f t="shared" si="158"/>
        <v>13687.941669523076</v>
      </c>
      <c r="AO203" s="1543">
        <f t="shared" si="159"/>
        <v>0</v>
      </c>
    </row>
    <row r="204" spans="1:41">
      <c r="A204" s="873">
        <f>'Input data'!A144</f>
        <v>2044</v>
      </c>
      <c r="B204" s="1551">
        <f>'Input data'!B144</f>
        <v>77.881755043150378</v>
      </c>
      <c r="C204" s="1550">
        <f>'Input data'!C144</f>
        <v>7589.87</v>
      </c>
      <c r="D204" s="1511">
        <f>'Input data'!E144</f>
        <v>2710758.4306263938</v>
      </c>
      <c r="E204" s="1508">
        <f>'Input data'!J144*C204</f>
        <v>91314.072271580881</v>
      </c>
      <c r="F204" s="1509">
        <f>'Input data'!L144</f>
        <v>94024.830702207269</v>
      </c>
      <c r="G204" s="1557">
        <f t="shared" si="171"/>
        <v>13687.941669523079</v>
      </c>
      <c r="H204" s="1509">
        <f t="shared" si="160"/>
        <v>41252.640511658756</v>
      </c>
      <c r="I204" s="1511">
        <f t="shared" si="136"/>
        <v>2710.7584306263939</v>
      </c>
      <c r="J204" s="1504">
        <f t="shared" si="170"/>
        <v>0.4</v>
      </c>
      <c r="K204" s="1512">
        <f t="shared" si="162"/>
        <v>917.46232096772155</v>
      </c>
      <c r="L204" s="1512">
        <f t="shared" si="137"/>
        <v>0</v>
      </c>
      <c r="M204" s="1511">
        <f t="shared" si="163"/>
        <v>917.46232096772155</v>
      </c>
      <c r="N204" s="1454">
        <f t="shared" si="169"/>
        <v>0.5</v>
      </c>
      <c r="O204" s="530">
        <f t="shared" si="138"/>
        <v>751.91700000000026</v>
      </c>
      <c r="P204" s="1210">
        <f t="shared" si="166"/>
        <v>1669.3793209677219</v>
      </c>
      <c r="Q204" s="1364">
        <f t="shared" si="139"/>
        <v>53271.202860214107</v>
      </c>
      <c r="R204" s="1364">
        <f t="shared" si="164"/>
        <v>39583.261190691032</v>
      </c>
      <c r="S204" s="576">
        <f t="shared" si="140"/>
        <v>0.76645279288752932</v>
      </c>
      <c r="T204" s="135" t="str">
        <f t="shared" si="141"/>
        <v>Yes</v>
      </c>
      <c r="U204" s="1526">
        <f t="shared" si="142"/>
        <v>0.76645279288752932</v>
      </c>
      <c r="V204" s="1494">
        <f t="shared" si="134"/>
        <v>54441.569511516253</v>
      </c>
      <c r="W204" s="1527">
        <f t="shared" si="135"/>
        <v>0.42098731680845014</v>
      </c>
      <c r="X204" s="527">
        <f t="shared" si="143"/>
        <v>13687.941669523074</v>
      </c>
      <c r="Y204" s="1509">
        <f t="shared" si="144"/>
        <v>8396.5645457191931</v>
      </c>
      <c r="Z204" s="1531">
        <f t="shared" si="145"/>
        <v>4878.3539906692804</v>
      </c>
      <c r="AA204" s="1531">
        <f t="shared" si="146"/>
        <v>0</v>
      </c>
      <c r="AB204" s="1531">
        <f t="shared" si="147"/>
        <v>27478.709305604705</v>
      </c>
      <c r="AC204" s="1531">
        <f t="shared" si="148"/>
        <v>54441.569511516253</v>
      </c>
      <c r="AD204" s="1005">
        <f t="shared" si="149"/>
        <v>0</v>
      </c>
      <c r="AE204" s="1454">
        <f t="shared" si="150"/>
        <v>0.25142444996240615</v>
      </c>
      <c r="AF204" s="1504">
        <f t="shared" si="151"/>
        <v>0.15423075824334992</v>
      </c>
      <c r="AG204" s="1504">
        <f t="shared" si="152"/>
        <v>8.9607151932630122E-2</v>
      </c>
      <c r="AH204" s="1504">
        <f t="shared" si="165"/>
        <v>0</v>
      </c>
      <c r="AI204" s="1504">
        <f t="shared" si="153"/>
        <v>0.5047376398616138</v>
      </c>
      <c r="AJ204" s="1504">
        <f t="shared" si="154"/>
        <v>1</v>
      </c>
      <c r="AK204" s="1555">
        <f t="shared" si="155"/>
        <v>1626.455058375836</v>
      </c>
      <c r="AL204" s="1556">
        <f t="shared" si="156"/>
        <v>11382.026345084732</v>
      </c>
      <c r="AM204" s="1556">
        <f t="shared" si="157"/>
        <v>679.46026606250325</v>
      </c>
      <c r="AN204" s="1556">
        <f t="shared" si="158"/>
        <v>13687.941669523072</v>
      </c>
      <c r="AO204" s="1543">
        <f t="shared" si="159"/>
        <v>0</v>
      </c>
    </row>
    <row r="205" spans="1:41">
      <c r="A205" s="873">
        <f>'Input data'!A145</f>
        <v>2045</v>
      </c>
      <c r="B205" s="1551">
        <f>'Input data'!B145</f>
        <v>78.446460136387472</v>
      </c>
      <c r="C205" s="1550">
        <f>'Input data'!C145</f>
        <v>7808.4800000000005</v>
      </c>
      <c r="D205" s="1511">
        <f>'Input data'!E145</f>
        <v>1197878.7289383768</v>
      </c>
      <c r="E205" s="1508">
        <f>'Input data'!J145*C205</f>
        <v>93944.179156058526</v>
      </c>
      <c r="F205" s="1509">
        <f>'Input data'!L145</f>
        <v>95142.057884996902</v>
      </c>
      <c r="G205" s="1557">
        <f t="shared" si="171"/>
        <v>13687.941669523079</v>
      </c>
      <c r="H205" s="1509">
        <f t="shared" si="160"/>
        <v>41342.049190365244</v>
      </c>
      <c r="I205" s="1511">
        <f t="shared" si="136"/>
        <v>1197.8787289383768</v>
      </c>
      <c r="J205" s="1504">
        <f t="shared" si="170"/>
        <v>0.4</v>
      </c>
      <c r="K205" s="1512">
        <f t="shared" si="162"/>
        <v>405.42476469794167</v>
      </c>
      <c r="L205" s="1512">
        <f t="shared" si="137"/>
        <v>0</v>
      </c>
      <c r="M205" s="1511">
        <f t="shared" si="163"/>
        <v>405.42476469794167</v>
      </c>
      <c r="N205" s="1454">
        <f t="shared" si="169"/>
        <v>0.5</v>
      </c>
      <c r="O205" s="530">
        <f t="shared" si="138"/>
        <v>751.91700000000026</v>
      </c>
      <c r="P205" s="1210">
        <f t="shared" si="166"/>
        <v>1157.3417646979419</v>
      </c>
      <c r="Q205" s="1364">
        <f t="shared" si="139"/>
        <v>53872.649095190383</v>
      </c>
      <c r="R205" s="1364">
        <f t="shared" si="164"/>
        <v>40184.707425667308</v>
      </c>
      <c r="S205" s="576">
        <f t="shared" si="140"/>
        <v>0.75600644357251268</v>
      </c>
      <c r="T205" s="135" t="str">
        <f t="shared" si="141"/>
        <v>Yes</v>
      </c>
      <c r="U205" s="1526">
        <f t="shared" si="142"/>
        <v>0.75600644357251268</v>
      </c>
      <c r="V205" s="1494">
        <f t="shared" si="134"/>
        <v>54957.350459329609</v>
      </c>
      <c r="W205" s="1527">
        <f t="shared" si="135"/>
        <v>0.42236533788496167</v>
      </c>
      <c r="X205" s="527">
        <f t="shared" si="143"/>
        <v>13687.941669523078</v>
      </c>
      <c r="Y205" s="1509">
        <f t="shared" si="144"/>
        <v>8002.0267355263504</v>
      </c>
      <c r="Z205" s="1531">
        <f t="shared" si="145"/>
        <v>4997.2071977110627</v>
      </c>
      <c r="AA205" s="1531">
        <f t="shared" si="146"/>
        <v>0</v>
      </c>
      <c r="AB205" s="1531">
        <f t="shared" si="147"/>
        <v>28270.174856569116</v>
      </c>
      <c r="AC205" s="1531">
        <f t="shared" si="148"/>
        <v>54957.350459329609</v>
      </c>
      <c r="AD205" s="1005">
        <f t="shared" si="149"/>
        <v>0</v>
      </c>
      <c r="AE205" s="1454">
        <f t="shared" si="150"/>
        <v>0.24906480307220488</v>
      </c>
      <c r="AF205" s="1504">
        <f t="shared" si="151"/>
        <v>0.14560430349436396</v>
      </c>
      <c r="AG205" s="1504">
        <f t="shared" si="152"/>
        <v>9.0928823095450598E-2</v>
      </c>
      <c r="AH205" s="1504">
        <f t="shared" si="165"/>
        <v>0</v>
      </c>
      <c r="AI205" s="1504">
        <f t="shared" si="153"/>
        <v>0.51440207033798058</v>
      </c>
      <c r="AJ205" s="1504">
        <f t="shared" si="154"/>
        <v>1</v>
      </c>
      <c r="AK205" s="1555">
        <f t="shared" si="155"/>
        <v>718.72723736302589</v>
      </c>
      <c r="AL205" s="1556">
        <f t="shared" si="156"/>
        <v>12233.632515151823</v>
      </c>
      <c r="AM205" s="1556">
        <f t="shared" si="157"/>
        <v>735.58191700822488</v>
      </c>
      <c r="AN205" s="1556">
        <f t="shared" si="158"/>
        <v>13687.941669523074</v>
      </c>
      <c r="AO205" s="1543">
        <f t="shared" si="159"/>
        <v>0</v>
      </c>
    </row>
    <row r="206" spans="1:41">
      <c r="A206" s="873">
        <f>'Input data'!A146</f>
        <v>2046</v>
      </c>
      <c r="B206" s="1551">
        <f>'Input data'!B146</f>
        <v>78.997842335977523</v>
      </c>
      <c r="C206" s="1550">
        <f>'Input data'!C146</f>
        <v>8042.25</v>
      </c>
      <c r="D206" s="1511">
        <f>'Input data'!E146</f>
        <v>1000767.4916723419</v>
      </c>
      <c r="E206" s="1508">
        <f>'Input data'!J146*C206</f>
        <v>96756.67669223866</v>
      </c>
      <c r="F206" s="1509">
        <f>'Input data'!L146</f>
        <v>97757.444183911008</v>
      </c>
      <c r="G206" s="1557">
        <f t="shared" si="171"/>
        <v>13687.941669523079</v>
      </c>
      <c r="H206" s="1509">
        <f t="shared" si="160"/>
        <v>42770.900814514534</v>
      </c>
      <c r="I206" s="1511">
        <f t="shared" si="136"/>
        <v>1000.767491672342</v>
      </c>
      <c r="J206" s="1504">
        <f t="shared" si="170"/>
        <v>0.4</v>
      </c>
      <c r="K206" s="1512">
        <f t="shared" si="162"/>
        <v>338.71202069694738</v>
      </c>
      <c r="L206" s="1512">
        <f t="shared" si="137"/>
        <v>0</v>
      </c>
      <c r="M206" s="1511">
        <f t="shared" si="163"/>
        <v>338.71202069694738</v>
      </c>
      <c r="N206" s="1454">
        <f t="shared" si="169"/>
        <v>0.5</v>
      </c>
      <c r="O206" s="530">
        <f t="shared" si="138"/>
        <v>751.91700000000026</v>
      </c>
      <c r="P206" s="1210">
        <f t="shared" si="166"/>
        <v>1090.6290206969477</v>
      </c>
      <c r="Q206" s="1364">
        <f t="shared" si="139"/>
        <v>55368.21346334066</v>
      </c>
      <c r="R206" s="1364">
        <f t="shared" si="164"/>
        <v>41680.271793817577</v>
      </c>
      <c r="S206" s="576">
        <f t="shared" si="140"/>
        <v>0.76103673301904662</v>
      </c>
      <c r="T206" s="135" t="str">
        <f t="shared" si="141"/>
        <v>Yes</v>
      </c>
      <c r="U206" s="1526">
        <f t="shared" si="142"/>
        <v>0.76103673301904662</v>
      </c>
      <c r="V206" s="1494">
        <f t="shared" si="134"/>
        <v>56077.17239009343</v>
      </c>
      <c r="W206" s="1527">
        <f t="shared" si="135"/>
        <v>0.4263641724859798</v>
      </c>
      <c r="X206" s="527">
        <f t="shared" si="143"/>
        <v>13687.941669523083</v>
      </c>
      <c r="Y206" s="1509">
        <f t="shared" si="144"/>
        <v>8148.4018154640071</v>
      </c>
      <c r="Z206" s="1531">
        <f t="shared" si="145"/>
        <v>5124.3025465521841</v>
      </c>
      <c r="AA206" s="1531">
        <f t="shared" si="146"/>
        <v>0</v>
      </c>
      <c r="AB206" s="1531">
        <f t="shared" si="147"/>
        <v>29116.526358554158</v>
      </c>
      <c r="AC206" s="1531">
        <f t="shared" si="148"/>
        <v>56077.17239009343</v>
      </c>
      <c r="AD206" s="1005">
        <f t="shared" si="149"/>
        <v>0</v>
      </c>
      <c r="AE206" s="649">
        <f t="shared" si="150"/>
        <v>0.24409115306857357</v>
      </c>
      <c r="AF206" s="417">
        <f t="shared" si="151"/>
        <v>0.14530693093404795</v>
      </c>
      <c r="AG206" s="417">
        <f t="shared" si="152"/>
        <v>9.137947453744015E-2</v>
      </c>
      <c r="AH206" s="417">
        <f t="shared" si="165"/>
        <v>0</v>
      </c>
      <c r="AI206" s="417">
        <f t="shared" si="153"/>
        <v>0.51922244145993834</v>
      </c>
      <c r="AJ206" s="417">
        <f t="shared" si="154"/>
        <v>1</v>
      </c>
      <c r="AK206" s="1497">
        <f t="shared" si="155"/>
        <v>600.46049500340519</v>
      </c>
      <c r="AL206" s="1498">
        <f t="shared" si="156"/>
        <v>12340.117288175104</v>
      </c>
      <c r="AM206" s="1498">
        <f t="shared" si="157"/>
        <v>747.36388634457148</v>
      </c>
      <c r="AN206" s="1498">
        <f t="shared" si="158"/>
        <v>13687.941669523081</v>
      </c>
      <c r="AO206" s="1184">
        <f t="shared" si="159"/>
        <v>0</v>
      </c>
    </row>
    <row r="207" spans="1:41">
      <c r="A207" s="873">
        <f>'Input data'!A147</f>
        <v>2047</v>
      </c>
      <c r="B207" s="1551">
        <f>'Input data'!B147</f>
        <v>79.535560193629763</v>
      </c>
      <c r="C207" s="1550">
        <f>'Input data'!C147</f>
        <v>8187.4100000000008</v>
      </c>
      <c r="D207" s="1511">
        <f>'Input data'!E147</f>
        <v>803656.25440630724</v>
      </c>
      <c r="E207" s="1508">
        <f>'Input data'!J147*C207</f>
        <v>98503.103275426867</v>
      </c>
      <c r="F207" s="1509">
        <f>'Input data'!L147</f>
        <v>99306.759529833173</v>
      </c>
      <c r="G207" s="1557">
        <f t="shared" si="171"/>
        <v>13687.941669523079</v>
      </c>
      <c r="H207" s="1509">
        <f t="shared" si="160"/>
        <v>43588.033335689601</v>
      </c>
      <c r="I207" s="1511">
        <f t="shared" si="136"/>
        <v>803.6562544063072</v>
      </c>
      <c r="J207" s="1504">
        <f t="shared" si="170"/>
        <v>0.4</v>
      </c>
      <c r="K207" s="1512">
        <f t="shared" si="162"/>
        <v>271.99927669595314</v>
      </c>
      <c r="L207" s="1512">
        <f t="shared" si="137"/>
        <v>0</v>
      </c>
      <c r="M207" s="1511">
        <f t="shared" si="163"/>
        <v>271.99927669595314</v>
      </c>
      <c r="N207" s="1454">
        <f t="shared" si="169"/>
        <v>0.5</v>
      </c>
      <c r="O207" s="530">
        <f t="shared" si="138"/>
        <v>751.91700000000026</v>
      </c>
      <c r="P207" s="1210">
        <f t="shared" si="166"/>
        <v>1023.9162766959535</v>
      </c>
      <c r="Q207" s="1364">
        <f t="shared" si="139"/>
        <v>56252.05872851672</v>
      </c>
      <c r="R207" s="1364">
        <f t="shared" si="164"/>
        <v>42564.117058993637</v>
      </c>
      <c r="S207" s="576">
        <f t="shared" si="140"/>
        <v>0.76320997150356473</v>
      </c>
      <c r="T207" s="135" t="str">
        <f t="shared" si="141"/>
        <v>Yes</v>
      </c>
      <c r="U207" s="1526">
        <f t="shared" si="142"/>
        <v>0.76320997150356473</v>
      </c>
      <c r="V207" s="1494">
        <f t="shared" si="134"/>
        <v>56742.64247083955</v>
      </c>
      <c r="W207" s="1527">
        <f t="shared" si="135"/>
        <v>0.42861248580170164</v>
      </c>
      <c r="X207" s="527">
        <f t="shared" si="143"/>
        <v>13687.941669523085</v>
      </c>
      <c r="Y207" s="1509">
        <f t="shared" si="144"/>
        <v>8209.4079150922444</v>
      </c>
      <c r="Z207" s="1531">
        <f t="shared" si="145"/>
        <v>5203.2226853115508</v>
      </c>
      <c r="AA207" s="1531">
        <f t="shared" si="146"/>
        <v>0</v>
      </c>
      <c r="AB207" s="1531">
        <f t="shared" si="147"/>
        <v>29642.070200912669</v>
      </c>
      <c r="AC207" s="1531">
        <f t="shared" si="148"/>
        <v>56742.64247083955</v>
      </c>
      <c r="AD207" s="1487">
        <f t="shared" si="149"/>
        <v>0</v>
      </c>
      <c r="AE207" s="649">
        <f t="shared" si="150"/>
        <v>0.24122848484818832</v>
      </c>
      <c r="AF207" s="417">
        <f t="shared" si="151"/>
        <v>0.14467792752709954</v>
      </c>
      <c r="AG207" s="417">
        <f t="shared" si="152"/>
        <v>9.1698631906075301E-2</v>
      </c>
      <c r="AH207" s="417">
        <f t="shared" si="165"/>
        <v>0</v>
      </c>
      <c r="AI207" s="417">
        <f t="shared" si="153"/>
        <v>0.52239495571863681</v>
      </c>
      <c r="AJ207" s="417">
        <f t="shared" si="154"/>
        <v>1</v>
      </c>
      <c r="AK207" s="1497">
        <f t="shared" si="155"/>
        <v>482.19375264378431</v>
      </c>
      <c r="AL207" s="1498">
        <f t="shared" si="156"/>
        <v>12448.600216113002</v>
      </c>
      <c r="AM207" s="1498">
        <f t="shared" si="157"/>
        <v>757.14770076629748</v>
      </c>
      <c r="AN207" s="1498">
        <f t="shared" si="158"/>
        <v>13687.941669523085</v>
      </c>
      <c r="AO207" s="1184">
        <f t="shared" si="159"/>
        <v>0</v>
      </c>
    </row>
    <row r="208" spans="1:41">
      <c r="A208" s="873">
        <f>'Input data'!A148</f>
        <v>2048</v>
      </c>
      <c r="B208" s="1551">
        <f>'Input data'!B148</f>
        <v>80.059278886956378</v>
      </c>
      <c r="C208" s="1550">
        <f>'Input data'!C148</f>
        <v>8322.6399999999976</v>
      </c>
      <c r="D208" s="1511">
        <f>'Input data'!E148</f>
        <v>606545.01714027242</v>
      </c>
      <c r="E208" s="1508">
        <f>'Input data'!J148*C208</f>
        <v>100130.06157554078</v>
      </c>
      <c r="F208" s="1509">
        <f>'Input data'!L148</f>
        <v>100736.60659268106</v>
      </c>
      <c r="G208" s="1557">
        <f t="shared" si="171"/>
        <v>13687.941669523079</v>
      </c>
      <c r="H208" s="1509">
        <f t="shared" si="160"/>
        <v>44336.614105453584</v>
      </c>
      <c r="I208" s="1511">
        <f t="shared" si="136"/>
        <v>606.54501714027242</v>
      </c>
      <c r="J208" s="1504">
        <f t="shared" si="170"/>
        <v>0.4</v>
      </c>
      <c r="K208" s="1512">
        <f t="shared" si="162"/>
        <v>205.28653269495894</v>
      </c>
      <c r="L208" s="1512">
        <f t="shared" si="137"/>
        <v>0</v>
      </c>
      <c r="M208" s="1511">
        <f t="shared" si="163"/>
        <v>205.28653269495894</v>
      </c>
      <c r="N208" s="1454">
        <f t="shared" si="169"/>
        <v>0.5</v>
      </c>
      <c r="O208" s="530">
        <f t="shared" si="138"/>
        <v>751.91700000000026</v>
      </c>
      <c r="P208" s="1210">
        <f t="shared" si="166"/>
        <v>957.20353269495922</v>
      </c>
      <c r="Q208" s="1364">
        <f t="shared" si="139"/>
        <v>57067.352242281697</v>
      </c>
      <c r="R208" s="1364">
        <f t="shared" si="164"/>
        <v>43379.410572758614</v>
      </c>
      <c r="S208" s="576">
        <f t="shared" si="140"/>
        <v>0.76502275471499681</v>
      </c>
      <c r="T208" s="135" t="str">
        <f t="shared" si="141"/>
        <v>Yes</v>
      </c>
      <c r="U208" s="1526">
        <f t="shared" si="142"/>
        <v>0.76502275471499681</v>
      </c>
      <c r="V208" s="1494">
        <f t="shared" si="134"/>
        <v>57357.196019922449</v>
      </c>
      <c r="W208" s="1527">
        <f t="shared" si="135"/>
        <v>0.43062211484013102</v>
      </c>
      <c r="X208" s="527">
        <f t="shared" si="143"/>
        <v>13687.941669523087</v>
      </c>
      <c r="Y208" s="1509">
        <f t="shared" si="144"/>
        <v>8260.8472166788051</v>
      </c>
      <c r="Z208" s="1531">
        <f t="shared" si="145"/>
        <v>5276.7441124569687</v>
      </c>
      <c r="AA208" s="1531">
        <f t="shared" si="146"/>
        <v>0</v>
      </c>
      <c r="AB208" s="1531">
        <f t="shared" si="147"/>
        <v>30131.663021263586</v>
      </c>
      <c r="AC208" s="1531">
        <f t="shared" si="148"/>
        <v>57357.196019922449</v>
      </c>
      <c r="AD208" s="1487">
        <f t="shared" si="149"/>
        <v>0</v>
      </c>
      <c r="AE208" s="649">
        <f t="shared" si="150"/>
        <v>0.23864384278423786</v>
      </c>
      <c r="AF208" s="417">
        <f t="shared" si="151"/>
        <v>0.14402460004860562</v>
      </c>
      <c r="AG208" s="417">
        <f t="shared" si="152"/>
        <v>9.1997944087506375E-2</v>
      </c>
      <c r="AH208" s="417">
        <f t="shared" si="165"/>
        <v>0</v>
      </c>
      <c r="AI208" s="417">
        <f t="shared" si="153"/>
        <v>0.5253336130796501</v>
      </c>
      <c r="AJ208" s="417">
        <f t="shared" si="154"/>
        <v>1</v>
      </c>
      <c r="AK208" s="1497">
        <f t="shared" si="155"/>
        <v>363.92701028416343</v>
      </c>
      <c r="AL208" s="1498">
        <f t="shared" si="156"/>
        <v>12557.33523807547</v>
      </c>
      <c r="AM208" s="1498">
        <f t="shared" si="157"/>
        <v>766.67942116345284</v>
      </c>
      <c r="AN208" s="1498">
        <f t="shared" si="158"/>
        <v>13687.941669523087</v>
      </c>
      <c r="AO208" s="1184">
        <f t="shared" si="159"/>
        <v>0</v>
      </c>
    </row>
    <row r="209" spans="1:41">
      <c r="A209" s="873">
        <f>'Input data'!A149</f>
        <v>2049</v>
      </c>
      <c r="B209" s="1551">
        <f>'Input data'!B149</f>
        <v>80.568670564877792</v>
      </c>
      <c r="C209" s="1550">
        <f>'Input data'!C149</f>
        <v>8457.3799999999992</v>
      </c>
      <c r="D209" s="1511">
        <f>'Input data'!E149</f>
        <v>409433.77987423755</v>
      </c>
      <c r="E209" s="1508">
        <f>'Input data'!J149*C209</f>
        <v>101751.12466329761</v>
      </c>
      <c r="F209" s="1509">
        <f>'Input data'!L149</f>
        <v>102160.55844317185</v>
      </c>
      <c r="G209" s="1557">
        <f t="shared" si="171"/>
        <v>13687.941669523079</v>
      </c>
      <c r="H209" s="1509">
        <f t="shared" si="160"/>
        <v>45081.812160394693</v>
      </c>
      <c r="I209" s="1511">
        <f t="shared" si="136"/>
        <v>409.43377987423753</v>
      </c>
      <c r="J209" s="1504">
        <f t="shared" si="170"/>
        <v>0.4</v>
      </c>
      <c r="K209" s="1512">
        <f t="shared" si="162"/>
        <v>138.57378869396467</v>
      </c>
      <c r="L209" s="1512">
        <f t="shared" si="137"/>
        <v>0</v>
      </c>
      <c r="M209" s="1511">
        <f t="shared" si="163"/>
        <v>138.57378869396467</v>
      </c>
      <c r="N209" s="1454">
        <f t="shared" si="169"/>
        <v>0.5</v>
      </c>
      <c r="O209" s="530">
        <f t="shared" si="138"/>
        <v>751.91700000000026</v>
      </c>
      <c r="P209" s="1210">
        <f t="shared" si="166"/>
        <v>890.49078869396499</v>
      </c>
      <c r="Q209" s="1364">
        <f t="shared" si="139"/>
        <v>57879.263041223814</v>
      </c>
      <c r="R209" s="1364">
        <f t="shared" si="164"/>
        <v>44191.321371700731</v>
      </c>
      <c r="S209" s="576">
        <f t="shared" si="140"/>
        <v>0.76676312507351807</v>
      </c>
      <c r="T209" s="135" t="str">
        <f t="shared" si="141"/>
        <v>Yes</v>
      </c>
      <c r="U209" s="1526">
        <f t="shared" si="142"/>
        <v>0.76676312507351807</v>
      </c>
      <c r="V209" s="1494">
        <f t="shared" si="134"/>
        <v>57969.237071471129</v>
      </c>
      <c r="W209" s="1527">
        <f t="shared" si="135"/>
        <v>0.43256734345557357</v>
      </c>
      <c r="X209" s="527">
        <f t="shared" si="143"/>
        <v>13687.941669523085</v>
      </c>
      <c r="Y209" s="1509">
        <f t="shared" si="144"/>
        <v>8311.8144406177962</v>
      </c>
      <c r="Z209" s="1531">
        <f t="shared" si="145"/>
        <v>5349.9991379215398</v>
      </c>
      <c r="AA209" s="1531">
        <f t="shared" si="146"/>
        <v>0</v>
      </c>
      <c r="AB209" s="1531">
        <f t="shared" si="147"/>
        <v>30619.481823408714</v>
      </c>
      <c r="AC209" s="1531">
        <f t="shared" si="148"/>
        <v>57969.237071471129</v>
      </c>
      <c r="AD209" s="1487">
        <f t="shared" si="149"/>
        <v>0</v>
      </c>
      <c r="AE209" s="649">
        <f t="shared" si="150"/>
        <v>0.23612423349037731</v>
      </c>
      <c r="AF209" s="417">
        <f t="shared" si="151"/>
        <v>0.14338319530357174</v>
      </c>
      <c r="AG209" s="417">
        <f t="shared" si="152"/>
        <v>9.2290314797923712E-2</v>
      </c>
      <c r="AH209" s="417">
        <f t="shared" si="165"/>
        <v>0</v>
      </c>
      <c r="AI209" s="417">
        <f t="shared" si="153"/>
        <v>0.52820225640812735</v>
      </c>
      <c r="AJ209" s="417">
        <f t="shared" si="154"/>
        <v>1</v>
      </c>
      <c r="AK209" s="1497">
        <f t="shared" si="155"/>
        <v>245.6602679245425</v>
      </c>
      <c r="AL209" s="1498">
        <f t="shared" si="156"/>
        <v>12666.120903901081</v>
      </c>
      <c r="AM209" s="1498">
        <f t="shared" si="157"/>
        <v>776.16049769746053</v>
      </c>
      <c r="AN209" s="1498">
        <f t="shared" si="158"/>
        <v>13687.941669523085</v>
      </c>
      <c r="AO209" s="1184">
        <f t="shared" si="159"/>
        <v>0</v>
      </c>
    </row>
    <row r="210" spans="1:41" ht="15.75" thickBot="1">
      <c r="A210" s="172">
        <f>'Input data'!A150</f>
        <v>2050</v>
      </c>
      <c r="B210" s="664">
        <f>'Input data'!B150</f>
        <v>81.063414687793369</v>
      </c>
      <c r="C210" s="239">
        <f>'Input data'!C150</f>
        <v>8589.119999999999</v>
      </c>
      <c r="D210" s="1520">
        <f>'Input data'!E150</f>
        <v>212322.54260820278</v>
      </c>
      <c r="E210" s="670">
        <f>'Input data'!J150*C210</f>
        <v>103336.09461417398</v>
      </c>
      <c r="F210" s="667">
        <f>'Input data'!L150</f>
        <v>103548.41715678219</v>
      </c>
      <c r="G210" s="1475">
        <f t="shared" si="171"/>
        <v>13687.941669523079</v>
      </c>
      <c r="H210" s="1518">
        <f t="shared" si="160"/>
        <v>45806.299716420079</v>
      </c>
      <c r="I210" s="1520">
        <f t="shared" si="136"/>
        <v>212.32254260820278</v>
      </c>
      <c r="J210" s="651">
        <f t="shared" si="170"/>
        <v>0.4</v>
      </c>
      <c r="K210" s="1518">
        <f t="shared" si="162"/>
        <v>71.861044692970424</v>
      </c>
      <c r="L210" s="1518">
        <f t="shared" si="137"/>
        <v>0</v>
      </c>
      <c r="M210" s="1520">
        <f t="shared" si="163"/>
        <v>71.861044692970424</v>
      </c>
      <c r="N210" s="650">
        <f t="shared" si="169"/>
        <v>0.5</v>
      </c>
      <c r="O210" s="659">
        <f t="shared" si="138"/>
        <v>751.91700000000026</v>
      </c>
      <c r="P210" s="1692">
        <f t="shared" si="166"/>
        <v>823.77804469297064</v>
      </c>
      <c r="Q210" s="1485">
        <f t="shared" si="139"/>
        <v>58670.463341250186</v>
      </c>
      <c r="R210" s="1485">
        <f t="shared" si="164"/>
        <v>44982.521671727111</v>
      </c>
      <c r="S210" s="578">
        <f t="shared" si="140"/>
        <v>0.76836629533347567</v>
      </c>
      <c r="T210" s="1105" t="str">
        <f t="shared" si="141"/>
        <v>Yes</v>
      </c>
      <c r="U210" s="1528">
        <f t="shared" si="142"/>
        <v>0.76836629533347567</v>
      </c>
      <c r="V210" s="1495">
        <f t="shared" si="134"/>
        <v>58565.895485055094</v>
      </c>
      <c r="W210" s="1529">
        <f t="shared" si="135"/>
        <v>0.43441051931889274</v>
      </c>
      <c r="X210" s="670">
        <f t="shared" si="143"/>
        <v>13687.941669523076</v>
      </c>
      <c r="Y210" s="1518">
        <f t="shared" si="144"/>
        <v>8359.8913932451032</v>
      </c>
      <c r="Z210" s="1532">
        <f t="shared" si="145"/>
        <v>5421.623132687032</v>
      </c>
      <c r="AA210" s="1532">
        <f t="shared" si="146"/>
        <v>0</v>
      </c>
      <c r="AB210" s="1532">
        <f t="shared" si="147"/>
        <v>31096.439289599883</v>
      </c>
      <c r="AC210" s="1532">
        <f t="shared" si="148"/>
        <v>58565.895485055094</v>
      </c>
      <c r="AD210" s="1488">
        <f t="shared" si="149"/>
        <v>0</v>
      </c>
      <c r="AE210" s="650">
        <f t="shared" si="150"/>
        <v>0.23371864386528468</v>
      </c>
      <c r="AF210" s="651">
        <f t="shared" si="151"/>
        <v>0.14274333763714736</v>
      </c>
      <c r="AG210" s="651">
        <f t="shared" si="152"/>
        <v>9.2573042515341153E-2</v>
      </c>
      <c r="AH210" s="651">
        <f t="shared" si="165"/>
        <v>0</v>
      </c>
      <c r="AI210" s="651">
        <f>AB210/AC210</f>
        <v>0.53096497598222681</v>
      </c>
      <c r="AJ210" s="651">
        <f t="shared" si="154"/>
        <v>1</v>
      </c>
      <c r="AK210" s="1499">
        <f t="shared" si="155"/>
        <v>127.39352556492166</v>
      </c>
      <c r="AL210" s="1500">
        <f t="shared" si="156"/>
        <v>12775.002524280831</v>
      </c>
      <c r="AM210" s="1500">
        <f t="shared" si="157"/>
        <v>785.54561967732195</v>
      </c>
      <c r="AN210" s="1500">
        <f t="shared" si="158"/>
        <v>13687.941669523074</v>
      </c>
      <c r="AO210" s="1185">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36" t="s">
        <v>545</v>
      </c>
      <c r="K4" s="1935" t="s">
        <v>546</v>
      </c>
      <c r="L4" s="1935" t="s">
        <v>547</v>
      </c>
      <c r="M4" s="1935" t="s">
        <v>548</v>
      </c>
      <c r="N4" s="1935" t="s">
        <v>498</v>
      </c>
      <c r="O4" s="1935"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36" t="s">
        <v>355</v>
      </c>
      <c r="K5" s="1935"/>
      <c r="L5" s="1935"/>
      <c r="M5" s="1935"/>
      <c r="N5" s="1935"/>
      <c r="O5" s="1935"/>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7"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7"/>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7"/>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8"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8"/>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8"/>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8"/>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8"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8"/>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8"/>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8"/>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754</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720</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727</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753</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755</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5">
        <f>'Input data'!C117</f>
        <v>3117.5115237718705</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9" t="s">
        <v>392</v>
      </c>
      <c r="B33" s="1939"/>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28.06789123869763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1"/>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12.031045626813224</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40"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40"/>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40"/>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40"/>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40"/>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748</v>
      </c>
      <c r="D50" s="355" t="s">
        <v>401</v>
      </c>
      <c r="E50" s="355"/>
      <c r="F50" s="355"/>
      <c r="G50" s="355"/>
      <c r="H50" s="355"/>
      <c r="I50" s="355"/>
      <c r="J50" s="378">
        <v>14408453</v>
      </c>
      <c r="K50" s="378">
        <v>11209700</v>
      </c>
      <c r="L50" s="378">
        <v>1503834</v>
      </c>
      <c r="M50" s="355">
        <v>0</v>
      </c>
      <c r="N50" s="378">
        <v>0</v>
      </c>
      <c r="O50" s="378">
        <v>1694919</v>
      </c>
      <c r="P50" t="s">
        <v>749</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75" thickBot="1"/>
    <row r="112" spans="2:20" ht="15.7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7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7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7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7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2" t="s">
        <v>315</v>
      </c>
      <c r="E1" s="1172" t="s">
        <v>320</v>
      </c>
      <c r="F1" s="104"/>
    </row>
    <row r="2" spans="1:66">
      <c r="A2" s="150"/>
      <c r="B2" s="99"/>
      <c r="C2" s="99"/>
      <c r="D2" s="104"/>
      <c r="E2" s="130"/>
      <c r="F2" s="104"/>
    </row>
    <row r="3" spans="1:66">
      <c r="A3" s="150" t="s">
        <v>316</v>
      </c>
      <c r="B3" s="99"/>
      <c r="C3" s="99" t="str">
        <f>Parameters!D94</f>
        <v>varies</v>
      </c>
      <c r="D3" s="99">
        <v>0.4</v>
      </c>
      <c r="E3" s="1173">
        <f>Parameters!F94</f>
        <v>0.05</v>
      </c>
      <c r="F3" s="104"/>
    </row>
    <row r="4" spans="1:66">
      <c r="A4" s="150" t="s">
        <v>260</v>
      </c>
      <c r="B4" s="99"/>
      <c r="C4" s="99">
        <f>Parameters!D95</f>
        <v>0.5</v>
      </c>
      <c r="D4" s="99">
        <f>Parameters!E95</f>
        <v>0.5</v>
      </c>
      <c r="E4" s="1173">
        <f>Parameters!F95</f>
        <v>0.5</v>
      </c>
      <c r="F4" s="104"/>
    </row>
    <row r="5" spans="1:66">
      <c r="A5" s="174" t="s">
        <v>257</v>
      </c>
      <c r="B5" s="175"/>
      <c r="C5" s="175">
        <f>Parameters!D96</f>
        <v>0.05</v>
      </c>
      <c r="D5" s="99">
        <f>Parameters!E96</f>
        <v>0.05</v>
      </c>
      <c r="E5" s="1173">
        <f>Parameters!F96</f>
        <v>0.06</v>
      </c>
      <c r="F5" s="104"/>
    </row>
    <row r="6" spans="1:66">
      <c r="A6" s="150" t="s">
        <v>258</v>
      </c>
      <c r="B6" s="107" t="s">
        <v>211</v>
      </c>
      <c r="C6" s="106">
        <f>Parameters!D97</f>
        <v>13.862943611198904</v>
      </c>
      <c r="D6" s="106">
        <f>Parameters!E97</f>
        <v>13.862943611198904</v>
      </c>
      <c r="E6" s="1174">
        <f>Parameters!F97</f>
        <v>11.552453009332423</v>
      </c>
      <c r="F6" s="104"/>
    </row>
    <row r="7" spans="1:66">
      <c r="A7" s="150" t="s">
        <v>255</v>
      </c>
      <c r="B7" s="107" t="s">
        <v>256</v>
      </c>
      <c r="C7" s="99">
        <f>Parameters!D98</f>
        <v>6</v>
      </c>
      <c r="D7" s="99">
        <f>Parameters!E98</f>
        <v>6</v>
      </c>
      <c r="E7" s="1173">
        <f>Parameters!F98</f>
        <v>6</v>
      </c>
      <c r="F7" s="104"/>
    </row>
    <row r="8" spans="1:66">
      <c r="A8" s="151" t="s">
        <v>248</v>
      </c>
      <c r="B8" s="108" t="s">
        <v>249</v>
      </c>
      <c r="C8" s="158">
        <f>Parameters!D99</f>
        <v>0.95122942450071402</v>
      </c>
      <c r="D8" s="158">
        <f>Parameters!E99</f>
        <v>0.95122942450071402</v>
      </c>
      <c r="E8" s="1175">
        <f>Parameters!F99</f>
        <v>0.94176453358424872</v>
      </c>
      <c r="F8" s="104"/>
    </row>
    <row r="9" spans="1:66">
      <c r="A9" s="151" t="s">
        <v>250</v>
      </c>
      <c r="B9" s="108" t="s">
        <v>251</v>
      </c>
      <c r="C9" s="99">
        <f>Parameters!D100</f>
        <v>13</v>
      </c>
      <c r="D9" s="99">
        <f>Parameters!E100</f>
        <v>13</v>
      </c>
      <c r="E9" s="1173">
        <f>Parameters!F100</f>
        <v>13</v>
      </c>
      <c r="F9" s="104"/>
      <c r="H9" s="561"/>
    </row>
    <row r="10" spans="1:66">
      <c r="A10" s="151" t="s">
        <v>252</v>
      </c>
      <c r="B10" s="108" t="s">
        <v>253</v>
      </c>
      <c r="C10" s="99">
        <f>Parameters!D101</f>
        <v>1</v>
      </c>
      <c r="D10" s="99">
        <f>Parameters!E101</f>
        <v>1</v>
      </c>
      <c r="E10" s="1173">
        <f>Parameters!F101</f>
        <v>1</v>
      </c>
      <c r="F10" s="104"/>
    </row>
    <row r="11" spans="1:66">
      <c r="A11" s="151" t="s">
        <v>259</v>
      </c>
      <c r="B11" s="108" t="s">
        <v>254</v>
      </c>
      <c r="C11" s="175">
        <f>Parameters!D102</f>
        <v>0.5</v>
      </c>
      <c r="D11" s="99">
        <f>Parameters!E102</f>
        <v>0.5</v>
      </c>
      <c r="E11" s="1173">
        <f>Parameters!F102</f>
        <v>0.5</v>
      </c>
      <c r="F11" s="104"/>
    </row>
    <row r="12" spans="1:66">
      <c r="A12" s="151" t="s">
        <v>722</v>
      </c>
      <c r="B12" s="108">
        <v>2002</v>
      </c>
      <c r="C12" s="108"/>
      <c r="D12" s="1444">
        <f>'Waste Summary 2017 SASOW'!L29</f>
        <v>0.13527885904981399</v>
      </c>
      <c r="E12" s="1173"/>
      <c r="F12" s="104"/>
    </row>
    <row r="13" spans="1:66">
      <c r="A13" s="151" t="s">
        <v>722</v>
      </c>
      <c r="B13" s="108">
        <v>2017</v>
      </c>
      <c r="C13" s="108"/>
      <c r="D13" s="1444">
        <f>'Waste Summary 2017 SASOW'!$L$25</f>
        <v>2.197312110627072E-2</v>
      </c>
      <c r="E13" s="1173"/>
      <c r="F13" s="104"/>
    </row>
    <row r="14" spans="1:66" ht="15.75" thickBot="1">
      <c r="A14" s="152" t="s">
        <v>721</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36" t="s">
        <v>319</v>
      </c>
      <c r="BC15" s="1737"/>
      <c r="BD15" s="1737"/>
      <c r="BE15" s="1737"/>
      <c r="BF15" s="1737"/>
      <c r="BG15" s="1738"/>
      <c r="BI15" s="1736" t="s">
        <v>319</v>
      </c>
      <c r="BJ15" s="1737"/>
      <c r="BK15" s="1737"/>
      <c r="BL15" s="1737"/>
      <c r="BM15" s="1737"/>
      <c r="BN15" s="1738"/>
    </row>
    <row r="16" spans="1:66" ht="60">
      <c r="A16" s="1966" t="s">
        <v>217</v>
      </c>
      <c r="B16" s="1969" t="s">
        <v>218</v>
      </c>
      <c r="C16" s="1969" t="s">
        <v>219</v>
      </c>
      <c r="D16" s="1966"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747" t="s">
        <v>722</v>
      </c>
      <c r="X16" s="213" t="s">
        <v>719</v>
      </c>
      <c r="Y16" s="214" t="s">
        <v>22</v>
      </c>
      <c r="Z16" s="214" t="s">
        <v>236</v>
      </c>
      <c r="AA16" s="215" t="s">
        <v>237</v>
      </c>
      <c r="AB16" s="215" t="s">
        <v>238</v>
      </c>
      <c r="AC16" s="215" t="s">
        <v>239</v>
      </c>
      <c r="AD16" s="215" t="s">
        <v>240</v>
      </c>
      <c r="AE16" s="215" t="s">
        <v>241</v>
      </c>
      <c r="AF16" s="221" t="s">
        <v>300</v>
      </c>
      <c r="AG16" s="1747" t="s">
        <v>722</v>
      </c>
      <c r="AH16" s="213" t="s">
        <v>719</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67"/>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54"/>
      <c r="X17" s="222" t="s">
        <v>242</v>
      </c>
      <c r="Y17" s="223" t="s">
        <v>22</v>
      </c>
      <c r="Z17" s="223" t="s">
        <v>236</v>
      </c>
      <c r="AA17" s="224" t="s">
        <v>243</v>
      </c>
      <c r="AB17" s="224" t="s">
        <v>244</v>
      </c>
      <c r="AC17" s="224" t="s">
        <v>245</v>
      </c>
      <c r="AD17" s="224" t="s">
        <v>301</v>
      </c>
      <c r="AE17" s="224" t="s">
        <v>302</v>
      </c>
      <c r="AF17" s="225" t="s">
        <v>246</v>
      </c>
      <c r="AG17" s="195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5"/>
      <c r="X18" s="217" t="s">
        <v>228</v>
      </c>
      <c r="Y18" s="218" t="s">
        <v>41</v>
      </c>
      <c r="Z18" s="218" t="s">
        <v>41</v>
      </c>
      <c r="AA18" s="219" t="s">
        <v>228</v>
      </c>
      <c r="AB18" s="219" t="s">
        <v>228</v>
      </c>
      <c r="AC18" s="219" t="s">
        <v>228</v>
      </c>
      <c r="AD18" s="219" t="s">
        <v>228</v>
      </c>
      <c r="AE18" s="219" t="s">
        <v>228</v>
      </c>
      <c r="AF18" s="220" t="s">
        <v>228</v>
      </c>
      <c r="AG18" s="195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6">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6">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6">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6">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6">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6">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6">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6">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6">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6">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6">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6">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6">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48">
        <f t="shared" si="8"/>
        <v>0.13527885904981399</v>
      </c>
      <c r="X33" s="914">
        <f>'Baseline data (from input)'!AS19*W33</f>
        <v>2296.1168290381702</v>
      </c>
      <c r="Y33" s="907">
        <f>Parameters!S134</f>
        <v>0.71500000000000008</v>
      </c>
      <c r="Z33" s="907">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6">
        <f t="shared" si="16"/>
        <v>0.13527885904981399</v>
      </c>
      <c r="AH33" s="914">
        <f>'Baseline data (from input)'!AS19*AG33</f>
        <v>2296.1168290381702</v>
      </c>
      <c r="AI33" s="907">
        <f>Parameters!S134</f>
        <v>0.71500000000000008</v>
      </c>
      <c r="AJ33" s="907">
        <f t="shared" si="17"/>
        <v>0.4</v>
      </c>
      <c r="AK33" s="906">
        <f t="shared" si="18"/>
        <v>328.34470655245843</v>
      </c>
      <c r="AL33" s="906">
        <f t="shared" si="19"/>
        <v>328.34470655245843</v>
      </c>
      <c r="AM33" s="286">
        <f t="shared" si="20"/>
        <v>0</v>
      </c>
      <c r="AN33" s="906">
        <f t="shared" si="21"/>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48">
        <f t="shared" si="8"/>
        <v>0.13527885904981399</v>
      </c>
      <c r="X34" s="914">
        <f>'Baseline data (from input)'!AS20*W34</f>
        <v>2478.4234921289667</v>
      </c>
      <c r="Y34" s="907">
        <f>Parameters!S135</f>
        <v>0.71500000000000008</v>
      </c>
      <c r="Z34" s="907">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6">
        <f t="shared" si="16"/>
        <v>0.13527885904981399</v>
      </c>
      <c r="AH34" s="914">
        <f>'Baseline data (from input)'!AS20*AG34</f>
        <v>2478.4234921289667</v>
      </c>
      <c r="AI34" s="907">
        <f>Parameters!S135</f>
        <v>0.71500000000000008</v>
      </c>
      <c r="AJ34" s="907">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48">
        <f t="shared" si="8"/>
        <v>0.13527885904981399</v>
      </c>
      <c r="X35" s="914">
        <f>'Baseline data (from input)'!AS21*W35</f>
        <v>2630.1714348322043</v>
      </c>
      <c r="Y35" s="907">
        <f>Parameters!S136</f>
        <v>0.71500000000000008</v>
      </c>
      <c r="Z35" s="907">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6">
        <f t="shared" si="16"/>
        <v>0.13527885904981399</v>
      </c>
      <c r="AH35" s="914">
        <f>'Baseline data (from input)'!AS21*AG35</f>
        <v>2630.1714348322043</v>
      </c>
      <c r="AI35" s="907">
        <f>Parameters!S136</f>
        <v>0.71500000000000008</v>
      </c>
      <c r="AJ35" s="907">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48">
        <f t="shared" si="8"/>
        <v>0.13527885904981399</v>
      </c>
      <c r="X36" s="914">
        <f>'Baseline data (from input)'!AS22*W36</f>
        <v>2746.9065510606351</v>
      </c>
      <c r="Y36" s="907">
        <f>Parameters!S137</f>
        <v>0.71500000000000008</v>
      </c>
      <c r="Z36" s="907">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6">
        <f t="shared" si="16"/>
        <v>0.13527885904981399</v>
      </c>
      <c r="AH36" s="914">
        <f>'Baseline data (from input)'!AS22*AG36</f>
        <v>2746.9065510606351</v>
      </c>
      <c r="AI36" s="907">
        <f>Parameters!S137</f>
        <v>0.71500000000000008</v>
      </c>
      <c r="AJ36" s="907">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48">
        <f t="shared" si="8"/>
        <v>0.13527885904981399</v>
      </c>
      <c r="X37" s="914">
        <f>'Baseline data (from input)'!AS23*W37</f>
        <v>2944.5897670360177</v>
      </c>
      <c r="Y37" s="907">
        <f>Parameters!S138</f>
        <v>0.71500000000000008</v>
      </c>
      <c r="Z37" s="907">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6">
        <f t="shared" si="16"/>
        <v>0.13527885904981399</v>
      </c>
      <c r="AH37" s="914">
        <f>'Baseline data (from input)'!AS23*AG37</f>
        <v>2944.5897670360177</v>
      </c>
      <c r="AI37" s="907">
        <f>Parameters!S138</f>
        <v>0.71500000000000008</v>
      </c>
      <c r="AJ37" s="907">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48">
        <f t="shared" si="8"/>
        <v>0.13527885904981399</v>
      </c>
      <c r="X38" s="914">
        <f>'Baseline data (from input)'!AS24*W38</f>
        <v>3066.8916780085497</v>
      </c>
      <c r="Y38" s="907">
        <f>Parameters!S139</f>
        <v>0.71500000000000008</v>
      </c>
      <c r="Z38" s="907">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6">
        <f t="shared" si="16"/>
        <v>0.13527885904981399</v>
      </c>
      <c r="AH38" s="914">
        <f>'Baseline data (from input)'!AS24*AG38</f>
        <v>3066.8916780085497</v>
      </c>
      <c r="AI38" s="907">
        <f>Parameters!S139</f>
        <v>0.71500000000000008</v>
      </c>
      <c r="AJ38" s="907">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48">
        <f t="shared" si="8"/>
        <v>0.13527885904981399</v>
      </c>
      <c r="X39" s="914">
        <f>'Baseline data (from input)'!AS25*W39</f>
        <v>3211.5210945049507</v>
      </c>
      <c r="Y39" s="907">
        <f>Parameters!S140</f>
        <v>0.71500000000000008</v>
      </c>
      <c r="Z39" s="907">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6">
        <f t="shared" si="16"/>
        <v>0.13527885904981399</v>
      </c>
      <c r="AH39" s="914">
        <f>'Baseline data (from input)'!AS25*AG39</f>
        <v>3211.5210945049507</v>
      </c>
      <c r="AI39" s="907">
        <f>Parameters!S140</f>
        <v>0.71500000000000008</v>
      </c>
      <c r="AJ39" s="907">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48">
        <f t="shared" si="8"/>
        <v>0.13527885904981399</v>
      </c>
      <c r="X40" s="914">
        <f>'Baseline data (from input)'!AS26*W40</f>
        <v>3380.0833715323015</v>
      </c>
      <c r="Y40" s="907">
        <f>Parameters!S141</f>
        <v>0.71500000000000008</v>
      </c>
      <c r="Z40" s="907">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6">
        <f t="shared" si="16"/>
        <v>0.13527885904981399</v>
      </c>
      <c r="AH40" s="914">
        <f>'Baseline data (from input)'!AS26*AG40</f>
        <v>3380.0833715323015</v>
      </c>
      <c r="AI40" s="907">
        <f>Parameters!S141</f>
        <v>0.71500000000000008</v>
      </c>
      <c r="AJ40" s="907">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48">
        <f t="shared" si="8"/>
        <v>0.13527885904981399</v>
      </c>
      <c r="X41" s="914">
        <f>'Baseline data (from input)'!AS27*W41</f>
        <v>3524.716139475715</v>
      </c>
      <c r="Y41" s="907">
        <f>Parameters!S142</f>
        <v>0.71500000000000008</v>
      </c>
      <c r="Z41" s="907">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6">
        <f t="shared" si="16"/>
        <v>0.13527885904981399</v>
      </c>
      <c r="AH41" s="914">
        <f>'Baseline data (from input)'!AS27*AG41</f>
        <v>3524.716139475715</v>
      </c>
      <c r="AI41" s="907">
        <f>Parameters!S142</f>
        <v>0.71500000000000008</v>
      </c>
      <c r="AJ41" s="907">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48">
        <f t="shared" si="8"/>
        <v>0.13527885904981399</v>
      </c>
      <c r="X42" s="914">
        <f>'Baseline data (from input)'!AS28*W42</f>
        <v>3583.0418042047595</v>
      </c>
      <c r="Y42" s="907">
        <f>Parameters!S143</f>
        <v>0.71500000000000008</v>
      </c>
      <c r="Z42" s="907">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6">
        <f t="shared" si="16"/>
        <v>0.13527885904981399</v>
      </c>
      <c r="AH42" s="914">
        <f>'Baseline data (from input)'!AS28*AG42</f>
        <v>3583.0418042047595</v>
      </c>
      <c r="AI42" s="907">
        <f>Parameters!S143</f>
        <v>0.71500000000000008</v>
      </c>
      <c r="AJ42" s="907">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48">
        <f t="shared" si="8"/>
        <v>0.13527885904981399</v>
      </c>
      <c r="X43" s="914">
        <f>'Baseline data (from input)'!AS29*W43</f>
        <v>3746.8583970602153</v>
      </c>
      <c r="Y43" s="907">
        <f>Parameters!S144</f>
        <v>0.71500000000000008</v>
      </c>
      <c r="Z43" s="907">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6">
        <f t="shared" si="16"/>
        <v>0.13527885904981399</v>
      </c>
      <c r="AH43" s="914">
        <f>'Baseline data (from input)'!AS29*AG43</f>
        <v>3746.8583970602153</v>
      </c>
      <c r="AI43" s="907">
        <f>Parameters!S144</f>
        <v>0.71500000000000008</v>
      </c>
      <c r="AJ43" s="907">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48">
        <f t="shared" si="8"/>
        <v>0.13527885904981399</v>
      </c>
      <c r="X44" s="914">
        <f>'Baseline data (from input)'!AS30*W44</f>
        <v>3975.8309542811171</v>
      </c>
      <c r="Y44" s="907">
        <f>Parameters!S145</f>
        <v>0.71500000000000008</v>
      </c>
      <c r="Z44" s="907">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6">
        <f t="shared" si="16"/>
        <v>0.13527885904981399</v>
      </c>
      <c r="AH44" s="914">
        <f>'Baseline data (from input)'!AS30*AG44</f>
        <v>3975.8309542811171</v>
      </c>
      <c r="AI44" s="907">
        <f>Parameters!S145</f>
        <v>0.71500000000000008</v>
      </c>
      <c r="AJ44" s="907">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48">
        <f t="shared" si="8"/>
        <v>0.13527885904981399</v>
      </c>
      <c r="X45" s="914">
        <f>'Baseline data (from input)'!AS31*W45</f>
        <v>4043.2391077160787</v>
      </c>
      <c r="Y45" s="907">
        <f>Parameters!S146</f>
        <v>0.71500000000000008</v>
      </c>
      <c r="Z45" s="907">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6">
        <f t="shared" si="16"/>
        <v>0.13527885904981399</v>
      </c>
      <c r="AH45" s="914">
        <f>'Baseline data (from input)'!AS31*AG45</f>
        <v>4043.2391077160787</v>
      </c>
      <c r="AI45" s="907">
        <f>Parameters!S146</f>
        <v>0.71500000000000008</v>
      </c>
      <c r="AJ45" s="907">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48">
        <f t="shared" si="8"/>
        <v>0.13527885904981399</v>
      </c>
      <c r="X46" s="914">
        <f>'Baseline data (from input)'!AS32*W46</f>
        <v>4134.2081083134963</v>
      </c>
      <c r="Y46" s="907">
        <f>Parameters!S147</f>
        <v>0.71500000000000008</v>
      </c>
      <c r="Z46" s="907">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6">
        <f t="shared" si="16"/>
        <v>0.13527885904981399</v>
      </c>
      <c r="AH46" s="914">
        <f>'Baseline data (from input)'!AS32*AG46</f>
        <v>4134.2081083134963</v>
      </c>
      <c r="AI46" s="907">
        <f>Parameters!S147</f>
        <v>0.71500000000000008</v>
      </c>
      <c r="AJ46" s="907">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48">
        <f t="shared" si="8"/>
        <v>0.13527885904981399</v>
      </c>
      <c r="X47" s="914">
        <f>'Baseline data (from input)'!AS33*W47</f>
        <v>4130.3204009580104</v>
      </c>
      <c r="Y47" s="907">
        <f>Parameters!S148</f>
        <v>0.71500000000000008</v>
      </c>
      <c r="Z47" s="907">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6">
        <f t="shared" si="16"/>
        <v>0.13527885904981399</v>
      </c>
      <c r="AH47" s="914">
        <f>'Baseline data (from input)'!AS33*AG47</f>
        <v>4130.3204009580104</v>
      </c>
      <c r="AI47" s="907">
        <f>Parameters!S148</f>
        <v>0.71500000000000008</v>
      </c>
      <c r="AJ47" s="907">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48">
        <f t="shared" si="8"/>
        <v>0.13527885904981399</v>
      </c>
      <c r="X48" s="914">
        <f>'Baseline data (from input)'!AS34*W48</f>
        <v>4254.8309318975771</v>
      </c>
      <c r="Y48" s="907">
        <f>Parameters!S149</f>
        <v>0.71500000000000008</v>
      </c>
      <c r="Z48" s="907">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6">
        <f t="shared" si="16"/>
        <v>0.13527885904981399</v>
      </c>
      <c r="AH48" s="914">
        <f>'Baseline data (from input)'!AS34*AG48</f>
        <v>4254.8309318975771</v>
      </c>
      <c r="AI48" s="907">
        <f>Parameters!S149</f>
        <v>0.71500000000000008</v>
      </c>
      <c r="AJ48" s="907">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48">
        <f t="shared" si="8"/>
        <v>0.13527885904981399</v>
      </c>
      <c r="X49" s="914">
        <f>'Baseline data (from input)'!AS35*W49</f>
        <v>4416.110460565309</v>
      </c>
      <c r="Y49" s="907">
        <f>Parameters!S150</f>
        <v>0.71500000000000008</v>
      </c>
      <c r="Z49" s="907">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6">
        <f t="shared" si="16"/>
        <v>0.13527885904981399</v>
      </c>
      <c r="AH49" s="914">
        <f>'Baseline data (from input)'!AS35*AG49</f>
        <v>4416.110460565309</v>
      </c>
      <c r="AI49" s="907">
        <f>Parameters!S150</f>
        <v>0.71500000000000008</v>
      </c>
      <c r="AJ49" s="907">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48">
        <f t="shared" si="8"/>
        <v>0.13527885904981399</v>
      </c>
      <c r="X50" s="914">
        <f>'Baseline data (from input)'!AS36*W50</f>
        <v>4708.4828108779766</v>
      </c>
      <c r="Y50" s="907">
        <f>Parameters!S151</f>
        <v>0.71500000000000008</v>
      </c>
      <c r="Z50" s="907">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6">
        <f t="shared" si="16"/>
        <v>0.13527885904981399</v>
      </c>
      <c r="AH50" s="914">
        <f>'Baseline data (from input)'!AS36*AG50</f>
        <v>4708.4828108779766</v>
      </c>
      <c r="AI50" s="907">
        <f>Parameters!S151</f>
        <v>0.71500000000000008</v>
      </c>
      <c r="AJ50" s="907">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48">
        <f t="shared" si="8"/>
        <v>0.13527885904981399</v>
      </c>
      <c r="X51" s="914">
        <f>'Baseline data (from input)'!AS37*W51</f>
        <v>4960.8922107878961</v>
      </c>
      <c r="Y51" s="907">
        <f>Parameters!S152</f>
        <v>0.71500000000000008</v>
      </c>
      <c r="Z51" s="907">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6">
        <f t="shared" si="16"/>
        <v>0.13527885904981399</v>
      </c>
      <c r="AH51" s="914">
        <f>'Baseline data (from input)'!AS37*AG51</f>
        <v>4960.8922107878961</v>
      </c>
      <c r="AI51" s="907">
        <f>Parameters!S152</f>
        <v>0.71500000000000008</v>
      </c>
      <c r="AJ51" s="907">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48">
        <f t="shared" si="8"/>
        <v>0.13527885904981399</v>
      </c>
      <c r="X52" s="914">
        <f>'Baseline data (from input)'!AS38*W52</f>
        <v>4941.8726079916951</v>
      </c>
      <c r="Y52" s="907">
        <f>Parameters!S153</f>
        <v>0.71500000000000008</v>
      </c>
      <c r="Z52" s="907">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6">
        <f t="shared" si="16"/>
        <v>0.13527885904981399</v>
      </c>
      <c r="AH52" s="914">
        <f>'Baseline data (from input)'!AS38*AG52</f>
        <v>4941.8726079916951</v>
      </c>
      <c r="AI52" s="907">
        <f>Parameters!S153</f>
        <v>0.71500000000000008</v>
      </c>
      <c r="AJ52" s="907">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48">
        <f t="shared" si="8"/>
        <v>0.13527885904981399</v>
      </c>
      <c r="X53" s="914">
        <f>'Baseline data (from input)'!AS39*W53</f>
        <v>4850.6187322884489</v>
      </c>
      <c r="Y53" s="907">
        <f>Parameters!S154</f>
        <v>0.71500000000000008</v>
      </c>
      <c r="Z53" s="907">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6">
        <f t="shared" si="16"/>
        <v>0.13527885904981399</v>
      </c>
      <c r="AH53" s="914">
        <f>'Baseline data (from input)'!AS39*AG53</f>
        <v>4850.6187322884489</v>
      </c>
      <c r="AI53" s="907">
        <f>Parameters!S154</f>
        <v>0.71500000000000008</v>
      </c>
      <c r="AJ53" s="907">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48">
        <f t="shared" si="8"/>
        <v>0.13527885904981399</v>
      </c>
      <c r="X54" s="914">
        <f>'Baseline data (from input)'!AS40*W54</f>
        <v>5097.9573552938209</v>
      </c>
      <c r="Y54" s="907">
        <f>Parameters!S155</f>
        <v>0.71500000000000008</v>
      </c>
      <c r="Z54" s="907">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6">
        <f t="shared" si="16"/>
        <v>0.13527885904981399</v>
      </c>
      <c r="AH54" s="914">
        <f>'Baseline data (from input)'!AS40*AG54</f>
        <v>5097.9573552938209</v>
      </c>
      <c r="AI54" s="907">
        <f>Parameters!S155</f>
        <v>0.71500000000000008</v>
      </c>
      <c r="AJ54" s="907">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48">
        <f t="shared" si="8"/>
        <v>0.13527885904981399</v>
      </c>
      <c r="X55" s="914">
        <f>'Baseline data (from input)'!AS41*W55</f>
        <v>5036.1964319328727</v>
      </c>
      <c r="Y55" s="907">
        <f>Parameters!S156</f>
        <v>0.71500000000000008</v>
      </c>
      <c r="Z55" s="907">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6">
        <f t="shared" si="16"/>
        <v>0.13527885904981399</v>
      </c>
      <c r="AH55" s="914">
        <f>'Baseline data (from input)'!AS41*AG55</f>
        <v>5036.1964319328727</v>
      </c>
      <c r="AI55" s="907">
        <f>Parameters!S156</f>
        <v>0.71500000000000008</v>
      </c>
      <c r="AJ55" s="907">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48">
        <f t="shared" si="8"/>
        <v>0.13527885904981399</v>
      </c>
      <c r="X56" s="914">
        <f>'Baseline data (from input)'!AS42*W56</f>
        <v>5037.0946263861515</v>
      </c>
      <c r="Y56" s="907">
        <f>Parameters!S157</f>
        <v>0.71500000000000008</v>
      </c>
      <c r="Z56" s="907">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6">
        <f t="shared" si="16"/>
        <v>0.13527885904981399</v>
      </c>
      <c r="AH56" s="914">
        <f>'Baseline data (from input)'!AS42*AG56</f>
        <v>5037.0946263861515</v>
      </c>
      <c r="AI56" s="907">
        <f>Parameters!S157</f>
        <v>0.71500000000000008</v>
      </c>
      <c r="AJ56" s="907">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48">
        <f t="shared" si="8"/>
        <v>0.13527885904981399</v>
      </c>
      <c r="X57" s="914">
        <f>'Baseline data (from input)'!AS43*W57</f>
        <v>5142.9106473177444</v>
      </c>
      <c r="Y57" s="907">
        <f>Parameters!S158</f>
        <v>0.71500000000000008</v>
      </c>
      <c r="Z57" s="907">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6">
        <f t="shared" si="16"/>
        <v>0.13527885904981399</v>
      </c>
      <c r="AH57" s="914">
        <f>'Baseline data (from input)'!AS43*AG57</f>
        <v>5142.9106473177444</v>
      </c>
      <c r="AI57" s="907">
        <f>Parameters!S158</f>
        <v>0.71500000000000008</v>
      </c>
      <c r="AJ57" s="907">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48">
        <f t="shared" si="8"/>
        <v>0.13527885904981399</v>
      </c>
      <c r="X58" s="914">
        <f>'Baseline data (from input)'!AS44*W58</f>
        <v>5358.9197113817227</v>
      </c>
      <c r="Y58" s="907">
        <f>Parameters!S159</f>
        <v>0.71500000000000008</v>
      </c>
      <c r="Z58" s="907">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6">
        <f t="shared" si="16"/>
        <v>0.13527885904981399</v>
      </c>
      <c r="AH58" s="914">
        <f>'Baseline data (from input)'!AS44*AG58</f>
        <v>5358.9197113817227</v>
      </c>
      <c r="AI58" s="907">
        <f>Parameters!S159</f>
        <v>0.71500000000000008</v>
      </c>
      <c r="AJ58" s="907">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48">
        <f t="shared" si="8"/>
        <v>0.13527885904981399</v>
      </c>
      <c r="X59" s="914">
        <f>'Baseline data (from input)'!AS45*W59</f>
        <v>5487.2542717234219</v>
      </c>
      <c r="Y59" s="907">
        <f>Parameters!S160</f>
        <v>0.71500000000000008</v>
      </c>
      <c r="Z59" s="907">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6">
        <f t="shared" si="16"/>
        <v>0.13527885904981399</v>
      </c>
      <c r="AH59" s="914">
        <f>'Baseline data (from input)'!AS45*AG59</f>
        <v>5487.2542717234219</v>
      </c>
      <c r="AI59" s="907">
        <f>Parameters!S160</f>
        <v>0.71500000000000008</v>
      </c>
      <c r="AJ59" s="907">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48">
        <f t="shared" si="8"/>
        <v>0.13527885904981399</v>
      </c>
      <c r="X60" s="914">
        <f>'Baseline data (from input)'!AS46*W60</f>
        <v>5469.8165636421863</v>
      </c>
      <c r="Y60" s="907">
        <f>Parameters!S161</f>
        <v>0.71500000000000008</v>
      </c>
      <c r="Z60" s="907">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6">
        <f t="shared" si="16"/>
        <v>0.13527885904981399</v>
      </c>
      <c r="AH60" s="914">
        <f>'Baseline data (from input)'!AS46*AG60</f>
        <v>5469.8165636421863</v>
      </c>
      <c r="AI60" s="907">
        <f>Parameters!S161</f>
        <v>0.71500000000000008</v>
      </c>
      <c r="AJ60" s="907">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48">
        <f t="shared" si="8"/>
        <v>0.13527885904981399</v>
      </c>
      <c r="X61" s="914">
        <f>'Baseline data (from input)'!AS47*W61</f>
        <v>5414.1218043745357</v>
      </c>
      <c r="Y61" s="907">
        <f>Parameters!S162</f>
        <v>0.71500000000000008</v>
      </c>
      <c r="Z61" s="907">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6">
        <f t="shared" si="16"/>
        <v>0.13527885904981399</v>
      </c>
      <c r="AH61" s="914">
        <f>'Baseline data (from input)'!AS47*AG61</f>
        <v>5414.1218043745357</v>
      </c>
      <c r="AI61" s="907">
        <f>Parameters!S162</f>
        <v>0.71500000000000008</v>
      </c>
      <c r="AJ61" s="907">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48">
        <f t="shared" si="8"/>
        <v>0.13527885904981399</v>
      </c>
      <c r="X62" s="914">
        <f>'Baseline data (from input)'!AS48*W62</f>
        <v>5298.4189413752983</v>
      </c>
      <c r="Y62" s="907">
        <f>Parameters!S163</f>
        <v>0.71500000000000008</v>
      </c>
      <c r="Z62" s="907">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6">
        <f t="shared" si="16"/>
        <v>0.13527885904981399</v>
      </c>
      <c r="AH62" s="914">
        <f>'Baseline data (from input)'!AS48*AG62</f>
        <v>5298.4189413752983</v>
      </c>
      <c r="AI62" s="907">
        <f>Parameters!S163</f>
        <v>0.71500000000000008</v>
      </c>
      <c r="AJ62" s="907">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48">
        <f t="shared" si="8"/>
        <v>0.13527885904981399</v>
      </c>
      <c r="X63" s="914">
        <f>'Baseline data (from input)'!AS49*W63</f>
        <v>5363.7759940913274</v>
      </c>
      <c r="Y63" s="907">
        <f>Parameters!S164</f>
        <v>0.71500000000000008</v>
      </c>
      <c r="Z63" s="907">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6">
        <f t="shared" si="16"/>
        <v>0.13527885904981399</v>
      </c>
      <c r="AH63" s="914">
        <f>'Baseline data (from input)'!AS49*AG63</f>
        <v>5363.7759940913274</v>
      </c>
      <c r="AI63" s="907">
        <f>Parameters!S164</f>
        <v>0.71500000000000008</v>
      </c>
      <c r="AJ63" s="907">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48">
        <f t="shared" si="8"/>
        <v>0.13527885904981399</v>
      </c>
      <c r="X64" s="914">
        <f>'Baseline data (from input)'!AS50*W64</f>
        <v>5535.4168821682597</v>
      </c>
      <c r="Y64" s="907">
        <f>Parameters!S165</f>
        <v>0.71500000000000008</v>
      </c>
      <c r="Z64" s="907">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6">
        <f t="shared" si="16"/>
        <v>0.13527885904981399</v>
      </c>
      <c r="AH64" s="914">
        <f>'Baseline data (from input)'!AS50*AG64</f>
        <v>5535.4168821682597</v>
      </c>
      <c r="AI64" s="907">
        <f>Parameters!S165</f>
        <v>0.71500000000000008</v>
      </c>
      <c r="AJ64" s="907">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48">
        <f t="shared" si="8"/>
        <v>0.13527885904981399</v>
      </c>
      <c r="X65" s="914">
        <f>'Baseline data (from input)'!AS51*W65</f>
        <v>5707.014551882673</v>
      </c>
      <c r="Y65" s="907">
        <f>Parameters!S166</f>
        <v>0.71500000000000008</v>
      </c>
      <c r="Z65" s="907">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6">
        <f t="shared" si="16"/>
        <v>0.13527885904981399</v>
      </c>
      <c r="AH65" s="914">
        <f>'Baseline data (from input)'!AS51*AG65</f>
        <v>5707.014551882673</v>
      </c>
      <c r="AI65" s="907">
        <f>Parameters!S166</f>
        <v>0.71500000000000008</v>
      </c>
      <c r="AJ65" s="907">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48">
        <f t="shared" si="8"/>
        <v>0.13527885904981399</v>
      </c>
      <c r="X66" s="914">
        <f>'Baseline data (from input)'!AS52*W66</f>
        <v>5952.4161183177466</v>
      </c>
      <c r="Y66" s="907">
        <f>Parameters!S167</f>
        <v>0.71500000000000008</v>
      </c>
      <c r="Z66" s="907">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6">
        <f t="shared" si="16"/>
        <v>0.13527885904981399</v>
      </c>
      <c r="AH66" s="914">
        <f>'Baseline data (from input)'!AS52*AG66</f>
        <v>5952.4161183177466</v>
      </c>
      <c r="AI66" s="907">
        <f>Parameters!S167</f>
        <v>0.71500000000000008</v>
      </c>
      <c r="AJ66" s="907">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48">
        <f t="shared" si="8"/>
        <v>0.13527885904981399</v>
      </c>
      <c r="X67" s="914">
        <f>'Baseline data (from input)'!AS53*W67</f>
        <v>6107.1790633471337</v>
      </c>
      <c r="Y67" s="907">
        <f>Parameters!S168</f>
        <v>0.71500000000000008</v>
      </c>
      <c r="Z67" s="907">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6">
        <f t="shared" si="16"/>
        <v>0.13527885904981399</v>
      </c>
      <c r="AH67" s="914">
        <f>'Baseline data (from input)'!AS53*AG67</f>
        <v>6107.1790633471337</v>
      </c>
      <c r="AI67" s="907">
        <f>Parameters!S168</f>
        <v>0.71500000000000008</v>
      </c>
      <c r="AJ67" s="907">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48">
        <f t="shared" si="8"/>
        <v>0.13527885904981399</v>
      </c>
      <c r="X68" s="914">
        <f>'Baseline data (from input)'!AS54*W68</f>
        <v>6137.7150139338401</v>
      </c>
      <c r="Y68" s="907">
        <f>Parameters!S169</f>
        <v>0.71500000000000008</v>
      </c>
      <c r="Z68" s="907">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6">
        <f t="shared" si="16"/>
        <v>0.13527885904981399</v>
      </c>
      <c r="AH68" s="914">
        <f>'Baseline data (from input)'!AS54*AG68</f>
        <v>6137.7150139338401</v>
      </c>
      <c r="AI68" s="907">
        <f>Parameters!S169</f>
        <v>0.71500000000000008</v>
      </c>
      <c r="AJ68" s="907">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48">
        <f t="shared" si="8"/>
        <v>0.13527885904981399</v>
      </c>
      <c r="X69" s="914">
        <f>'Baseline data (from input)'!AS55*W69</f>
        <v>6285.0199437970532</v>
      </c>
      <c r="Y69" s="907">
        <f>Parameters!S170</f>
        <v>0.71500000000000008</v>
      </c>
      <c r="Z69" s="907">
        <f t="shared" si="9"/>
        <v>0.4</v>
      </c>
      <c r="AA69" s="906">
        <f t="shared" si="10"/>
        <v>898.75785196297875</v>
      </c>
      <c r="AB69" s="906">
        <f t="shared" si="11"/>
        <v>898.75785196297875</v>
      </c>
      <c r="AC69" s="286">
        <f t="shared" si="12"/>
        <v>0</v>
      </c>
      <c r="AD69" s="906">
        <f t="shared" si="13"/>
        <v>12537.571695398445</v>
      </c>
      <c r="AE69" s="906">
        <f t="shared" si="14"/>
        <v>596.73474626938241</v>
      </c>
      <c r="AF69" s="1072">
        <f t="shared" si="15"/>
        <v>397.82316417958828</v>
      </c>
      <c r="AG69" s="1446">
        <f t="shared" si="16"/>
        <v>0.13527885904981399</v>
      </c>
      <c r="AH69" s="914">
        <f>'Baseline data (from input)'!AS55*AG69</f>
        <v>6285.0199437970532</v>
      </c>
      <c r="AI69" s="907">
        <f>Parameters!S170</f>
        <v>0.71500000000000008</v>
      </c>
      <c r="AJ69" s="907">
        <f t="shared" si="17"/>
        <v>0.4</v>
      </c>
      <c r="AK69" s="906">
        <f t="shared" si="18"/>
        <v>898.75785196297875</v>
      </c>
      <c r="AL69" s="906">
        <f t="shared" si="19"/>
        <v>898.75785196297875</v>
      </c>
      <c r="AM69" s="286">
        <f t="shared" si="20"/>
        <v>0</v>
      </c>
      <c r="AN69" s="906">
        <f t="shared" si="21"/>
        <v>12537.571695398445</v>
      </c>
      <c r="AO69" s="906">
        <f t="shared" si="22"/>
        <v>596.73474626938241</v>
      </c>
      <c r="AP69" s="1072">
        <f t="shared" si="23"/>
        <v>397.82316417958828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48">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AC70+AD69*(1-$D$8)</f>
        <v>611.46458694814078</v>
      </c>
      <c r="AF70" s="896">
        <f>AE70*16/12*$D$11</f>
        <v>407.6430579654272</v>
      </c>
      <c r="AG70" s="1446">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48">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6">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3">
        <f t="shared" si="31"/>
        <v>352.50382234400405</v>
      </c>
      <c r="BC71" s="1604">
        <f t="shared" si="32"/>
        <v>418.2113531506368</v>
      </c>
      <c r="BD71" s="1605">
        <f t="shared" ref="BD71:BD87" si="53">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48">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6">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3">
        <f t="shared" si="31"/>
        <v>365.04160146921089</v>
      </c>
      <c r="BC72" s="1604">
        <f t="shared" si="32"/>
        <v>429.08635544976073</v>
      </c>
      <c r="BD72" s="1605">
        <f t="shared" si="53"/>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48">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4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3">
        <f t="shared" si="31"/>
        <v>377.380320424339</v>
      </c>
      <c r="BC73" s="1604">
        <f t="shared" si="32"/>
        <v>440.58813938995121</v>
      </c>
      <c r="BD73" s="1605">
        <f t="shared" si="53"/>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48">
        <f t="shared" ref="W74:W81" si="55">($W$82-$W$72)/($A$82-$A$72)+W73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48">
        <f t="shared" ref="AG74:AG81" si="56">($AG$82-$AG$72)/($A$82-$A$72)+AG73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3">
        <f t="shared" si="31"/>
        <v>389.50320822466421</v>
      </c>
      <c r="BC74" s="1604">
        <f t="shared" si="32"/>
        <v>449.33471885423859</v>
      </c>
      <c r="BD74" s="1605">
        <f t="shared" si="53"/>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48">
        <f t="shared" si="55"/>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48">
        <f t="shared" si="56"/>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3">
        <f t="shared" si="31"/>
        <v>401.39828370560582</v>
      </c>
      <c r="BC75" s="1604">
        <f t="shared" si="32"/>
        <v>455.80540481488362</v>
      </c>
      <c r="BD75" s="1605">
        <f t="shared" si="53"/>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48">
        <f t="shared" si="55"/>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48">
        <f t="shared" si="56"/>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3">
        <f t="shared" si="31"/>
        <v>413.06606569957484</v>
      </c>
      <c r="BC76" s="1604">
        <f t="shared" si="32"/>
        <v>460.13310664023578</v>
      </c>
      <c r="BD76" s="1605">
        <f t="shared" si="53"/>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48">
        <f t="shared" si="55"/>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48">
        <f t="shared" si="56"/>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3">
        <f t="shared" si="31"/>
        <v>424.51763944073804</v>
      </c>
      <c r="BC77" s="1604">
        <f t="shared" si="32"/>
        <v>462.30164861039526</v>
      </c>
      <c r="BD77" s="1605">
        <f t="shared" si="53"/>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48">
        <f t="shared" si="55"/>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48">
        <f t="shared" si="56"/>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3">
        <f t="shared" si="31"/>
        <v>435.75891565885144</v>
      </c>
      <c r="BC78" s="1604">
        <f t="shared" si="32"/>
        <v>462.14243125415283</v>
      </c>
      <c r="BD78" s="1605">
        <f t="shared" si="53"/>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48">
        <f t="shared" si="55"/>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48">
        <f t="shared" si="56"/>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3">
        <f t="shared" si="31"/>
        <v>446.80677050108471</v>
      </c>
      <c r="BC79" s="1604">
        <f t="shared" si="32"/>
        <v>459.13306952818652</v>
      </c>
      <c r="BD79" s="1605">
        <f t="shared" si="53"/>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48">
        <f t="shared" si="55"/>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48">
        <f t="shared" si="56"/>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3">
        <f t="shared" si="31"/>
        <v>457.66467940490338</v>
      </c>
      <c r="BC80" s="1604">
        <f t="shared" si="32"/>
        <v>452.53335460608736</v>
      </c>
      <c r="BD80" s="1605">
        <f t="shared" si="53"/>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48">
        <f t="shared" si="55"/>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48">
        <f t="shared" si="56"/>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3">
        <f t="shared" si="31"/>
        <v>465.58393089502232</v>
      </c>
      <c r="BC81" s="1604">
        <f t="shared" si="32"/>
        <v>443.27742511609495</v>
      </c>
      <c r="BD81" s="1605">
        <f t="shared" si="53"/>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49">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7">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3">
        <f t="shared" si="31"/>
        <v>471.51055951772577</v>
      </c>
      <c r="BC82" s="1604">
        <f t="shared" si="32"/>
        <v>431.40785228448499</v>
      </c>
      <c r="BD82" s="1605">
        <f t="shared" si="53"/>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49">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7">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3">
        <f t="shared" si="31"/>
        <v>474.78721249604229</v>
      </c>
      <c r="BC83" s="1604">
        <f t="shared" si="32"/>
        <v>416.85758956150511</v>
      </c>
      <c r="BD83" s="1605">
        <f t="shared" si="53"/>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49">
        <f t="shared" ref="W84:W87" si="58">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7">
        <f t="shared" ref="AG84:AG87" si="59">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3">
        <f t="shared" si="31"/>
        <v>475.71077220994249</v>
      </c>
      <c r="BC84" s="1604">
        <f t="shared" si="32"/>
        <v>403.18657895653814</v>
      </c>
      <c r="BD84" s="1605">
        <f t="shared" si="53"/>
        <v>4.7452171293671848</v>
      </c>
      <c r="BE84" s="1604">
        <f t="shared" ref="BE84:BE120" si="60">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61">SUM(BI84:BK84)</f>
        <v>883.64256829584781</v>
      </c>
      <c r="BM84" s="1606">
        <v>0</v>
      </c>
      <c r="BN84" s="1607">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49">
        <f t="shared" si="58"/>
        <v>2.197312110627072E-2</v>
      </c>
      <c r="X85" s="891">
        <f>'Baseline data (from input)'!AS71*W85</f>
        <v>1476.20316835363</v>
      </c>
      <c r="Y85" s="885">
        <f>Parameters!S186</f>
        <v>0.71500000000000008</v>
      </c>
      <c r="Z85" s="885">
        <f t="shared" ref="Z85:Z120" si="68">$D$3</f>
        <v>0.4</v>
      </c>
      <c r="AA85" s="884">
        <f t="shared" ref="AA85:AA120" si="69">X85*Z85*Y85*$D$4</f>
        <v>211.09705307456915</v>
      </c>
      <c r="AB85" s="884">
        <f t="shared" ref="AB85:AB120" si="70">AA85*$D$10</f>
        <v>211.09705307456915</v>
      </c>
      <c r="AC85" s="886">
        <f t="shared" ref="AC85:AC120" si="71">AA85*(1-$D$10)</f>
        <v>0</v>
      </c>
      <c r="AD85" s="884">
        <f t="shared" ref="AD85:AD120" si="72">AB85+(AD84*$D$8)</f>
        <v>11629.847256487088</v>
      </c>
      <c r="AE85" s="884">
        <f t="shared" ref="AE85:AE120" si="73">AC85+AD84*(1-$D$8)</f>
        <v>585.45184217290728</v>
      </c>
      <c r="AF85" s="897">
        <f t="shared" ref="AF85:AF120" si="74">AE85*16/12*$D$11</f>
        <v>390.3012281152715</v>
      </c>
      <c r="AG85" s="1447">
        <f t="shared" si="59"/>
        <v>2.197312110627072E-2</v>
      </c>
      <c r="AH85" s="891">
        <f>'Baseline data (from input)'!AS71*AG85</f>
        <v>1476.20316835363</v>
      </c>
      <c r="AI85" s="885">
        <f>Parameters!S186</f>
        <v>0.71500000000000008</v>
      </c>
      <c r="AJ85" s="885">
        <f t="shared" ref="AJ85:AJ120" si="75">$D$3</f>
        <v>0.4</v>
      </c>
      <c r="AK85" s="884">
        <f t="shared" ref="AK85:AK120" si="76">AH85*AJ85*AI85*$D$4</f>
        <v>211.09705307456915</v>
      </c>
      <c r="AL85" s="884">
        <f t="shared" ref="AL85:AL120" si="77">AK85*$D$10</f>
        <v>211.09705307456915</v>
      </c>
      <c r="AM85" s="886">
        <f t="shared" ref="AM85:AM120" si="78">AK85*(1-$D$10)</f>
        <v>0</v>
      </c>
      <c r="AN85" s="884">
        <f t="shared" ref="AN85:AN120" si="79">AL85+(AN84*$D$8)</f>
        <v>11629.847256487088</v>
      </c>
      <c r="AO85" s="884">
        <f t="shared" ref="AO85:AO120" si="80">AM85+AN84*(1-$D$8)</f>
        <v>585.45184217290728</v>
      </c>
      <c r="AP85" s="897">
        <f t="shared" ref="AP85:AP120" si="81">AO85*16/12*$D$11</f>
        <v>390.3012281152715</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3">
        <f t="shared" ref="BB85:BB120" si="86">V85</f>
        <v>474.45668773704853</v>
      </c>
      <c r="BC85" s="1604">
        <f t="shared" ref="BC85:BC120" si="87">AF85</f>
        <v>390.3012281152715</v>
      </c>
      <c r="BD85" s="1605">
        <f t="shared" si="53"/>
        <v>4.9551433411659982</v>
      </c>
      <c r="BE85" s="1604">
        <f t="shared" si="60"/>
        <v>869.71305919348606</v>
      </c>
      <c r="BF85" s="1606">
        <v>0</v>
      </c>
      <c r="BG85" s="1607">
        <f t="shared" ref="BG85:BG120" si="88">BE85-BF85</f>
        <v>869.71305919348606</v>
      </c>
      <c r="BI85" s="1603">
        <f t="shared" ref="BI85:BI120" si="89">V85</f>
        <v>474.45668773704853</v>
      </c>
      <c r="BJ85" s="1604">
        <f t="shared" ref="BJ85:BJ120" si="90">AP85</f>
        <v>390.3012281152715</v>
      </c>
      <c r="BK85" s="1605">
        <f t="shared" ref="BK85:BK120" si="91">AZ85</f>
        <v>4.9551433411659982</v>
      </c>
      <c r="BL85" s="1604">
        <f t="shared" si="61"/>
        <v>869.71305919348606</v>
      </c>
      <c r="BM85" s="1606">
        <v>0</v>
      </c>
      <c r="BN85" s="1607">
        <f t="shared" ref="BN85:BN120" si="92">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49">
        <f t="shared" si="58"/>
        <v>2.197312110627072E-2</v>
      </c>
      <c r="X86" s="891">
        <f>'Baseline data (from input)'!AS72*W86</f>
        <v>1487.1215458011513</v>
      </c>
      <c r="Y86" s="885">
        <f>Parameters!S187</f>
        <v>0.71500000000000008</v>
      </c>
      <c r="Z86" s="885">
        <f t="shared" si="68"/>
        <v>0.4</v>
      </c>
      <c r="AA86" s="884">
        <f t="shared" si="69"/>
        <v>212.65838104956467</v>
      </c>
      <c r="AB86" s="884">
        <f t="shared" si="70"/>
        <v>212.65838104956467</v>
      </c>
      <c r="AC86" s="886">
        <f t="shared" si="71"/>
        <v>0</v>
      </c>
      <c r="AD86" s="884">
        <f t="shared" si="72"/>
        <v>11275.311293868985</v>
      </c>
      <c r="AE86" s="884">
        <f t="shared" si="73"/>
        <v>567.19434366766745</v>
      </c>
      <c r="AF86" s="897">
        <f t="shared" si="74"/>
        <v>378.12956244511162</v>
      </c>
      <c r="AG86" s="1447">
        <f t="shared" si="59"/>
        <v>2.197312110627072E-2</v>
      </c>
      <c r="AH86" s="891">
        <f>'Baseline data (from input)'!AS72*AG86</f>
        <v>1487.1215458011513</v>
      </c>
      <c r="AI86" s="885">
        <f>Parameters!S187</f>
        <v>0.71500000000000008</v>
      </c>
      <c r="AJ86" s="885">
        <f t="shared" si="75"/>
        <v>0.4</v>
      </c>
      <c r="AK86" s="884">
        <f t="shared" si="76"/>
        <v>212.65838104956467</v>
      </c>
      <c r="AL86" s="884">
        <f t="shared" si="77"/>
        <v>212.65838104956467</v>
      </c>
      <c r="AM86" s="886">
        <f t="shared" si="78"/>
        <v>0</v>
      </c>
      <c r="AN86" s="884">
        <f t="shared" si="79"/>
        <v>11275.311293868985</v>
      </c>
      <c r="AO86" s="884">
        <f t="shared" si="80"/>
        <v>567.19434366766745</v>
      </c>
      <c r="AP86" s="897">
        <f t="shared" si="81"/>
        <v>378.12956244511162</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3">
        <f t="shared" si="86"/>
        <v>471.19383124565587</v>
      </c>
      <c r="BC86" s="1604">
        <f t="shared" si="87"/>
        <v>378.12956244511162</v>
      </c>
      <c r="BD86" s="1605">
        <f t="shared" si="53"/>
        <v>5.1528444021078155</v>
      </c>
      <c r="BE86" s="1604">
        <f t="shared" si="60"/>
        <v>854.47623809287529</v>
      </c>
      <c r="BF86" s="1606">
        <v>0</v>
      </c>
      <c r="BG86" s="1607">
        <f t="shared" si="88"/>
        <v>854.47623809287529</v>
      </c>
      <c r="BI86" s="1603">
        <f t="shared" si="89"/>
        <v>471.19383124565587</v>
      </c>
      <c r="BJ86" s="1604">
        <f t="shared" si="90"/>
        <v>378.12956244511162</v>
      </c>
      <c r="BK86" s="1605">
        <f t="shared" si="91"/>
        <v>5.1528444021078155</v>
      </c>
      <c r="BL86" s="1604">
        <f t="shared" si="61"/>
        <v>854.47623809287529</v>
      </c>
      <c r="BM86" s="1606">
        <v>0</v>
      </c>
      <c r="BN86" s="1607">
        <f t="shared" si="92"/>
        <v>854.47623809287529</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49">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10940.456135133396</v>
      </c>
      <c r="AE87" s="884">
        <f t="shared" si="73"/>
        <v>549.90342073558929</v>
      </c>
      <c r="AF87" s="897">
        <f t="shared" si="74"/>
        <v>366.60228049039284</v>
      </c>
      <c r="AG87" s="1447">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10940.456135133396</v>
      </c>
      <c r="AO87" s="894">
        <f t="shared" si="80"/>
        <v>549.90342073558929</v>
      </c>
      <c r="AP87" s="898">
        <f t="shared" si="81"/>
        <v>366.60228049039284</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08">
        <f t="shared" si="86"/>
        <v>466.08505262809604</v>
      </c>
      <c r="BC87" s="1609">
        <f t="shared" si="87"/>
        <v>366.60228049039284</v>
      </c>
      <c r="BD87" s="1610">
        <f t="shared" si="53"/>
        <v>5.3390322495547968</v>
      </c>
      <c r="BE87" s="1609">
        <f t="shared" si="60"/>
        <v>838.02636536804357</v>
      </c>
      <c r="BF87" s="1611">
        <v>0</v>
      </c>
      <c r="BG87" s="1612">
        <f t="shared" si="88"/>
        <v>838.02636536804357</v>
      </c>
      <c r="BI87" s="1608">
        <f t="shared" si="89"/>
        <v>466.08505262809604</v>
      </c>
      <c r="BJ87" s="1609">
        <f t="shared" si="90"/>
        <v>366.60228049039284</v>
      </c>
      <c r="BK87" s="1610">
        <f t="shared" si="91"/>
        <v>5.3390322495547968</v>
      </c>
      <c r="BL87" s="1609">
        <f t="shared" si="61"/>
        <v>838.02636536804357</v>
      </c>
      <c r="BM87" s="1611">
        <v>0</v>
      </c>
      <c r="BN87" s="1612">
        <f t="shared" si="92"/>
        <v>838.02636536804357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7"/>
      <c r="X88" s="1019">
        <f>'Recycling - Case 1'!AM138</f>
        <v>1194.4037651748863</v>
      </c>
      <c r="Y88" s="1020">
        <f>Parameters!S189</f>
        <v>0.71500000000000008</v>
      </c>
      <c r="Z88" s="1021">
        <f t="shared" si="68"/>
        <v>0.4</v>
      </c>
      <c r="AA88" s="1022">
        <f t="shared" si="69"/>
        <v>170.79973842000877</v>
      </c>
      <c r="AB88" s="1022">
        <f t="shared" si="70"/>
        <v>170.79973842000877</v>
      </c>
      <c r="AC88" s="1023">
        <f t="shared" si="71"/>
        <v>0</v>
      </c>
      <c r="AD88" s="1022">
        <f t="shared" si="72"/>
        <v>10577.683531618253</v>
      </c>
      <c r="AE88" s="1022">
        <f t="shared" si="73"/>
        <v>533.57234193514978</v>
      </c>
      <c r="AF88" s="1024">
        <f t="shared" si="74"/>
        <v>355.71489462343317</v>
      </c>
      <c r="AG88" s="99"/>
      <c r="AH88" s="1019">
        <f>'Recycling - Case 1'!AM178</f>
        <v>1194.4037651748863</v>
      </c>
      <c r="AI88" s="1020">
        <f>Parameters!S189</f>
        <v>0.71500000000000008</v>
      </c>
      <c r="AJ88" s="1021">
        <f t="shared" si="75"/>
        <v>0.4</v>
      </c>
      <c r="AK88" s="1022">
        <f t="shared" si="76"/>
        <v>170.79973842000877</v>
      </c>
      <c r="AL88" s="1022">
        <f t="shared" si="77"/>
        <v>170.79973842000877</v>
      </c>
      <c r="AM88" s="1023">
        <f t="shared" si="78"/>
        <v>0</v>
      </c>
      <c r="AN88" s="1022">
        <f t="shared" si="79"/>
        <v>10577.683531618253</v>
      </c>
      <c r="AO88" s="1022">
        <f t="shared" si="80"/>
        <v>533.57234193514978</v>
      </c>
      <c r="AP88" s="1024">
        <f t="shared" si="81"/>
        <v>355.71489462343317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355.71489462343317</v>
      </c>
      <c r="BD88" s="1081">
        <f>AZ88</f>
        <v>5.514377360864759</v>
      </c>
      <c r="BE88" s="1053">
        <f t="shared" si="60"/>
        <v>820.5169947820342</v>
      </c>
      <c r="BF88" s="1054">
        <v>0</v>
      </c>
      <c r="BG88" s="1074">
        <f t="shared" si="88"/>
        <v>820.5169947820342</v>
      </c>
      <c r="BI88" s="1052">
        <f t="shared" si="89"/>
        <v>459.28772279773631</v>
      </c>
      <c r="BJ88" s="1053">
        <f t="shared" si="90"/>
        <v>355.71489462343317</v>
      </c>
      <c r="BK88" s="1081">
        <f t="shared" si="91"/>
        <v>5.514377360864759</v>
      </c>
      <c r="BL88" s="1053">
        <f t="shared" si="61"/>
        <v>820.5169947820342</v>
      </c>
      <c r="BM88" s="1054">
        <v>0</v>
      </c>
      <c r="BN88" s="1074">
        <f t="shared" si="92"/>
        <v>820.5169947820342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7"/>
      <c r="X89" s="1025">
        <f>'Recycling - Case 1'!AM139</f>
        <v>783.27654084022697</v>
      </c>
      <c r="Y89" s="1026">
        <f>Parameters!S190</f>
        <v>0.71500000000000008</v>
      </c>
      <c r="Z89" s="1027">
        <f t="shared" si="68"/>
        <v>0.4</v>
      </c>
      <c r="AA89" s="1028">
        <f t="shared" si="69"/>
        <v>112.00854534015247</v>
      </c>
      <c r="AB89" s="1028">
        <f t="shared" si="70"/>
        <v>112.00854534015247</v>
      </c>
      <c r="AC89" s="1029">
        <f t="shared" si="71"/>
        <v>0</v>
      </c>
      <c r="AD89" s="1028">
        <f t="shared" si="72"/>
        <v>10173.812363672063</v>
      </c>
      <c r="AE89" s="1028">
        <f t="shared" si="73"/>
        <v>515.87971328634205</v>
      </c>
      <c r="AF89" s="1030">
        <f t="shared" si="74"/>
        <v>343.91980885756135</v>
      </c>
      <c r="AG89" s="99"/>
      <c r="AH89" s="1025">
        <f>'Recycling - Case 1'!AM179</f>
        <v>783.27654084022697</v>
      </c>
      <c r="AI89" s="1026">
        <f>Parameters!S190</f>
        <v>0.71500000000000008</v>
      </c>
      <c r="AJ89" s="1027">
        <f t="shared" si="75"/>
        <v>0.4</v>
      </c>
      <c r="AK89" s="1028">
        <f t="shared" si="76"/>
        <v>112.00854534015247</v>
      </c>
      <c r="AL89" s="1028">
        <f t="shared" si="77"/>
        <v>112.00854534015247</v>
      </c>
      <c r="AM89" s="1029">
        <f t="shared" si="78"/>
        <v>0</v>
      </c>
      <c r="AN89" s="1028">
        <f t="shared" si="79"/>
        <v>10173.812363672063</v>
      </c>
      <c r="AO89" s="1028">
        <f t="shared" si="80"/>
        <v>515.87971328634205</v>
      </c>
      <c r="AP89" s="1030">
        <f t="shared" si="81"/>
        <v>343.91980885756135</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343.91980885756135</v>
      </c>
      <c r="BD89" s="1082">
        <f t="shared" ref="BD89:BD120" si="101">AZ89</f>
        <v>5.6913897455556466</v>
      </c>
      <c r="BE89" s="1056">
        <f t="shared" si="60"/>
        <v>801.61949135232783</v>
      </c>
      <c r="BF89" s="167">
        <v>0</v>
      </c>
      <c r="BG89" s="1075">
        <f t="shared" si="88"/>
        <v>801.61949135232783</v>
      </c>
      <c r="BI89" s="1055">
        <f t="shared" si="89"/>
        <v>452.00829274921085</v>
      </c>
      <c r="BJ89" s="1056">
        <f t="shared" si="90"/>
        <v>343.91980885756135</v>
      </c>
      <c r="BK89" s="1082">
        <f t="shared" si="91"/>
        <v>5.6913897455556466</v>
      </c>
      <c r="BL89" s="1056">
        <f t="shared" si="61"/>
        <v>801.61949135232783</v>
      </c>
      <c r="BM89" s="167">
        <v>0</v>
      </c>
      <c r="BN89" s="1075">
        <f t="shared" si="92"/>
        <v>801.61949135232783</v>
      </c>
    </row>
    <row r="90" spans="1:66">
      <c r="A90" s="927">
        <f>'Input data'!A120</f>
        <v>2020</v>
      </c>
      <c r="B90" s="824">
        <f>'Input data'!B120</f>
        <v>59.233695328537607</v>
      </c>
      <c r="C90" s="824">
        <f>'Recycling - Case 1'!AK100/B90</f>
        <v>394.90461445166028</v>
      </c>
      <c r="D90" s="826">
        <f>'Recycling - Case 1'!AM100</f>
        <v>0.40598766064068331</v>
      </c>
      <c r="E90" s="826">
        <f>'Recycling - Case 1'!BE100</f>
        <v>0.22303924763495447</v>
      </c>
      <c r="F90" s="826">
        <f>'Recycling - Case 1'!BF100</f>
        <v>0.28287410628400111</v>
      </c>
      <c r="G90" s="826">
        <f>'Recycling - Case 1'!BG100</f>
        <v>6.3984114656730748E-2</v>
      </c>
      <c r="H90" s="826">
        <f>'Recycling - Case 1'!BH100</f>
        <v>0</v>
      </c>
      <c r="I90" s="826">
        <f>'Recycling - Case 1'!BI100</f>
        <v>0</v>
      </c>
      <c r="J90" s="826">
        <f>'Recycling - Case 1'!BJ100</f>
        <v>0</v>
      </c>
      <c r="K90" s="826">
        <f>'Recycling - Case 1'!BK100</f>
        <v>0.43010253142431332</v>
      </c>
      <c r="L90" s="827">
        <f t="shared" si="100"/>
        <v>0.99999999999999956</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0.11562435426473569</v>
      </c>
      <c r="Q90" s="832">
        <f t="shared" si="62"/>
        <v>417.89352363616376</v>
      </c>
      <c r="R90" s="832">
        <f t="shared" si="63"/>
        <v>417.89352363616376</v>
      </c>
      <c r="S90" s="835">
        <f t="shared" si="64"/>
        <v>0</v>
      </c>
      <c r="T90" s="832">
        <f t="shared" si="65"/>
        <v>13416.50937400833</v>
      </c>
      <c r="U90" s="832">
        <f t="shared" si="66"/>
        <v>666.453286019345</v>
      </c>
      <c r="V90" s="839">
        <f t="shared" si="67"/>
        <v>444.30219067956335</v>
      </c>
      <c r="W90" s="1447"/>
      <c r="X90" s="1025">
        <f>'Recycling - Case 1'!AM140</f>
        <v>701.05069599275589</v>
      </c>
      <c r="Y90" s="1026">
        <f>Parameters!S191</f>
        <v>0.71500000000000008</v>
      </c>
      <c r="Z90" s="1027">
        <f t="shared" si="68"/>
        <v>0.4</v>
      </c>
      <c r="AA90" s="1028">
        <f t="shared" si="69"/>
        <v>100.25024952696411</v>
      </c>
      <c r="AB90" s="1028">
        <f t="shared" si="70"/>
        <v>100.25024952696411</v>
      </c>
      <c r="AC90" s="1029">
        <f t="shared" si="71"/>
        <v>0</v>
      </c>
      <c r="AD90" s="1028">
        <f t="shared" si="72"/>
        <v>9777.8799292009899</v>
      </c>
      <c r="AE90" s="1028">
        <f t="shared" si="73"/>
        <v>496.18268399803753</v>
      </c>
      <c r="AF90" s="1030">
        <f t="shared" si="74"/>
        <v>330.78845599869169</v>
      </c>
      <c r="AG90" s="104"/>
      <c r="AH90" s="1025">
        <f>'Recycling - Case 1'!AM180</f>
        <v>701.05069599275589</v>
      </c>
      <c r="AI90" s="1026">
        <f>Parameters!S191</f>
        <v>0.71500000000000008</v>
      </c>
      <c r="AJ90" s="1027">
        <f t="shared" si="75"/>
        <v>0.4</v>
      </c>
      <c r="AK90" s="1028">
        <f t="shared" si="76"/>
        <v>100.25024952696411</v>
      </c>
      <c r="AL90" s="1028">
        <f t="shared" si="77"/>
        <v>100.25024952696411</v>
      </c>
      <c r="AM90" s="1029">
        <f t="shared" si="78"/>
        <v>0</v>
      </c>
      <c r="AN90" s="1028">
        <f t="shared" si="79"/>
        <v>9777.8799292009899</v>
      </c>
      <c r="AO90" s="1028">
        <f t="shared" si="80"/>
        <v>496.18268399803753</v>
      </c>
      <c r="AP90" s="1030">
        <f t="shared" si="81"/>
        <v>330.78845599869169</v>
      </c>
      <c r="AQ90" s="104"/>
      <c r="AR90" s="1064">
        <f>'Recycling - Case 1'!G100</f>
        <v>537.83434951735569</v>
      </c>
      <c r="AS90" s="1065">
        <v>1</v>
      </c>
      <c r="AT90" s="1066">
        <f t="shared" si="82"/>
        <v>0.05</v>
      </c>
      <c r="AU90" s="1044">
        <f t="shared" si="83"/>
        <v>13.445858737933893</v>
      </c>
      <c r="AV90" s="1044">
        <f t="shared" si="84"/>
        <v>13.445858737933893</v>
      </c>
      <c r="AW90" s="1045">
        <f t="shared" si="85"/>
        <v>0</v>
      </c>
      <c r="AX90" s="1044">
        <f t="shared" si="51"/>
        <v>155.84294411951794</v>
      </c>
      <c r="AY90" s="1044">
        <f t="shared" si="54"/>
        <v>8.8053439981218684</v>
      </c>
      <c r="AZ90" s="1067">
        <f t="shared" si="52"/>
        <v>5.8702293320812453</v>
      </c>
      <c r="BB90" s="1055">
        <f t="shared" si="86"/>
        <v>444.30219067956335</v>
      </c>
      <c r="BC90" s="1056">
        <f t="shared" si="87"/>
        <v>330.78845599869169</v>
      </c>
      <c r="BD90" s="1082">
        <f t="shared" si="101"/>
        <v>5.8702293320812453</v>
      </c>
      <c r="BE90" s="1056">
        <f t="shared" si="60"/>
        <v>780.96087601033639</v>
      </c>
      <c r="BF90" s="167">
        <v>0</v>
      </c>
      <c r="BG90" s="1075">
        <f t="shared" si="88"/>
        <v>780.96087601033639</v>
      </c>
      <c r="BI90" s="1055">
        <f t="shared" si="89"/>
        <v>444.30219067956335</v>
      </c>
      <c r="BJ90" s="1056">
        <f t="shared" si="90"/>
        <v>330.78845599869169</v>
      </c>
      <c r="BK90" s="1082">
        <f t="shared" si="91"/>
        <v>5.8702293320812453</v>
      </c>
      <c r="BL90" s="1056">
        <f t="shared" si="61"/>
        <v>780.96087601033639</v>
      </c>
      <c r="BM90" s="167">
        <v>0</v>
      </c>
      <c r="BN90" s="1075">
        <f t="shared" si="92"/>
        <v>780.96087601033639</v>
      </c>
    </row>
    <row r="91" spans="1:66">
      <c r="A91" s="927">
        <f>'Input data'!A121</f>
        <v>2021</v>
      </c>
      <c r="B91" s="824">
        <f>'Input data'!B121</f>
        <v>60.170135702880636</v>
      </c>
      <c r="C91" s="824">
        <f>'Recycling - Case 1'!AK101/B91</f>
        <v>386.24297439808521</v>
      </c>
      <c r="D91" s="826">
        <f>'Recycling - Case 1'!AM101</f>
        <v>0.387414732940286</v>
      </c>
      <c r="E91" s="826">
        <f>'Recycling - Case 1'!BE101</f>
        <v>0.21712905582622802</v>
      </c>
      <c r="F91" s="826">
        <f>'Recycling - Case 1'!BF101</f>
        <v>0.27537838414725496</v>
      </c>
      <c r="G91" s="826">
        <f>'Recycling - Case 1'!BG101</f>
        <v>6.5720177636309232E-2</v>
      </c>
      <c r="H91" s="826">
        <f>'Recycling - Case 1'!BH101</f>
        <v>0</v>
      </c>
      <c r="I91" s="826">
        <f>'Recycling - Case 1'!BI101</f>
        <v>0</v>
      </c>
      <c r="J91" s="826">
        <f>'Recycling - Case 1'!BJ101</f>
        <v>0</v>
      </c>
      <c r="K91" s="826">
        <f>'Recycling - Case 1'!BK101</f>
        <v>0.44177238239020766</v>
      </c>
      <c r="L91" s="827">
        <f t="shared" si="100"/>
        <v>0.99999999999999989</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0.11393310625790889</v>
      </c>
      <c r="Q91" s="832">
        <f t="shared" si="62"/>
        <v>395.72659606810839</v>
      </c>
      <c r="R91" s="832">
        <f t="shared" si="63"/>
        <v>395.72659606810839</v>
      </c>
      <c r="S91" s="835">
        <f t="shared" si="64"/>
        <v>0</v>
      </c>
      <c r="T91" s="832">
        <f t="shared" si="65"/>
        <v>13157.905086714487</v>
      </c>
      <c r="U91" s="832">
        <f t="shared" si="66"/>
        <v>654.33088336195146</v>
      </c>
      <c r="V91" s="839">
        <f t="shared" si="67"/>
        <v>436.22058890796762</v>
      </c>
      <c r="W91" s="1447"/>
      <c r="X91" s="1025">
        <f>'Recycling - Case 1'!AM141</f>
        <v>546.80023708827991</v>
      </c>
      <c r="Y91" s="1026">
        <f>Parameters!S192</f>
        <v>0.71500000000000008</v>
      </c>
      <c r="Z91" s="1027">
        <f t="shared" si="68"/>
        <v>0.4</v>
      </c>
      <c r="AA91" s="1028">
        <f t="shared" si="69"/>
        <v>78.19243390362405</v>
      </c>
      <c r="AB91" s="1028">
        <f t="shared" si="70"/>
        <v>78.19243390362405</v>
      </c>
      <c r="AC91" s="1029">
        <f t="shared" si="71"/>
        <v>0</v>
      </c>
      <c r="AD91" s="1028">
        <f t="shared" si="72"/>
        <v>9379.1995317945639</v>
      </c>
      <c r="AE91" s="1028">
        <f t="shared" si="73"/>
        <v>476.87283131004995</v>
      </c>
      <c r="AF91" s="1030">
        <f t="shared" si="74"/>
        <v>317.91522087336665</v>
      </c>
      <c r="AG91" s="104"/>
      <c r="AH91" s="1025">
        <f>'Recycling - Case 1'!AM181</f>
        <v>546.80023708827991</v>
      </c>
      <c r="AI91" s="1026">
        <f>Parameters!S192</f>
        <v>0.71500000000000008</v>
      </c>
      <c r="AJ91" s="1027">
        <f t="shared" si="75"/>
        <v>0.4</v>
      </c>
      <c r="AK91" s="1028">
        <f t="shared" si="76"/>
        <v>78.19243390362405</v>
      </c>
      <c r="AL91" s="1028">
        <f t="shared" si="77"/>
        <v>78.19243390362405</v>
      </c>
      <c r="AM91" s="1029">
        <f t="shared" si="78"/>
        <v>0</v>
      </c>
      <c r="AN91" s="1028">
        <f t="shared" si="79"/>
        <v>9379.1995317945639</v>
      </c>
      <c r="AO91" s="1028">
        <f t="shared" si="80"/>
        <v>476.87283131004995</v>
      </c>
      <c r="AP91" s="1030">
        <f t="shared" si="81"/>
        <v>317.91522087336665</v>
      </c>
      <c r="AQ91" s="104"/>
      <c r="AR91" s="1064">
        <f>'Recycling - Case 1'!G101</f>
        <v>550.6705256528777</v>
      </c>
      <c r="AS91" s="1065">
        <v>1</v>
      </c>
      <c r="AT91" s="1066">
        <f t="shared" si="82"/>
        <v>0.05</v>
      </c>
      <c r="AU91" s="1044">
        <f t="shared" si="83"/>
        <v>13.766763141321944</v>
      </c>
      <c r="AV91" s="1044">
        <f t="shared" si="84"/>
        <v>13.766763141321944</v>
      </c>
      <c r="AW91" s="1045">
        <f t="shared" si="85"/>
        <v>0</v>
      </c>
      <c r="AX91" s="1044">
        <f t="shared" si="51"/>
        <v>160.53412072243589</v>
      </c>
      <c r="AY91" s="1044">
        <f t="shared" si="54"/>
        <v>9.0755865384039911</v>
      </c>
      <c r="AZ91" s="1067">
        <f t="shared" si="52"/>
        <v>6.0503910256026607</v>
      </c>
      <c r="BB91" s="1055">
        <f t="shared" si="86"/>
        <v>436.22058890796762</v>
      </c>
      <c r="BC91" s="1056">
        <f t="shared" si="87"/>
        <v>317.91522087336665</v>
      </c>
      <c r="BD91" s="1082">
        <f t="shared" si="101"/>
        <v>6.0503910256026607</v>
      </c>
      <c r="BE91" s="1056">
        <f t="shared" si="60"/>
        <v>760.18620080693688</v>
      </c>
      <c r="BF91" s="167">
        <v>0</v>
      </c>
      <c r="BG91" s="1075">
        <f t="shared" si="88"/>
        <v>760.18620080693688</v>
      </c>
      <c r="BI91" s="1055">
        <f t="shared" si="89"/>
        <v>436.22058890796762</v>
      </c>
      <c r="BJ91" s="1056">
        <f t="shared" si="90"/>
        <v>317.91522087336665</v>
      </c>
      <c r="BK91" s="1082">
        <f t="shared" si="91"/>
        <v>6.0503910256026607</v>
      </c>
      <c r="BL91" s="1056">
        <f t="shared" si="61"/>
        <v>760.18620080693688</v>
      </c>
      <c r="BM91" s="167">
        <v>0</v>
      </c>
      <c r="BN91" s="1075">
        <f t="shared" si="92"/>
        <v>760.18620080693688</v>
      </c>
    </row>
    <row r="92" spans="1:66">
      <c r="A92" s="927">
        <f>'Input data'!A122</f>
        <v>2022</v>
      </c>
      <c r="B92" s="824">
        <f>'Input data'!B122</f>
        <v>61.14166465104848</v>
      </c>
      <c r="C92" s="824">
        <f>'Recycling - Case 1'!AK102/B92</f>
        <v>378.13729509089569</v>
      </c>
      <c r="D92" s="826">
        <f>'Recycling - Case 1'!AM102</f>
        <v>0.36921113531836125</v>
      </c>
      <c r="E92" s="826">
        <f>'Recycling - Case 1'!BE102</f>
        <v>0.21110460452394236</v>
      </c>
      <c r="F92" s="826">
        <f>'Recycling - Case 1'!BF102</f>
        <v>0.26773775006129935</v>
      </c>
      <c r="G92" s="826">
        <f>'Recycling - Case 1'!BG102</f>
        <v>6.7489803262118661E-2</v>
      </c>
      <c r="H92" s="826">
        <f>'Recycling - Case 1'!BH102</f>
        <v>0</v>
      </c>
      <c r="I92" s="826">
        <f>'Recycling - Case 1'!BI102</f>
        <v>0</v>
      </c>
      <c r="J92" s="826">
        <f>'Recycling - Case 1'!BJ102</f>
        <v>0</v>
      </c>
      <c r="K92" s="826">
        <f>'Recycling - Case 1'!BK102</f>
        <v>0.45366784215263961</v>
      </c>
      <c r="L92" s="827">
        <f t="shared" si="100"/>
        <v>1</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0.11220916199569869</v>
      </c>
      <c r="Q92" s="832">
        <f t="shared" si="62"/>
        <v>374.47593750544587</v>
      </c>
      <c r="R92" s="832">
        <f t="shared" si="63"/>
        <v>374.47593750544587</v>
      </c>
      <c r="S92" s="835">
        <f t="shared" si="64"/>
        <v>0</v>
      </c>
      <c r="T92" s="832">
        <f t="shared" si="65"/>
        <v>12890.662420775885</v>
      </c>
      <c r="U92" s="832">
        <f t="shared" si="66"/>
        <v>641.71860344404797</v>
      </c>
      <c r="V92" s="839">
        <f t="shared" si="67"/>
        <v>427.81240229603196</v>
      </c>
      <c r="W92" s="1447"/>
      <c r="X92" s="1025">
        <f>'Recycling - Case 1'!AM142</f>
        <v>404.24372129411944</v>
      </c>
      <c r="Y92" s="1026">
        <f>Parameters!S193</f>
        <v>0.71500000000000008</v>
      </c>
      <c r="Z92" s="1027">
        <f t="shared" si="68"/>
        <v>0.4</v>
      </c>
      <c r="AA92" s="1028">
        <f t="shared" si="69"/>
        <v>57.806852145059096</v>
      </c>
      <c r="AB92" s="1028">
        <f t="shared" si="70"/>
        <v>57.806852145059096</v>
      </c>
      <c r="AC92" s="1029">
        <f t="shared" si="71"/>
        <v>0</v>
      </c>
      <c r="AD92" s="1028">
        <f t="shared" si="72"/>
        <v>8979.5774250513678</v>
      </c>
      <c r="AE92" s="1028">
        <f t="shared" si="73"/>
        <v>457.42895888825456</v>
      </c>
      <c r="AF92" s="1030">
        <f t="shared" si="74"/>
        <v>304.95263925883637</v>
      </c>
      <c r="AG92" s="104"/>
      <c r="AH92" s="1025">
        <f>'Recycling - Case 1'!AM182</f>
        <v>404.24372129411944</v>
      </c>
      <c r="AI92" s="1026">
        <f>Parameters!S193</f>
        <v>0.71500000000000008</v>
      </c>
      <c r="AJ92" s="1027">
        <f t="shared" si="75"/>
        <v>0.4</v>
      </c>
      <c r="AK92" s="1028">
        <f t="shared" si="76"/>
        <v>57.806852145059096</v>
      </c>
      <c r="AL92" s="1028">
        <f t="shared" si="77"/>
        <v>57.806852145059096</v>
      </c>
      <c r="AM92" s="1029">
        <f t="shared" si="78"/>
        <v>0</v>
      </c>
      <c r="AN92" s="1028">
        <f t="shared" si="79"/>
        <v>8979.5774250513678</v>
      </c>
      <c r="AO92" s="1028">
        <f t="shared" si="80"/>
        <v>457.42895888825456</v>
      </c>
      <c r="AP92" s="1030">
        <f t="shared" si="81"/>
        <v>304.95263925883637</v>
      </c>
      <c r="AQ92" s="104"/>
      <c r="AR92" s="1064">
        <f>'Recycling - Case 1'!G102</f>
        <v>563.96523942008184</v>
      </c>
      <c r="AS92" s="1065">
        <v>1</v>
      </c>
      <c r="AT92" s="1066">
        <f t="shared" si="82"/>
        <v>0.05</v>
      </c>
      <c r="AU92" s="1044">
        <f t="shared" si="83"/>
        <v>14.099130985502047</v>
      </c>
      <c r="AV92" s="1044">
        <f t="shared" si="84"/>
        <v>14.099130985502047</v>
      </c>
      <c r="AW92" s="1045">
        <f t="shared" si="85"/>
        <v>0</v>
      </c>
      <c r="AX92" s="1044">
        <f t="shared" si="51"/>
        <v>165.28447231202438</v>
      </c>
      <c r="AY92" s="1044">
        <f t="shared" si="54"/>
        <v>9.3487793959135761</v>
      </c>
      <c r="AZ92" s="1067">
        <f t="shared" si="52"/>
        <v>6.2325195972757177</v>
      </c>
      <c r="BB92" s="1055">
        <f t="shared" si="86"/>
        <v>427.81240229603196</v>
      </c>
      <c r="BC92" s="1056">
        <f t="shared" si="87"/>
        <v>304.95263925883637</v>
      </c>
      <c r="BD92" s="1082">
        <f t="shared" si="101"/>
        <v>6.2325195972757177</v>
      </c>
      <c r="BE92" s="1056">
        <f t="shared" si="60"/>
        <v>738.99756115214404</v>
      </c>
      <c r="BF92" s="167">
        <v>0</v>
      </c>
      <c r="BG92" s="1075">
        <f t="shared" si="88"/>
        <v>738.99756115214404</v>
      </c>
      <c r="BI92" s="1055">
        <f t="shared" si="89"/>
        <v>427.81240229603196</v>
      </c>
      <c r="BJ92" s="1056">
        <f t="shared" si="90"/>
        <v>304.95263925883637</v>
      </c>
      <c r="BK92" s="1082">
        <f t="shared" si="91"/>
        <v>6.2325195972757177</v>
      </c>
      <c r="BL92" s="1056">
        <f t="shared" si="61"/>
        <v>738.99756115214404</v>
      </c>
      <c r="BM92" s="167">
        <v>0</v>
      </c>
      <c r="BN92" s="1075">
        <f t="shared" si="92"/>
        <v>738.99756115214404</v>
      </c>
    </row>
    <row r="93" spans="1:66">
      <c r="A93" s="927">
        <f>'Input data'!A123</f>
        <v>2023</v>
      </c>
      <c r="B93" s="824">
        <f>'Input data'!B123</f>
        <v>62.126086164056694</v>
      </c>
      <c r="C93" s="824">
        <f>'Recycling - Case 1'!AK103/B93</f>
        <v>370.64553289711228</v>
      </c>
      <c r="D93" s="826">
        <f>'Recycling - Case 1'!AM103</f>
        <v>0.35145736146209183</v>
      </c>
      <c r="E93" s="826">
        <f>'Recycling - Case 1'!BE103</f>
        <v>0.20495950166578286</v>
      </c>
      <c r="F93" s="826">
        <f>'Recycling - Case 1'!BF103</f>
        <v>0.2599440971618322</v>
      </c>
      <c r="G93" s="826">
        <f>'Recycling - Case 1'!BG103</f>
        <v>6.9294869142045051E-2</v>
      </c>
      <c r="H93" s="826">
        <f>'Recycling - Case 1'!BH103</f>
        <v>0</v>
      </c>
      <c r="I93" s="826">
        <f>'Recycling - Case 1'!BI103</f>
        <v>0</v>
      </c>
      <c r="J93" s="826">
        <f>'Recycling - Case 1'!BJ103</f>
        <v>0</v>
      </c>
      <c r="K93" s="826">
        <f>'Recycling - Case 1'!BK103</f>
        <v>0.46580153203034003</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0.11045069233905189</v>
      </c>
      <c r="Q93" s="832">
        <f t="shared" si="62"/>
        <v>354.10962260117003</v>
      </c>
      <c r="R93" s="832">
        <f t="shared" si="63"/>
        <v>354.10962260117003</v>
      </c>
      <c r="S93" s="835">
        <f t="shared" si="64"/>
        <v>0</v>
      </c>
      <c r="T93" s="832">
        <f t="shared" si="65"/>
        <v>12616.087018548797</v>
      </c>
      <c r="U93" s="832">
        <f t="shared" si="66"/>
        <v>628.68502482825897</v>
      </c>
      <c r="V93" s="839">
        <f t="shared" si="67"/>
        <v>419.123349885506</v>
      </c>
      <c r="W93" s="1447"/>
      <c r="X93" s="1025">
        <f>'Recycling - Case 1'!AM143</f>
        <v>344.10321202750248</v>
      </c>
      <c r="Y93" s="1026">
        <f>Parameters!S194</f>
        <v>0.71500000000000008</v>
      </c>
      <c r="Z93" s="1027">
        <f t="shared" si="68"/>
        <v>0.4</v>
      </c>
      <c r="AA93" s="1028">
        <f t="shared" si="69"/>
        <v>49.206759319932857</v>
      </c>
      <c r="AB93" s="1028">
        <f t="shared" si="70"/>
        <v>49.206759319932857</v>
      </c>
      <c r="AC93" s="1029">
        <f t="shared" si="71"/>
        <v>0</v>
      </c>
      <c r="AD93" s="1028">
        <f t="shared" si="72"/>
        <v>8590.84502561115</v>
      </c>
      <c r="AE93" s="1028">
        <f t="shared" si="73"/>
        <v>437.93915876015177</v>
      </c>
      <c r="AF93" s="1030">
        <f t="shared" si="74"/>
        <v>291.95943917343453</v>
      </c>
      <c r="AG93" s="104"/>
      <c r="AH93" s="1025">
        <f>'Recycling - Case 1'!AM183</f>
        <v>344.10321202750248</v>
      </c>
      <c r="AI93" s="1026">
        <f>Parameters!S194</f>
        <v>0.71500000000000008</v>
      </c>
      <c r="AJ93" s="1027">
        <f t="shared" si="75"/>
        <v>0.4</v>
      </c>
      <c r="AK93" s="1028">
        <f t="shared" si="76"/>
        <v>49.206759319932857</v>
      </c>
      <c r="AL93" s="1028">
        <f t="shared" si="77"/>
        <v>49.206759319932857</v>
      </c>
      <c r="AM93" s="1029">
        <f t="shared" si="78"/>
        <v>0</v>
      </c>
      <c r="AN93" s="1028">
        <f t="shared" si="79"/>
        <v>8590.84502561115</v>
      </c>
      <c r="AO93" s="1028">
        <f t="shared" si="80"/>
        <v>437.93915876015177</v>
      </c>
      <c r="AP93" s="1030">
        <f t="shared" si="81"/>
        <v>291.95943917343453</v>
      </c>
      <c r="AQ93" s="104"/>
      <c r="AR93" s="1064">
        <f>'Recycling - Case 1'!G103</f>
        <v>577.51973945156942</v>
      </c>
      <c r="AS93" s="1065">
        <v>1</v>
      </c>
      <c r="AT93" s="1066">
        <f t="shared" si="82"/>
        <v>0.05</v>
      </c>
      <c r="AU93" s="1044">
        <f t="shared" si="83"/>
        <v>14.437993486289237</v>
      </c>
      <c r="AV93" s="1044">
        <f t="shared" si="84"/>
        <v>14.437993486289237</v>
      </c>
      <c r="AW93" s="1045">
        <f t="shared" si="85"/>
        <v>0</v>
      </c>
      <c r="AX93" s="1044">
        <f t="shared" si="51"/>
        <v>170.09704746194154</v>
      </c>
      <c r="AY93" s="1044">
        <f t="shared" si="54"/>
        <v>9.6254183363720678</v>
      </c>
      <c r="AZ93" s="1067">
        <f t="shared" si="52"/>
        <v>6.4169455575813785</v>
      </c>
      <c r="BB93" s="1055">
        <f t="shared" si="86"/>
        <v>419.123349885506</v>
      </c>
      <c r="BC93" s="1056">
        <f t="shared" si="87"/>
        <v>291.95943917343453</v>
      </c>
      <c r="BD93" s="1082">
        <f t="shared" si="101"/>
        <v>6.4169455575813785</v>
      </c>
      <c r="BE93" s="1056">
        <f t="shared" si="60"/>
        <v>717.49973461652189</v>
      </c>
      <c r="BF93" s="167">
        <v>0</v>
      </c>
      <c r="BG93" s="1075">
        <f t="shared" si="88"/>
        <v>717.49973461652189</v>
      </c>
      <c r="BI93" s="1055">
        <f t="shared" si="89"/>
        <v>419.123349885506</v>
      </c>
      <c r="BJ93" s="1056">
        <f t="shared" si="90"/>
        <v>291.95943917343453</v>
      </c>
      <c r="BK93" s="1082">
        <f t="shared" si="91"/>
        <v>6.4169455575813785</v>
      </c>
      <c r="BL93" s="1056">
        <f t="shared" si="61"/>
        <v>717.49973461652189</v>
      </c>
      <c r="BM93" s="167">
        <v>0</v>
      </c>
      <c r="BN93" s="1075">
        <f t="shared" si="92"/>
        <v>717.49973461652189</v>
      </c>
    </row>
    <row r="94" spans="1:66">
      <c r="A94" s="927">
        <f>'Input data'!A124</f>
        <v>2024</v>
      </c>
      <c r="B94" s="824">
        <f>'Input data'!B124</f>
        <v>63.126357518916684</v>
      </c>
      <c r="C94" s="824">
        <f>'Recycling - Case 1'!AK104/B94</f>
        <v>363.71114297590486</v>
      </c>
      <c r="D94" s="826">
        <f>'Recycling - Case 1'!AM104</f>
        <v>0.33418112628923463</v>
      </c>
      <c r="E94" s="826">
        <f>'Recycling - Case 1'!BE104</f>
        <v>0.19869678976355634</v>
      </c>
      <c r="F94" s="826">
        <f>'Recycling - Case 1'!BF104</f>
        <v>0.25200128417693557</v>
      </c>
      <c r="G94" s="826">
        <f>'Recycling - Case 1'!BG104</f>
        <v>7.1134481567003485E-2</v>
      </c>
      <c r="H94" s="826">
        <f>'Recycling - Case 1'!BH104</f>
        <v>0</v>
      </c>
      <c r="I94" s="826">
        <f>'Recycling - Case 1'!BI104</f>
        <v>0</v>
      </c>
      <c r="J94" s="826">
        <f>'Recycling - Case 1'!BJ104</f>
        <v>0</v>
      </c>
      <c r="K94" s="826">
        <f>'Recycling - Case 1'!BK104</f>
        <v>0.47816744449250476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0.10865856792672196</v>
      </c>
      <c r="Q94" s="832">
        <f t="shared" si="62"/>
        <v>334.6049319927825</v>
      </c>
      <c r="R94" s="832">
        <f t="shared" si="63"/>
        <v>334.6049319927825</v>
      </c>
      <c r="S94" s="835">
        <f t="shared" si="64"/>
        <v>0</v>
      </c>
      <c r="T94" s="832">
        <f t="shared" si="65"/>
        <v>12335.398126097884</v>
      </c>
      <c r="U94" s="832">
        <f t="shared" si="66"/>
        <v>615.29382444369594</v>
      </c>
      <c r="V94" s="839">
        <f t="shared" si="67"/>
        <v>410.19588296246394</v>
      </c>
      <c r="W94" s="1447"/>
      <c r="X94" s="1025">
        <f>'Recycling - Case 1'!AM144</f>
        <v>307.51120513334683</v>
      </c>
      <c r="Y94" s="1026">
        <f>Parameters!S195</f>
        <v>0.71500000000000008</v>
      </c>
      <c r="Z94" s="1027">
        <f t="shared" si="68"/>
        <v>0.4</v>
      </c>
      <c r="AA94" s="1028">
        <f t="shared" si="69"/>
        <v>43.974102334068604</v>
      </c>
      <c r="AB94" s="1028">
        <f t="shared" si="70"/>
        <v>43.974102334068604</v>
      </c>
      <c r="AC94" s="1029">
        <f t="shared" si="71"/>
        <v>0</v>
      </c>
      <c r="AD94" s="1028">
        <f t="shared" si="72"/>
        <v>8215.8386720209855</v>
      </c>
      <c r="AE94" s="1028">
        <f t="shared" si="73"/>
        <v>418.98045592423404</v>
      </c>
      <c r="AF94" s="1030">
        <f t="shared" si="74"/>
        <v>279.32030394948936</v>
      </c>
      <c r="AG94" s="104"/>
      <c r="AH94" s="1025">
        <f>'Recycling - Case 1'!AM184</f>
        <v>307.51120513334683</v>
      </c>
      <c r="AI94" s="1026">
        <f>Parameters!S195</f>
        <v>0.71500000000000008</v>
      </c>
      <c r="AJ94" s="1027">
        <f t="shared" si="75"/>
        <v>0.4</v>
      </c>
      <c r="AK94" s="1028">
        <f t="shared" si="76"/>
        <v>43.974102334068604</v>
      </c>
      <c r="AL94" s="1028">
        <f t="shared" si="77"/>
        <v>43.974102334068604</v>
      </c>
      <c r="AM94" s="1029">
        <f t="shared" si="78"/>
        <v>0</v>
      </c>
      <c r="AN94" s="1028">
        <f t="shared" si="79"/>
        <v>8215.8386720209855</v>
      </c>
      <c r="AO94" s="1028">
        <f t="shared" si="80"/>
        <v>418.98045592423404</v>
      </c>
      <c r="AP94" s="1030">
        <f t="shared" si="81"/>
        <v>279.32030394948936</v>
      </c>
      <c r="AQ94" s="104"/>
      <c r="AR94" s="1064">
        <f>'Recycling - Case 1'!G104</f>
        <v>591.36451491315404</v>
      </c>
      <c r="AS94" s="1065">
        <v>1</v>
      </c>
      <c r="AT94" s="1066">
        <f t="shared" si="82"/>
        <v>0.05</v>
      </c>
      <c r="AU94" s="1044">
        <f t="shared" si="83"/>
        <v>14.784112872828851</v>
      </c>
      <c r="AV94" s="1044">
        <f t="shared" si="84"/>
        <v>14.784112872828851</v>
      </c>
      <c r="AW94" s="1045">
        <f t="shared" si="85"/>
        <v>0</v>
      </c>
      <c r="AX94" s="1044">
        <f t="shared" si="51"/>
        <v>174.97547943988204</v>
      </c>
      <c r="AY94" s="1044">
        <f t="shared" si="54"/>
        <v>9.9056808948883486</v>
      </c>
      <c r="AZ94" s="1067">
        <f t="shared" si="52"/>
        <v>6.6037872632588988</v>
      </c>
      <c r="BB94" s="1055">
        <f t="shared" si="86"/>
        <v>410.19588296246394</v>
      </c>
      <c r="BC94" s="1056">
        <f t="shared" si="87"/>
        <v>279.32030394948936</v>
      </c>
      <c r="BD94" s="1082">
        <f t="shared" si="101"/>
        <v>6.6037872632588988</v>
      </c>
      <c r="BE94" s="1056">
        <f t="shared" si="60"/>
        <v>696.11997417521229</v>
      </c>
      <c r="BF94" s="167">
        <v>0</v>
      </c>
      <c r="BG94" s="1075">
        <f t="shared" si="88"/>
        <v>696.11997417521229</v>
      </c>
      <c r="BI94" s="1055">
        <f t="shared" si="89"/>
        <v>410.19588296246394</v>
      </c>
      <c r="BJ94" s="1056">
        <f t="shared" si="90"/>
        <v>279.32030394948936</v>
      </c>
      <c r="BK94" s="1082">
        <f t="shared" si="91"/>
        <v>6.6037872632588988</v>
      </c>
      <c r="BL94" s="1056">
        <f t="shared" si="61"/>
        <v>696.11997417521229</v>
      </c>
      <c r="BM94" s="167">
        <v>0</v>
      </c>
      <c r="BN94" s="1075">
        <f t="shared" si="92"/>
        <v>696.11997417521229</v>
      </c>
    </row>
    <row r="95" spans="1:66">
      <c r="A95" s="927">
        <f>'Input data'!A125</f>
        <v>2025</v>
      </c>
      <c r="B95" s="824">
        <f>'Input data'!B125</f>
        <v>64.142733908636146</v>
      </c>
      <c r="C95" s="824">
        <f>'Recycling - Case 1'!AK105/B95</f>
        <v>357.29299948329498</v>
      </c>
      <c r="D95" s="826">
        <f>'Recycling - Case 1'!AM105</f>
        <v>0.31741038257637033</v>
      </c>
      <c r="E95" s="826">
        <f>'Recycling - Case 1'!BE105</f>
        <v>0.19231878456903603</v>
      </c>
      <c r="F95" s="826">
        <f>'Recycling - Case 1'!BF105</f>
        <v>0.24391224810635342</v>
      </c>
      <c r="G95" s="826">
        <f>'Recycling - Case 1'!BG105</f>
        <v>7.3007960306799527E-2</v>
      </c>
      <c r="H95" s="826">
        <f>'Recycling - Case 1'!BH105</f>
        <v>0</v>
      </c>
      <c r="I95" s="826">
        <f>'Recycling - Case 1'!BI105</f>
        <v>0</v>
      </c>
      <c r="J95" s="826">
        <f>'Recycling - Case 1'!BJ105</f>
        <v>0</v>
      </c>
      <c r="K95" s="826">
        <f>'Recycling - Case 1'!BK105</f>
        <v>0.49076100701781095</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0.1068334514293459</v>
      </c>
      <c r="Q95" s="832">
        <f t="shared" si="62"/>
        <v>315.93809906068861</v>
      </c>
      <c r="R95" s="832">
        <f t="shared" si="63"/>
        <v>315.93809906068861</v>
      </c>
      <c r="S95" s="835">
        <f t="shared" si="64"/>
        <v>0</v>
      </c>
      <c r="T95" s="832">
        <f t="shared" si="65"/>
        <v>12049.731759535964</v>
      </c>
      <c r="U95" s="832">
        <f t="shared" si="66"/>
        <v>601.60446562260768</v>
      </c>
      <c r="V95" s="839">
        <f t="shared" si="67"/>
        <v>401.0696437484051</v>
      </c>
      <c r="W95" s="1447"/>
      <c r="X95" s="1025">
        <f>'Recycling - Case 1'!AM145</f>
        <v>426.39259528182691</v>
      </c>
      <c r="Y95" s="1026">
        <f>Parameters!S196</f>
        <v>0.71500000000000008</v>
      </c>
      <c r="Z95" s="1027">
        <f t="shared" si="68"/>
        <v>0.4</v>
      </c>
      <c r="AA95" s="1028">
        <f t="shared" si="69"/>
        <v>60.974141125301259</v>
      </c>
      <c r="AB95" s="1028">
        <f t="shared" si="70"/>
        <v>60.974141125301259</v>
      </c>
      <c r="AC95" s="1029">
        <f t="shared" si="71"/>
        <v>0</v>
      </c>
      <c r="AD95" s="1028">
        <f t="shared" si="72"/>
        <v>7876.1216329025347</v>
      </c>
      <c r="AE95" s="1028">
        <f t="shared" si="73"/>
        <v>400.69118024375297</v>
      </c>
      <c r="AF95" s="1030">
        <f t="shared" si="74"/>
        <v>267.12745349583531</v>
      </c>
      <c r="AG95" s="104"/>
      <c r="AH95" s="1025">
        <f>'Recycling - Case 1'!AM185</f>
        <v>426.39259528182691</v>
      </c>
      <c r="AI95" s="1026">
        <f>Parameters!S196</f>
        <v>0.71500000000000008</v>
      </c>
      <c r="AJ95" s="1027">
        <f t="shared" si="75"/>
        <v>0.4</v>
      </c>
      <c r="AK95" s="1028">
        <f t="shared" si="76"/>
        <v>60.974141125301259</v>
      </c>
      <c r="AL95" s="1028">
        <f t="shared" si="77"/>
        <v>60.974141125301259</v>
      </c>
      <c r="AM95" s="1029">
        <f t="shared" si="78"/>
        <v>0</v>
      </c>
      <c r="AN95" s="1028">
        <f t="shared" si="79"/>
        <v>7876.1216329025347</v>
      </c>
      <c r="AO95" s="1028">
        <f t="shared" si="80"/>
        <v>400.69118024375297</v>
      </c>
      <c r="AP95" s="1030">
        <f t="shared" si="81"/>
        <v>267.12745349583531</v>
      </c>
      <c r="AQ95" s="104"/>
      <c r="AR95" s="1064">
        <f>'Recycling - Case 1'!G105</f>
        <v>605.50539930767434</v>
      </c>
      <c r="AS95" s="1065">
        <v>1</v>
      </c>
      <c r="AT95" s="1066">
        <f t="shared" si="82"/>
        <v>0.05</v>
      </c>
      <c r="AU95" s="1044">
        <f t="shared" si="83"/>
        <v>15.137634982691859</v>
      </c>
      <c r="AV95" s="1044">
        <f t="shared" si="84"/>
        <v>15.137634982691859</v>
      </c>
      <c r="AW95" s="1045">
        <f t="shared" si="85"/>
        <v>0</v>
      </c>
      <c r="AX95" s="1044">
        <f t="shared" si="51"/>
        <v>179.92333576607265</v>
      </c>
      <c r="AY95" s="1044">
        <f t="shared" si="54"/>
        <v>10.189778656501229</v>
      </c>
      <c r="AZ95" s="1067">
        <f t="shared" si="52"/>
        <v>6.793185771000819</v>
      </c>
      <c r="BB95" s="1055">
        <f t="shared" si="86"/>
        <v>401.0696437484051</v>
      </c>
      <c r="BC95" s="1056">
        <f t="shared" si="87"/>
        <v>267.12745349583531</v>
      </c>
      <c r="BD95" s="1082">
        <f t="shared" si="101"/>
        <v>6.793185771000819</v>
      </c>
      <c r="BE95" s="1056">
        <f t="shared" si="60"/>
        <v>674.99028301524129</v>
      </c>
      <c r="BF95" s="167">
        <v>0</v>
      </c>
      <c r="BG95" s="1075">
        <f t="shared" si="88"/>
        <v>674.99028301524129</v>
      </c>
      <c r="BI95" s="1055">
        <f t="shared" si="89"/>
        <v>401.0696437484051</v>
      </c>
      <c r="BJ95" s="1056">
        <f t="shared" si="90"/>
        <v>267.12745349583531</v>
      </c>
      <c r="BK95" s="1082">
        <f t="shared" si="91"/>
        <v>6.793185771000819</v>
      </c>
      <c r="BL95" s="1056">
        <f t="shared" si="61"/>
        <v>674.99028301524129</v>
      </c>
      <c r="BM95" s="167">
        <v>0</v>
      </c>
      <c r="BN95" s="1075">
        <f t="shared" si="92"/>
        <v>674.99028301524129</v>
      </c>
    </row>
    <row r="96" spans="1:66">
      <c r="A96" s="927">
        <f>'Input data'!A126</f>
        <v>2026</v>
      </c>
      <c r="B96" s="824">
        <f>'Input data'!B126</f>
        <v>65.115730264701668</v>
      </c>
      <c r="C96" s="824">
        <f>'Recycling - Case 1'!AK106/B96</f>
        <v>351.57719666593471</v>
      </c>
      <c r="D96" s="826">
        <f>'Recycling - Case 1'!AM106</f>
        <v>0.30125227428914542</v>
      </c>
      <c r="E96" s="826">
        <f>'Recycling - Case 1'!BE106</f>
        <v>0.18576510199848614</v>
      </c>
      <c r="F96" s="826">
        <f>'Recycling - Case 1'!BF106</f>
        <v>0.23560040559580328</v>
      </c>
      <c r="G96" s="826">
        <f>'Recycling - Case 1'!BG106</f>
        <v>7.4933042615268966E-2</v>
      </c>
      <c r="H96" s="826">
        <f>'Recycling - Case 1'!BH106</f>
        <v>0</v>
      </c>
      <c r="I96" s="826">
        <f>'Recycling - Case 1'!BI106</f>
        <v>0</v>
      </c>
      <c r="J96" s="826">
        <f>'Recycling - Case 1'!BJ106</f>
        <v>0</v>
      </c>
      <c r="K96" s="826">
        <f>'Recycling - Case 1'!BK106</f>
        <v>0.50370144979044174</v>
      </c>
      <c r="L96" s="827">
        <f t="shared" si="100"/>
        <v>1</v>
      </c>
      <c r="M96" s="104"/>
      <c r="N96" s="838">
        <f t="shared" si="57"/>
        <v>6896.6303447470345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0.10495806346504116</v>
      </c>
      <c r="Q96" s="832">
        <f t="shared" si="62"/>
        <v>298.03418518496909</v>
      </c>
      <c r="R96" s="832">
        <f t="shared" si="63"/>
        <v>298.03418518496909</v>
      </c>
      <c r="S96" s="835">
        <f t="shared" si="64"/>
        <v>0</v>
      </c>
      <c r="T96" s="832">
        <f t="shared" si="65"/>
        <v>11760.093592196341</v>
      </c>
      <c r="U96" s="832">
        <f t="shared" si="66"/>
        <v>587.67235252459284</v>
      </c>
      <c r="V96" s="839">
        <f t="shared" si="67"/>
        <v>391.78156834972856</v>
      </c>
      <c r="W96" s="1447"/>
      <c r="X96" s="1025">
        <f>'Recycling - Case 1'!AM146</f>
        <v>498.11501600732464</v>
      </c>
      <c r="Y96" s="1026">
        <f>Parameters!S197</f>
        <v>0.71500000000000008</v>
      </c>
      <c r="Z96" s="1027">
        <f t="shared" si="68"/>
        <v>0.4</v>
      </c>
      <c r="AA96" s="1028">
        <f t="shared" si="69"/>
        <v>71.230447289047433</v>
      </c>
      <c r="AB96" s="1028">
        <f t="shared" si="70"/>
        <v>71.230447289047433</v>
      </c>
      <c r="AC96" s="1029">
        <f t="shared" si="71"/>
        <v>0</v>
      </c>
      <c r="AD96" s="1028">
        <f t="shared" si="72"/>
        <v>7563.2290954525497</v>
      </c>
      <c r="AE96" s="1028">
        <f t="shared" si="73"/>
        <v>384.12298473903269</v>
      </c>
      <c r="AF96" s="1030">
        <f t="shared" si="74"/>
        <v>256.08198982602181</v>
      </c>
      <c r="AG96" s="104"/>
      <c r="AH96" s="1025">
        <f>'Recycling - Case 1'!AM186</f>
        <v>498.11501600732464</v>
      </c>
      <c r="AI96" s="1026">
        <f>Parameters!S197</f>
        <v>0.71500000000000008</v>
      </c>
      <c r="AJ96" s="1027">
        <f t="shared" si="75"/>
        <v>0.4</v>
      </c>
      <c r="AK96" s="1028">
        <f t="shared" si="76"/>
        <v>71.230447289047433</v>
      </c>
      <c r="AL96" s="1028">
        <f t="shared" si="77"/>
        <v>71.230447289047433</v>
      </c>
      <c r="AM96" s="1029">
        <f t="shared" si="78"/>
        <v>0</v>
      </c>
      <c r="AN96" s="1028">
        <f t="shared" si="79"/>
        <v>7563.2290954525497</v>
      </c>
      <c r="AO96" s="1028">
        <f t="shared" si="80"/>
        <v>384.12298473903269</v>
      </c>
      <c r="AP96" s="1030">
        <f t="shared" si="81"/>
        <v>256.08198982602181</v>
      </c>
      <c r="AQ96" s="104"/>
      <c r="AR96" s="1064">
        <f>'Recycling - Case 1'!G106</f>
        <v>619.38005099706015</v>
      </c>
      <c r="AS96" s="1065">
        <v>1</v>
      </c>
      <c r="AT96" s="1066">
        <f t="shared" si="82"/>
        <v>0.05</v>
      </c>
      <c r="AU96" s="1044">
        <f t="shared" si="83"/>
        <v>15.484501274926505</v>
      </c>
      <c r="AV96" s="1044">
        <f t="shared" si="84"/>
        <v>15.484501274926505</v>
      </c>
      <c r="AW96" s="1045">
        <f t="shared" si="85"/>
        <v>0</v>
      </c>
      <c r="AX96" s="1044">
        <f t="shared" si="51"/>
        <v>184.92991766358409</v>
      </c>
      <c r="AY96" s="1044">
        <f t="shared" si="54"/>
        <v>10.477919377415065</v>
      </c>
      <c r="AZ96" s="1067">
        <f t="shared" si="52"/>
        <v>6.9852795849433766</v>
      </c>
      <c r="BB96" s="1055">
        <f t="shared" si="86"/>
        <v>391.78156834972856</v>
      </c>
      <c r="BC96" s="1056">
        <f t="shared" si="87"/>
        <v>256.08198982602181</v>
      </c>
      <c r="BD96" s="1082">
        <f t="shared" si="101"/>
        <v>6.9852795849433766</v>
      </c>
      <c r="BE96" s="1056">
        <f t="shared" si="60"/>
        <v>654.84883776069364</v>
      </c>
      <c r="BF96" s="167">
        <v>0</v>
      </c>
      <c r="BG96" s="1075">
        <f t="shared" si="88"/>
        <v>654.84883776069364</v>
      </c>
      <c r="BI96" s="1055">
        <f t="shared" si="89"/>
        <v>391.78156834972856</v>
      </c>
      <c r="BJ96" s="1056">
        <f t="shared" si="90"/>
        <v>256.08198982602181</v>
      </c>
      <c r="BK96" s="1082">
        <f t="shared" si="91"/>
        <v>6.9852795849433766</v>
      </c>
      <c r="BL96" s="1056">
        <f t="shared" si="61"/>
        <v>654.84883776069364</v>
      </c>
      <c r="BM96" s="167">
        <v>0</v>
      </c>
      <c r="BN96" s="1075">
        <f t="shared" si="92"/>
        <v>654.84883776069364</v>
      </c>
    </row>
    <row r="97" spans="1:66">
      <c r="A97" s="927">
        <f>'Input data'!A127</f>
        <v>2027</v>
      </c>
      <c r="B97" s="824">
        <f>'Input data'!B127</f>
        <v>66.042835586617315</v>
      </c>
      <c r="C97" s="824">
        <f>'Recycling - Case 1'!AK107/B97</f>
        <v>346.51578821523981</v>
      </c>
      <c r="D97" s="826">
        <f>'Recycling - Case 1'!AM107</f>
        <v>0.28571435203013829</v>
      </c>
      <c r="E97" s="826">
        <f>'Recycling - Case 1'!BE107</f>
        <v>0.17900999869453882</v>
      </c>
      <c r="F97" s="826">
        <f>'Recycling - Case 1'!BF107</f>
        <v>0.2270331071036219</v>
      </c>
      <c r="G97" s="826">
        <f>'Recycling - Case 1'!BG107</f>
        <v>7.6917290360307575E-2</v>
      </c>
      <c r="H97" s="826">
        <f>'Recycling - Case 1'!BH107</f>
        <v>0</v>
      </c>
      <c r="I97" s="826">
        <f>'Recycling - Case 1'!BI107</f>
        <v>0</v>
      </c>
      <c r="J97" s="826">
        <f>'Recycling - Case 1'!BJ107</f>
        <v>0</v>
      </c>
      <c r="K97" s="826">
        <f>'Recycling - Case 1'!BK107</f>
        <v>0.51703960384153191</v>
      </c>
      <c r="L97" s="827">
        <f t="shared" si="100"/>
        <v>1.0000000000000002</v>
      </c>
      <c r="M97" s="104"/>
      <c r="N97" s="838">
        <f t="shared" si="57"/>
        <v>6538.5401545638715</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0.10302503736902824</v>
      </c>
      <c r="Q97" s="832">
        <f t="shared" si="62"/>
        <v>280.8532863995818</v>
      </c>
      <c r="R97" s="832">
        <f t="shared" si="63"/>
        <v>280.8532863995818</v>
      </c>
      <c r="S97" s="835">
        <f t="shared" si="64"/>
        <v>0</v>
      </c>
      <c r="T97" s="832">
        <f t="shared" si="65"/>
        <v>11467.400346179042</v>
      </c>
      <c r="U97" s="832">
        <f t="shared" si="66"/>
        <v>573.54653241688095</v>
      </c>
      <c r="V97" s="839">
        <f t="shared" si="67"/>
        <v>382.36435494458732</v>
      </c>
      <c r="W97" s="1447"/>
      <c r="X97" s="1025">
        <f>'Recycling - Case 1'!AM147</f>
        <v>510.72082586793505</v>
      </c>
      <c r="Y97" s="1026">
        <f>Parameters!S198</f>
        <v>0.71500000000000008</v>
      </c>
      <c r="Z97" s="1027">
        <f t="shared" si="68"/>
        <v>0.4</v>
      </c>
      <c r="AA97" s="1028">
        <f t="shared" si="69"/>
        <v>73.033078099114718</v>
      </c>
      <c r="AB97" s="1028">
        <f t="shared" si="70"/>
        <v>73.033078099114718</v>
      </c>
      <c r="AC97" s="1029">
        <f t="shared" si="71"/>
        <v>0</v>
      </c>
      <c r="AD97" s="1028">
        <f t="shared" si="72"/>
        <v>7267.3991379334993</v>
      </c>
      <c r="AE97" s="1028">
        <f t="shared" si="73"/>
        <v>368.86303561816504</v>
      </c>
      <c r="AF97" s="1030">
        <f t="shared" si="74"/>
        <v>245.90869041211002</v>
      </c>
      <c r="AG97" s="104"/>
      <c r="AH97" s="1025">
        <f>'Recycling - Case 1'!AM187</f>
        <v>510.72082586793505</v>
      </c>
      <c r="AI97" s="1026">
        <f>Parameters!S198</f>
        <v>0.71500000000000008</v>
      </c>
      <c r="AJ97" s="1027">
        <f t="shared" si="75"/>
        <v>0.4</v>
      </c>
      <c r="AK97" s="1028">
        <f t="shared" si="76"/>
        <v>73.033078099114718</v>
      </c>
      <c r="AL97" s="1028">
        <f t="shared" si="77"/>
        <v>73.033078099114718</v>
      </c>
      <c r="AM97" s="1029">
        <f t="shared" si="78"/>
        <v>0</v>
      </c>
      <c r="AN97" s="1028">
        <f t="shared" si="79"/>
        <v>7267.3991379334993</v>
      </c>
      <c r="AO97" s="1028">
        <f t="shared" si="80"/>
        <v>368.86303561816504</v>
      </c>
      <c r="AP97" s="1030">
        <f t="shared" si="81"/>
        <v>245.90869041211002</v>
      </c>
      <c r="AQ97" s="104"/>
      <c r="AR97" s="1064">
        <f>'Recycling - Case 1'!G107</f>
        <v>632.95503192025558</v>
      </c>
      <c r="AS97" s="1065">
        <v>1</v>
      </c>
      <c r="AT97" s="1066">
        <f t="shared" si="82"/>
        <v>0.05</v>
      </c>
      <c r="AU97" s="1044">
        <f t="shared" si="83"/>
        <v>15.823875798006391</v>
      </c>
      <c r="AV97" s="1044">
        <f t="shared" si="84"/>
        <v>15.823875798006391</v>
      </c>
      <c r="AW97" s="1045">
        <f t="shared" si="85"/>
        <v>0</v>
      </c>
      <c r="AX97" s="1044">
        <f t="shared" si="51"/>
        <v>189.98431345222517</v>
      </c>
      <c r="AY97" s="1044">
        <f t="shared" si="54"/>
        <v>10.769480009365301</v>
      </c>
      <c r="AZ97" s="1067">
        <f t="shared" si="52"/>
        <v>7.1796533395768671</v>
      </c>
      <c r="BB97" s="1055">
        <f t="shared" si="86"/>
        <v>382.36435494458732</v>
      </c>
      <c r="BC97" s="1056">
        <f t="shared" si="87"/>
        <v>245.90869041211002</v>
      </c>
      <c r="BD97" s="1082">
        <f t="shared" si="101"/>
        <v>7.1796533395768671</v>
      </c>
      <c r="BE97" s="1056">
        <f t="shared" si="60"/>
        <v>635.45269869627418</v>
      </c>
      <c r="BF97" s="167">
        <v>0</v>
      </c>
      <c r="BG97" s="1075">
        <f t="shared" si="88"/>
        <v>635.45269869627418</v>
      </c>
      <c r="BI97" s="1055">
        <f t="shared" si="89"/>
        <v>382.36435494458732</v>
      </c>
      <c r="BJ97" s="1056">
        <f t="shared" si="90"/>
        <v>245.90869041211002</v>
      </c>
      <c r="BK97" s="1082">
        <f t="shared" si="91"/>
        <v>7.1796533395768671</v>
      </c>
      <c r="BL97" s="1056">
        <f t="shared" si="61"/>
        <v>635.45269869627418</v>
      </c>
      <c r="BM97" s="167">
        <v>0</v>
      </c>
      <c r="BN97" s="1075">
        <f t="shared" si="92"/>
        <v>635.45269869627418</v>
      </c>
    </row>
    <row r="98" spans="1:66">
      <c r="A98" s="927">
        <f>'Input data'!A128</f>
        <v>2028</v>
      </c>
      <c r="B98" s="824">
        <f>'Input data'!B128</f>
        <v>66.921626677758155</v>
      </c>
      <c r="C98" s="824">
        <f>'Recycling - Case 1'!AK108/B98</f>
        <v>336.56544767229519</v>
      </c>
      <c r="D98" s="826">
        <f>'Recycling - Case 1'!AM108</f>
        <v>0.27522547135345526</v>
      </c>
      <c r="E98" s="826">
        <f>'Recycling - Case 1'!BE108</f>
        <v>0.18005022172915311</v>
      </c>
      <c r="F98" s="826">
        <f>'Recycling - Case 1'!BF108</f>
        <v>0.2283523913299306</v>
      </c>
      <c r="G98" s="826">
        <f>'Recycling - Case 1'!BG108</f>
        <v>7.6611734676271678E-2</v>
      </c>
      <c r="H98" s="826">
        <f>'Recycling - Case 1'!BH108</f>
        <v>0</v>
      </c>
      <c r="I98" s="826">
        <f>'Recycling - Case 1'!BI108</f>
        <v>0</v>
      </c>
      <c r="J98" s="826">
        <f>'Recycling - Case 1'!BJ108</f>
        <v>0</v>
      </c>
      <c r="K98" s="826">
        <f>'Recycling - Case 1'!BK108</f>
        <v>0.51498565226464454</v>
      </c>
      <c r="L98" s="827">
        <f t="shared" si="100"/>
        <v>1</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0.10332270539586777</v>
      </c>
      <c r="Q98" s="832">
        <f t="shared" si="62"/>
        <v>270.36569868863785</v>
      </c>
      <c r="R98" s="832">
        <f t="shared" si="63"/>
        <v>270.36569868863785</v>
      </c>
      <c r="S98" s="835">
        <f t="shared" si="64"/>
        <v>0</v>
      </c>
      <c r="T98" s="832">
        <f t="shared" si="65"/>
        <v>11178.494330503816</v>
      </c>
      <c r="U98" s="832">
        <f t="shared" si="66"/>
        <v>559.27171436386323</v>
      </c>
      <c r="V98" s="839">
        <f t="shared" si="67"/>
        <v>372.8478095759088</v>
      </c>
      <c r="W98" s="1447"/>
      <c r="X98" s="1025">
        <f>'Recycling - Case 1'!AM148</f>
        <v>524.23173706627063</v>
      </c>
      <c r="Y98" s="1026">
        <f>Parameters!S199</f>
        <v>0.71500000000000008</v>
      </c>
      <c r="Z98" s="1027">
        <f t="shared" si="68"/>
        <v>0.4</v>
      </c>
      <c r="AA98" s="1028">
        <f t="shared" si="69"/>
        <v>74.965138400476718</v>
      </c>
      <c r="AB98" s="1028">
        <f t="shared" si="70"/>
        <v>74.965138400476718</v>
      </c>
      <c r="AC98" s="1029">
        <f t="shared" si="71"/>
        <v>0</v>
      </c>
      <c r="AD98" s="1028">
        <f t="shared" si="72"/>
        <v>6987.9290379939439</v>
      </c>
      <c r="AE98" s="1028">
        <f t="shared" si="73"/>
        <v>354.43523834003162</v>
      </c>
      <c r="AF98" s="1030">
        <f t="shared" si="74"/>
        <v>236.2901588933544</v>
      </c>
      <c r="AG98" s="104"/>
      <c r="AH98" s="1025">
        <f>'Recycling - Case 1'!AM188</f>
        <v>524.23173706627063</v>
      </c>
      <c r="AI98" s="1026">
        <f>Parameters!S199</f>
        <v>0.71500000000000008</v>
      </c>
      <c r="AJ98" s="1027">
        <f t="shared" si="75"/>
        <v>0.4</v>
      </c>
      <c r="AK98" s="1028">
        <f t="shared" si="76"/>
        <v>74.965138400476718</v>
      </c>
      <c r="AL98" s="1028">
        <f t="shared" si="77"/>
        <v>74.965138400476718</v>
      </c>
      <c r="AM98" s="1029">
        <f t="shared" si="78"/>
        <v>0</v>
      </c>
      <c r="AN98" s="1028">
        <f t="shared" si="79"/>
        <v>6987.9290379939439</v>
      </c>
      <c r="AO98" s="1028">
        <f t="shared" si="80"/>
        <v>354.43523834003162</v>
      </c>
      <c r="AP98" s="1030">
        <f t="shared" si="81"/>
        <v>236.2901588933544</v>
      </c>
      <c r="AQ98" s="104"/>
      <c r="AR98" s="1064">
        <f>'Recycling - Case 1'!G108</f>
        <v>646.19702848963664</v>
      </c>
      <c r="AS98" s="1065">
        <v>1</v>
      </c>
      <c r="AT98" s="1066">
        <f t="shared" si="82"/>
        <v>0.05</v>
      </c>
      <c r="AU98" s="1044">
        <f t="shared" si="83"/>
        <v>16.154925712240917</v>
      </c>
      <c r="AV98" s="1044">
        <f t="shared" si="84"/>
        <v>16.154925712240917</v>
      </c>
      <c r="AW98" s="1045">
        <f t="shared" si="85"/>
        <v>0</v>
      </c>
      <c r="AX98" s="1044">
        <f t="shared" si="51"/>
        <v>195.07541405889947</v>
      </c>
      <c r="AY98" s="1044">
        <f t="shared" si="54"/>
        <v>11.063825105566623</v>
      </c>
      <c r="AZ98" s="1067">
        <f t="shared" si="52"/>
        <v>7.3758834037110823</v>
      </c>
      <c r="BB98" s="1055">
        <f t="shared" si="86"/>
        <v>372.8478095759088</v>
      </c>
      <c r="BC98" s="1056">
        <f t="shared" si="87"/>
        <v>236.2901588933544</v>
      </c>
      <c r="BD98" s="1082">
        <f t="shared" si="101"/>
        <v>7.3758834037110823</v>
      </c>
      <c r="BE98" s="1056">
        <f t="shared" si="60"/>
        <v>616.51385187297433</v>
      </c>
      <c r="BF98" s="167">
        <v>0</v>
      </c>
      <c r="BG98" s="1075">
        <f t="shared" si="88"/>
        <v>616.51385187297433</v>
      </c>
      <c r="BI98" s="1055">
        <f t="shared" si="89"/>
        <v>372.8478095759088</v>
      </c>
      <c r="BJ98" s="1056">
        <f t="shared" si="90"/>
        <v>236.2901588933544</v>
      </c>
      <c r="BK98" s="1082">
        <f t="shared" si="91"/>
        <v>7.3758834037110823</v>
      </c>
      <c r="BL98" s="1056">
        <f t="shared" si="61"/>
        <v>616.51385187297433</v>
      </c>
      <c r="BM98" s="167">
        <v>0</v>
      </c>
      <c r="BN98" s="1075">
        <f t="shared" si="92"/>
        <v>616.51385187297433</v>
      </c>
    </row>
    <row r="99" spans="1:66">
      <c r="A99" s="927">
        <f>'Input data'!A129</f>
        <v>2029</v>
      </c>
      <c r="B99" s="824">
        <f>'Input data'!B129</f>
        <v>67.749778587208695</v>
      </c>
      <c r="C99" s="824">
        <f>'Recycling - Case 1'!AK109/B99</f>
        <v>327.40252830621836</v>
      </c>
      <c r="D99" s="826">
        <f>'Recycling - Case 1'!AM109</f>
        <v>0.26495894085934091</v>
      </c>
      <c r="E99" s="826">
        <f>'Recycling - Case 1'!BE109</f>
        <v>0.18099854846992899</v>
      </c>
      <c r="F99" s="826">
        <f>'Recycling - Case 1'!BF109</f>
        <v>0.2295551261943399</v>
      </c>
      <c r="G99" s="826">
        <f>'Recycling - Case 1'!BG109</f>
        <v>7.6333172659929935E-2</v>
      </c>
      <c r="H99" s="826">
        <f>'Recycling - Case 1'!BH109</f>
        <v>0</v>
      </c>
      <c r="I99" s="826">
        <f>'Recycling - Case 1'!BI109</f>
        <v>0</v>
      </c>
      <c r="J99" s="826">
        <f>'Recycling - Case 1'!BJ109</f>
        <v>0</v>
      </c>
      <c r="K99" s="826">
        <f>'Recycling - Case 1'!BK109</f>
        <v>0.51311315267580104</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0.10359407657332931</v>
      </c>
      <c r="Q99" s="832">
        <f t="shared" si="62"/>
        <v>260.16215578457616</v>
      </c>
      <c r="R99" s="832">
        <f t="shared" si="63"/>
        <v>260.16215578457616</v>
      </c>
      <c r="S99" s="835">
        <f t="shared" si="64"/>
        <v>0</v>
      </c>
      <c r="T99" s="832">
        <f t="shared" si="65"/>
        <v>10893.474884574214</v>
      </c>
      <c r="U99" s="832">
        <f t="shared" si="66"/>
        <v>545.18160171417674</v>
      </c>
      <c r="V99" s="839">
        <f t="shared" si="67"/>
        <v>363.45440114278449</v>
      </c>
      <c r="W99" s="1447"/>
      <c r="X99" s="1025">
        <f>'Recycling - Case 1'!AM149</f>
        <v>494.28537917367271</v>
      </c>
      <c r="Y99" s="1026">
        <f>Parameters!S200</f>
        <v>0.71500000000000008</v>
      </c>
      <c r="Z99" s="1027">
        <f t="shared" si="68"/>
        <v>0.4</v>
      </c>
      <c r="AA99" s="1028">
        <f t="shared" si="69"/>
        <v>70.682809221835214</v>
      </c>
      <c r="AB99" s="1028">
        <f t="shared" si="70"/>
        <v>70.682809221835214</v>
      </c>
      <c r="AC99" s="1029">
        <f t="shared" si="71"/>
        <v>0</v>
      </c>
      <c r="AD99" s="1028">
        <f t="shared" si="72"/>
        <v>6717.8065264846427</v>
      </c>
      <c r="AE99" s="1028">
        <f t="shared" si="73"/>
        <v>340.80532073113653</v>
      </c>
      <c r="AF99" s="1030">
        <f t="shared" si="74"/>
        <v>227.20354715409101</v>
      </c>
      <c r="AG99" s="104"/>
      <c r="AH99" s="1025">
        <f>'Recycling - Case 1'!AM189</f>
        <v>494.28537917367271</v>
      </c>
      <c r="AI99" s="1026">
        <f>Parameters!S200</f>
        <v>0.71500000000000008</v>
      </c>
      <c r="AJ99" s="1027">
        <f t="shared" si="75"/>
        <v>0.4</v>
      </c>
      <c r="AK99" s="1028">
        <f t="shared" si="76"/>
        <v>70.682809221835214</v>
      </c>
      <c r="AL99" s="1028">
        <f t="shared" si="77"/>
        <v>70.682809221835214</v>
      </c>
      <c r="AM99" s="1029">
        <f t="shared" si="78"/>
        <v>0</v>
      </c>
      <c r="AN99" s="1028">
        <f t="shared" si="79"/>
        <v>6717.8065264846427</v>
      </c>
      <c r="AO99" s="1028">
        <f t="shared" si="80"/>
        <v>340.80532073113653</v>
      </c>
      <c r="AP99" s="1030">
        <f t="shared" si="81"/>
        <v>227.20354715409101</v>
      </c>
      <c r="AQ99" s="104"/>
      <c r="AR99" s="1064">
        <f>'Recycling - Case 1'!G109</f>
        <v>659.07298478761447</v>
      </c>
      <c r="AS99" s="1065">
        <v>1</v>
      </c>
      <c r="AT99" s="1066">
        <f t="shared" si="82"/>
        <v>0.05</v>
      </c>
      <c r="AU99" s="1044">
        <f t="shared" si="83"/>
        <v>16.476824619690362</v>
      </c>
      <c r="AV99" s="1044">
        <f t="shared" si="84"/>
        <v>16.476824619690362</v>
      </c>
      <c r="AW99" s="1045">
        <f t="shared" si="85"/>
        <v>0</v>
      </c>
      <c r="AX99" s="1044">
        <f t="shared" si="51"/>
        <v>200.19193095462401</v>
      </c>
      <c r="AY99" s="1044">
        <f t="shared" si="54"/>
        <v>11.360307723965816</v>
      </c>
      <c r="AZ99" s="1067">
        <f t="shared" si="52"/>
        <v>7.573538482643877</v>
      </c>
      <c r="BB99" s="1055">
        <f t="shared" si="86"/>
        <v>363.45440114278449</v>
      </c>
      <c r="BC99" s="1056">
        <f t="shared" si="87"/>
        <v>227.20354715409101</v>
      </c>
      <c r="BD99" s="1082">
        <f t="shared" si="101"/>
        <v>7.573538482643877</v>
      </c>
      <c r="BE99" s="1056">
        <f t="shared" si="60"/>
        <v>598.2314867795194</v>
      </c>
      <c r="BF99" s="167">
        <v>0</v>
      </c>
      <c r="BG99" s="1075">
        <f t="shared" si="88"/>
        <v>598.2314867795194</v>
      </c>
      <c r="BI99" s="1055">
        <f t="shared" si="89"/>
        <v>363.45440114278449</v>
      </c>
      <c r="BJ99" s="1056">
        <f t="shared" si="90"/>
        <v>227.20354715409101</v>
      </c>
      <c r="BK99" s="1082">
        <f t="shared" si="91"/>
        <v>7.573538482643877</v>
      </c>
      <c r="BL99" s="1056">
        <f t="shared" si="61"/>
        <v>598.2314867795194</v>
      </c>
      <c r="BM99" s="167">
        <v>0</v>
      </c>
      <c r="BN99" s="1075">
        <f t="shared" si="92"/>
        <v>598.2314867795194</v>
      </c>
    </row>
    <row r="100" spans="1:66">
      <c r="A100" s="927">
        <f>'Input data'!A130</f>
        <v>2030</v>
      </c>
      <c r="B100" s="824">
        <f>'Input data'!B130</f>
        <v>68.525074762177482</v>
      </c>
      <c r="C100" s="824">
        <f>'Recycling - Case 1'!AK110/B100</f>
        <v>318.96374390781045</v>
      </c>
      <c r="D100" s="826">
        <f>'Recycling - Case 1'!AM110</f>
        <v>0.25493032303465096</v>
      </c>
      <c r="E100" s="826">
        <f>'Recycling - Case 1'!BE110</f>
        <v>0.18185956062998801</v>
      </c>
      <c r="F100" s="826">
        <f>'Recycling - Case 1'!BF110</f>
        <v>0.23064712254860939</v>
      </c>
      <c r="G100" s="826">
        <f>'Recycling - Case 1'!BG110</f>
        <v>7.6080258476360046E-2</v>
      </c>
      <c r="H100" s="826">
        <f>'Recycling - Case 1'!BH110</f>
        <v>0</v>
      </c>
      <c r="I100" s="826">
        <f>'Recycling - Case 1'!BI110</f>
        <v>0</v>
      </c>
      <c r="J100" s="826">
        <f>'Recycling - Case 1'!BJ110</f>
        <v>0</v>
      </c>
      <c r="K100" s="826">
        <f>'Recycling - Case 1'!BK110</f>
        <v>0.51141305834504258</v>
      </c>
      <c r="L100" s="827">
        <f t="shared" si="100"/>
        <v>1</v>
      </c>
      <c r="M100" s="104"/>
      <c r="N100" s="838">
        <f t="shared" si="57"/>
        <v>5572.0157409803978</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0.1038404619947641</v>
      </c>
      <c r="Q100" s="832">
        <f t="shared" si="62"/>
        <v>250.24479789972975</v>
      </c>
      <c r="R100" s="832">
        <f t="shared" si="63"/>
        <v>250.24479789972975</v>
      </c>
      <c r="S100" s="835">
        <f t="shared" si="64"/>
        <v>0</v>
      </c>
      <c r="T100" s="832">
        <f t="shared" si="65"/>
        <v>10612.438643166242</v>
      </c>
      <c r="U100" s="832">
        <f t="shared" si="66"/>
        <v>531.28103930770237</v>
      </c>
      <c r="V100" s="839">
        <f t="shared" si="67"/>
        <v>354.18735953846823</v>
      </c>
      <c r="W100" s="1447"/>
      <c r="X100" s="1025">
        <f>'Recycling - Case 1'!AM150</f>
        <v>520.79248312026903</v>
      </c>
      <c r="Y100" s="1026">
        <f>Parameters!S201</f>
        <v>0.71500000000000008</v>
      </c>
      <c r="Z100" s="1027">
        <f t="shared" si="68"/>
        <v>0.4</v>
      </c>
      <c r="AA100" s="1028">
        <f t="shared" si="69"/>
        <v>74.473325086198486</v>
      </c>
      <c r="AB100" s="1028">
        <f t="shared" si="70"/>
        <v>74.473325086198486</v>
      </c>
      <c r="AC100" s="1029">
        <f t="shared" si="71"/>
        <v>0</v>
      </c>
      <c r="AD100" s="1028">
        <f t="shared" si="72"/>
        <v>6464.6485611813259</v>
      </c>
      <c r="AE100" s="1028">
        <f t="shared" si="73"/>
        <v>327.63129038951541</v>
      </c>
      <c r="AF100" s="1030">
        <f t="shared" si="74"/>
        <v>218.42086025967694</v>
      </c>
      <c r="AG100" s="104"/>
      <c r="AH100" s="1025">
        <f>'Recycling - Case 1'!AM190</f>
        <v>520.79248312026903</v>
      </c>
      <c r="AI100" s="1026">
        <f>Parameters!S201</f>
        <v>0.71500000000000008</v>
      </c>
      <c r="AJ100" s="1027">
        <f t="shared" si="75"/>
        <v>0.4</v>
      </c>
      <c r="AK100" s="1028">
        <f t="shared" si="76"/>
        <v>74.473325086198486</v>
      </c>
      <c r="AL100" s="1028">
        <f t="shared" si="77"/>
        <v>74.473325086198486</v>
      </c>
      <c r="AM100" s="1029">
        <f t="shared" si="78"/>
        <v>0</v>
      </c>
      <c r="AN100" s="1028">
        <f t="shared" si="79"/>
        <v>6464.6485611813259</v>
      </c>
      <c r="AO100" s="1028">
        <f t="shared" si="80"/>
        <v>327.63129038951541</v>
      </c>
      <c r="AP100" s="1030">
        <f t="shared" si="81"/>
        <v>218.42086025967694</v>
      </c>
      <c r="AQ100" s="104"/>
      <c r="AR100" s="1064">
        <f>'Recycling - Case 1'!G110</f>
        <v>671.55023743895697</v>
      </c>
      <c r="AS100" s="1065">
        <v>1</v>
      </c>
      <c r="AT100" s="1066">
        <f t="shared" si="82"/>
        <v>0.05</v>
      </c>
      <c r="AU100" s="1044">
        <f t="shared" si="83"/>
        <v>16.788755935973924</v>
      </c>
      <c r="AV100" s="1044">
        <f t="shared" si="84"/>
        <v>16.788755935973924</v>
      </c>
      <c r="AW100" s="1045">
        <f t="shared" si="85"/>
        <v>0</v>
      </c>
      <c r="AX100" s="1044">
        <f t="shared" si="51"/>
        <v>205.32241641878551</v>
      </c>
      <c r="AY100" s="1044">
        <f t="shared" si="54"/>
        <v>11.658270471812406</v>
      </c>
      <c r="AZ100" s="1067">
        <f t="shared" si="52"/>
        <v>7.772180314541604</v>
      </c>
      <c r="BB100" s="1055">
        <f t="shared" si="86"/>
        <v>354.18735953846823</v>
      </c>
      <c r="BC100" s="1056">
        <f t="shared" si="87"/>
        <v>218.42086025967694</v>
      </c>
      <c r="BD100" s="1082">
        <f t="shared" si="101"/>
        <v>7.772180314541604</v>
      </c>
      <c r="BE100" s="1056">
        <f t="shared" si="60"/>
        <v>580.38040011268686</v>
      </c>
      <c r="BF100" s="167">
        <v>0</v>
      </c>
      <c r="BG100" s="1075">
        <f t="shared" si="88"/>
        <v>580.38040011268686</v>
      </c>
      <c r="BI100" s="1055">
        <f t="shared" si="89"/>
        <v>354.18735953846823</v>
      </c>
      <c r="BJ100" s="1056">
        <f t="shared" si="90"/>
        <v>218.42086025967694</v>
      </c>
      <c r="BK100" s="1082">
        <f t="shared" si="91"/>
        <v>7.772180314541604</v>
      </c>
      <c r="BL100" s="1056">
        <f t="shared" si="61"/>
        <v>580.38040011268686</v>
      </c>
      <c r="BM100" s="167">
        <v>0</v>
      </c>
      <c r="BN100" s="1075">
        <f t="shared" si="92"/>
        <v>580.38040011268686</v>
      </c>
    </row>
    <row r="101" spans="1:66">
      <c r="A101" s="927">
        <f>'Input data'!A131</f>
        <v>2031</v>
      </c>
      <c r="B101" s="824">
        <f>'Input data'!B131</f>
        <v>69.286388472916428</v>
      </c>
      <c r="C101" s="824">
        <f>'Recycling - Case 1'!AK111/B101</f>
        <v>311.56401307434516</v>
      </c>
      <c r="D101" s="826">
        <f>'Recycling - Case 1'!AM111</f>
        <v>0.24589647067185727</v>
      </c>
      <c r="E101" s="826">
        <f>'Recycling - Case 1'!BE111</f>
        <v>0.18268094125248632</v>
      </c>
      <c r="F101" s="826">
        <f>'Recycling - Case 1'!BF111</f>
        <v>0.23168885539146969</v>
      </c>
      <c r="G101" s="826">
        <f>'Recycling - Case 1'!BG111</f>
        <v>7.5838985682343971E-2</v>
      </c>
      <c r="H101" s="826">
        <f>'Recycling - Case 1'!BH111</f>
        <v>0</v>
      </c>
      <c r="I101" s="826">
        <f>'Recycling - Case 1'!BI111</f>
        <v>0</v>
      </c>
      <c r="J101" s="826">
        <f>'Recycling - Case 1'!BJ111</f>
        <v>0</v>
      </c>
      <c r="K101" s="826">
        <f>'Recycling - Case 1'!BK111</f>
        <v>0.50979121767369995</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0.10407550653910447</v>
      </c>
      <c r="Q101" s="832">
        <f t="shared" si="62"/>
        <v>240.80084282265398</v>
      </c>
      <c r="R101" s="832">
        <f t="shared" si="63"/>
        <v>240.80084282265398</v>
      </c>
      <c r="S101" s="835">
        <f t="shared" si="64"/>
        <v>0</v>
      </c>
      <c r="T101" s="832">
        <f t="shared" si="65"/>
        <v>10335.664745910817</v>
      </c>
      <c r="U101" s="832">
        <f t="shared" si="66"/>
        <v>517.57474007807934</v>
      </c>
      <c r="V101" s="839">
        <f t="shared" si="67"/>
        <v>345.04982671871954</v>
      </c>
      <c r="W101" s="1447"/>
      <c r="X101" s="1025">
        <f>'Recycling - Case 1'!AM151</f>
        <v>505.75966054988464</v>
      </c>
      <c r="Y101" s="1026">
        <f>Parameters!S202</f>
        <v>0.71500000000000008</v>
      </c>
      <c r="Z101" s="1027">
        <f t="shared" si="68"/>
        <v>0.4</v>
      </c>
      <c r="AA101" s="1028">
        <f t="shared" si="69"/>
        <v>72.323631458633514</v>
      </c>
      <c r="AB101" s="1028">
        <f t="shared" si="70"/>
        <v>72.323631458633514</v>
      </c>
      <c r="AC101" s="1029">
        <f t="shared" si="71"/>
        <v>0</v>
      </c>
      <c r="AD101" s="1028">
        <f t="shared" si="72"/>
        <v>6221.6875619105158</v>
      </c>
      <c r="AE101" s="1028">
        <f t="shared" si="73"/>
        <v>315.28463072944436</v>
      </c>
      <c r="AF101" s="1030">
        <f t="shared" si="74"/>
        <v>210.18975381962957</v>
      </c>
      <c r="AG101" s="104"/>
      <c r="AH101" s="1025">
        <f>'Recycling - Case 1'!AM191</f>
        <v>505.75966054988464</v>
      </c>
      <c r="AI101" s="1026">
        <f>Parameters!S202</f>
        <v>0.71500000000000008</v>
      </c>
      <c r="AJ101" s="1027">
        <f t="shared" si="75"/>
        <v>0.4</v>
      </c>
      <c r="AK101" s="1028">
        <f t="shared" si="76"/>
        <v>72.323631458633514</v>
      </c>
      <c r="AL101" s="1028">
        <f t="shared" si="77"/>
        <v>72.323631458633514</v>
      </c>
      <c r="AM101" s="1029">
        <f t="shared" si="78"/>
        <v>0</v>
      </c>
      <c r="AN101" s="1028">
        <f t="shared" si="79"/>
        <v>6221.6875619105158</v>
      </c>
      <c r="AO101" s="1028">
        <f t="shared" si="80"/>
        <v>315.28463072944436</v>
      </c>
      <c r="AP101" s="1030">
        <f t="shared" si="81"/>
        <v>210.18975381962957</v>
      </c>
      <c r="AQ101" s="104"/>
      <c r="AR101" s="1064">
        <f>'Recycling - Case 1'!G111</f>
        <v>684.00112676101799</v>
      </c>
      <c r="AS101" s="1065">
        <v>1</v>
      </c>
      <c r="AT101" s="1066">
        <f t="shared" si="82"/>
        <v>0.05</v>
      </c>
      <c r="AU101" s="1044">
        <f t="shared" si="83"/>
        <v>17.10002816902545</v>
      </c>
      <c r="AV101" s="1044">
        <f t="shared" si="84"/>
        <v>17.10002816902545</v>
      </c>
      <c r="AW101" s="1045">
        <f t="shared" si="85"/>
        <v>0</v>
      </c>
      <c r="AX101" s="1044">
        <f t="shared" si="51"/>
        <v>210.46539790205387</v>
      </c>
      <c r="AY101" s="1044">
        <f t="shared" si="54"/>
        <v>11.957046685757083</v>
      </c>
      <c r="AZ101" s="1067">
        <f t="shared" si="52"/>
        <v>7.9713644571713891</v>
      </c>
      <c r="BB101" s="1055">
        <f t="shared" si="86"/>
        <v>345.04982671871954</v>
      </c>
      <c r="BC101" s="1056">
        <f t="shared" si="87"/>
        <v>210.18975381962957</v>
      </c>
      <c r="BD101" s="1082">
        <f t="shared" si="101"/>
        <v>7.9713644571713891</v>
      </c>
      <c r="BE101" s="1056">
        <f t="shared" si="60"/>
        <v>563.21094499552055</v>
      </c>
      <c r="BF101" s="167">
        <v>0</v>
      </c>
      <c r="BG101" s="1075">
        <f t="shared" si="88"/>
        <v>563.21094499552055</v>
      </c>
      <c r="BI101" s="1055">
        <f t="shared" si="89"/>
        <v>345.04982671871954</v>
      </c>
      <c r="BJ101" s="1056">
        <f t="shared" si="90"/>
        <v>210.18975381962957</v>
      </c>
      <c r="BK101" s="1082">
        <f t="shared" si="91"/>
        <v>7.9713644571713891</v>
      </c>
      <c r="BL101" s="1056">
        <f t="shared" si="61"/>
        <v>563.21094499552055</v>
      </c>
      <c r="BM101" s="167">
        <v>0</v>
      </c>
      <c r="BN101" s="1075">
        <f t="shared" si="92"/>
        <v>563.21094499552055</v>
      </c>
    </row>
    <row r="102" spans="1:66">
      <c r="A102" s="927">
        <f>'Input data'!A132</f>
        <v>2032</v>
      </c>
      <c r="B102" s="824">
        <f>'Input data'!B132</f>
        <v>70.033051881823098</v>
      </c>
      <c r="C102" s="824">
        <f>'Recycling - Case 1'!AK112/B102</f>
        <v>304.37608258339804</v>
      </c>
      <c r="D102" s="826">
        <f>'Recycling - Case 1'!AM112</f>
        <v>0.23664376868539147</v>
      </c>
      <c r="E102" s="826">
        <f>'Recycling - Case 1'!BE112</f>
        <v>0.18346428610426307</v>
      </c>
      <c r="F102" s="826">
        <f>'Recycling - Case 1'!BF112</f>
        <v>0.23268234858698655</v>
      </c>
      <c r="G102" s="826">
        <f>'Recycling - Case 1'!BG112</f>
        <v>7.5608885536456172E-2</v>
      </c>
      <c r="H102" s="826">
        <f>'Recycling - Case 1'!BH112</f>
        <v>0</v>
      </c>
      <c r="I102" s="826">
        <f>'Recycling - Case 1'!BI112</f>
        <v>0</v>
      </c>
      <c r="J102" s="826">
        <f>'Recycling - Case 1'!BJ112</f>
        <v>0</v>
      </c>
      <c r="K102" s="826">
        <f>'Recycling - Case 1'!BK112</f>
        <v>0.50824447977229448</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0.10429966684761924</v>
      </c>
      <c r="Q102" s="832">
        <f t="shared" si="62"/>
        <v>231.10180634151482</v>
      </c>
      <c r="R102" s="832">
        <f t="shared" si="63"/>
        <v>231.10180634151482</v>
      </c>
      <c r="S102" s="835">
        <f t="shared" si="64"/>
        <v>0</v>
      </c>
      <c r="T102" s="832">
        <f t="shared" si="65"/>
        <v>10062.69023442658</v>
      </c>
      <c r="U102" s="832">
        <f t="shared" si="66"/>
        <v>504.07631782575197</v>
      </c>
      <c r="V102" s="839">
        <f t="shared" si="67"/>
        <v>336.0508785505013</v>
      </c>
      <c r="W102" s="1447"/>
      <c r="X102" s="1025">
        <f>'Recycling - Case 1'!AM152</f>
        <v>484.03545301283322</v>
      </c>
      <c r="Y102" s="1026">
        <f>Parameters!S203</f>
        <v>0.71500000000000008</v>
      </c>
      <c r="Z102" s="1027">
        <f t="shared" si="68"/>
        <v>0.4</v>
      </c>
      <c r="AA102" s="1028">
        <f t="shared" si="69"/>
        <v>69.21706978083516</v>
      </c>
      <c r="AB102" s="1028">
        <f t="shared" si="70"/>
        <v>69.21706978083516</v>
      </c>
      <c r="AC102" s="1029">
        <f t="shared" si="71"/>
        <v>0</v>
      </c>
      <c r="AD102" s="1028">
        <f t="shared" si="72"/>
        <v>5987.4693487202258</v>
      </c>
      <c r="AE102" s="1028">
        <f t="shared" si="73"/>
        <v>303.43528297112533</v>
      </c>
      <c r="AF102" s="1030">
        <f t="shared" si="74"/>
        <v>202.2901886474169</v>
      </c>
      <c r="AG102" s="104"/>
      <c r="AH102" s="1025">
        <f>'Recycling - Case 1'!AM192</f>
        <v>484.03545301283322</v>
      </c>
      <c r="AI102" s="1026">
        <f>Parameters!S203</f>
        <v>0.71500000000000008</v>
      </c>
      <c r="AJ102" s="1027">
        <f t="shared" si="75"/>
        <v>0.4</v>
      </c>
      <c r="AK102" s="1028">
        <f t="shared" si="76"/>
        <v>69.21706978083516</v>
      </c>
      <c r="AL102" s="1028">
        <f t="shared" si="77"/>
        <v>69.21706978083516</v>
      </c>
      <c r="AM102" s="1029">
        <f t="shared" si="78"/>
        <v>0</v>
      </c>
      <c r="AN102" s="1028">
        <f t="shared" si="79"/>
        <v>5987.4693487202258</v>
      </c>
      <c r="AO102" s="1028">
        <f t="shared" si="80"/>
        <v>303.43528297112533</v>
      </c>
      <c r="AP102" s="1030">
        <f t="shared" si="81"/>
        <v>202.2901886474169</v>
      </c>
      <c r="AQ102" s="104"/>
      <c r="AR102" s="1064">
        <f>'Recycling - Case 1'!G112</f>
        <v>696.41599068032178</v>
      </c>
      <c r="AS102" s="1065">
        <v>1</v>
      </c>
      <c r="AT102" s="1066">
        <f t="shared" si="82"/>
        <v>0.05</v>
      </c>
      <c r="AU102" s="1044">
        <f t="shared" si="83"/>
        <v>17.410399767008045</v>
      </c>
      <c r="AV102" s="1044">
        <f t="shared" si="84"/>
        <v>17.410399767008045</v>
      </c>
      <c r="AW102" s="1045">
        <f t="shared" si="85"/>
        <v>0</v>
      </c>
      <c r="AX102" s="1044">
        <f t="shared" si="51"/>
        <v>215.61924705785913</v>
      </c>
      <c r="AY102" s="1044">
        <f t="shared" si="54"/>
        <v>12.256550611202789</v>
      </c>
      <c r="AZ102" s="1067">
        <f t="shared" si="52"/>
        <v>8.1710337408018585</v>
      </c>
      <c r="BB102" s="1055">
        <f t="shared" si="86"/>
        <v>336.0508785505013</v>
      </c>
      <c r="BC102" s="1056">
        <f t="shared" si="87"/>
        <v>202.2901886474169</v>
      </c>
      <c r="BD102" s="1082">
        <f t="shared" si="101"/>
        <v>8.1710337408018585</v>
      </c>
      <c r="BE102" s="1056">
        <f t="shared" si="60"/>
        <v>546.51210093871998</v>
      </c>
      <c r="BF102" s="167">
        <v>0</v>
      </c>
      <c r="BG102" s="1075">
        <f t="shared" si="88"/>
        <v>546.51210093871998</v>
      </c>
      <c r="BI102" s="1055">
        <f t="shared" si="89"/>
        <v>336.0508785505013</v>
      </c>
      <c r="BJ102" s="1056">
        <f t="shared" si="90"/>
        <v>202.2901886474169</v>
      </c>
      <c r="BK102" s="1082">
        <f t="shared" si="91"/>
        <v>8.1710337408018585</v>
      </c>
      <c r="BL102" s="1056">
        <f t="shared" si="61"/>
        <v>546.51210093871998</v>
      </c>
      <c r="BM102" s="167">
        <v>0</v>
      </c>
      <c r="BN102" s="1075">
        <f t="shared" si="92"/>
        <v>546.51210093871998</v>
      </c>
    </row>
    <row r="103" spans="1:66">
      <c r="A103" s="927">
        <f>'Input data'!A133</f>
        <v>2033</v>
      </c>
      <c r="B103" s="824">
        <f>'Input data'!B133</f>
        <v>70.764404167450692</v>
      </c>
      <c r="C103" s="824">
        <f>'Recycling - Case 1'!AK113/B103</f>
        <v>297.38978996531335</v>
      </c>
      <c r="D103" s="826">
        <f>'Recycling - Case 1'!AM113</f>
        <v>0.22716394870873194</v>
      </c>
      <c r="E103" s="826">
        <f>'Recycling - Case 1'!BE113</f>
        <v>0.18421108948475212</v>
      </c>
      <c r="F103" s="826">
        <f>'Recycling - Case 1'!BF113</f>
        <v>0.23362949731110466</v>
      </c>
      <c r="G103" s="826">
        <f>'Recycling - Case 1'!BG113</f>
        <v>7.5389519102362287E-2</v>
      </c>
      <c r="H103" s="826">
        <f>'Recycling - Case 1'!BH113</f>
        <v>0</v>
      </c>
      <c r="I103" s="826">
        <f>'Recycling - Case 1'!BI113</f>
        <v>0</v>
      </c>
      <c r="J103" s="826">
        <f>'Recycling - Case 1'!BJ113</f>
        <v>0</v>
      </c>
      <c r="K103" s="826">
        <f>'Recycling - Case 1'!BK113</f>
        <v>0.50676989410178086</v>
      </c>
      <c r="L103" s="827">
        <f t="shared" si="100"/>
        <v>1</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0.10451337052587867</v>
      </c>
      <c r="Q103" s="832">
        <f t="shared" si="62"/>
        <v>221.15059456981834</v>
      </c>
      <c r="R103" s="832">
        <f t="shared" si="63"/>
        <v>221.15059456981834</v>
      </c>
      <c r="S103" s="835">
        <f t="shared" si="64"/>
        <v>0</v>
      </c>
      <c r="T103" s="832">
        <f t="shared" si="65"/>
        <v>9793.0776351923705</v>
      </c>
      <c r="U103" s="832">
        <f t="shared" si="66"/>
        <v>490.7631938040293</v>
      </c>
      <c r="V103" s="839">
        <f t="shared" si="67"/>
        <v>327.17546253601955</v>
      </c>
      <c r="W103" s="1447"/>
      <c r="X103" s="1025">
        <f>'Recycling - Case 1'!AM153</f>
        <v>390.16003495780097</v>
      </c>
      <c r="Y103" s="1026">
        <f>Parameters!S204</f>
        <v>0.71500000000000008</v>
      </c>
      <c r="Z103" s="1027">
        <f t="shared" si="68"/>
        <v>0.4</v>
      </c>
      <c r="AA103" s="1028">
        <f t="shared" si="69"/>
        <v>55.792884998965548</v>
      </c>
      <c r="AB103" s="1028">
        <f t="shared" si="70"/>
        <v>55.792884998965548</v>
      </c>
      <c r="AC103" s="1029">
        <f t="shared" si="71"/>
        <v>0</v>
      </c>
      <c r="AD103" s="1028">
        <f t="shared" si="72"/>
        <v>5751.2499077977709</v>
      </c>
      <c r="AE103" s="1028">
        <f t="shared" si="73"/>
        <v>292.01232592142043</v>
      </c>
      <c r="AF103" s="1030">
        <f t="shared" si="74"/>
        <v>194.67488394761361</v>
      </c>
      <c r="AG103" s="104"/>
      <c r="AH103" s="1025">
        <f>'Recycling - Case 1'!AM193</f>
        <v>390.16003495780097</v>
      </c>
      <c r="AI103" s="1026">
        <f>Parameters!S204</f>
        <v>0.71500000000000008</v>
      </c>
      <c r="AJ103" s="1027">
        <f t="shared" si="75"/>
        <v>0.4</v>
      </c>
      <c r="AK103" s="1028">
        <f t="shared" si="76"/>
        <v>55.792884998965548</v>
      </c>
      <c r="AL103" s="1028">
        <f t="shared" si="77"/>
        <v>55.792884998965548</v>
      </c>
      <c r="AM103" s="1029">
        <f t="shared" si="78"/>
        <v>0</v>
      </c>
      <c r="AN103" s="1028">
        <f t="shared" si="79"/>
        <v>5751.2499077977709</v>
      </c>
      <c r="AO103" s="1028">
        <f t="shared" si="80"/>
        <v>292.01232592142043</v>
      </c>
      <c r="AP103" s="1030">
        <f t="shared" si="81"/>
        <v>194.67488394761361</v>
      </c>
      <c r="AQ103" s="104"/>
      <c r="AR103" s="1064">
        <f>'Recycling - Case 1'!G113</f>
        <v>708.78504500899339</v>
      </c>
      <c r="AS103" s="1065">
        <v>1</v>
      </c>
      <c r="AT103" s="1066">
        <f t="shared" si="82"/>
        <v>0.05</v>
      </c>
      <c r="AU103" s="1044">
        <f t="shared" si="83"/>
        <v>17.719626125224835</v>
      </c>
      <c r="AV103" s="1044">
        <f t="shared" si="84"/>
        <v>17.719626125224835</v>
      </c>
      <c r="AW103" s="1045">
        <f t="shared" si="85"/>
        <v>0</v>
      </c>
      <c r="AX103" s="1044">
        <f t="shared" si="51"/>
        <v>220.78218576245644</v>
      </c>
      <c r="AY103" s="1044">
        <f t="shared" si="54"/>
        <v>12.556687420627533</v>
      </c>
      <c r="AZ103" s="1067">
        <f t="shared" si="52"/>
        <v>8.371124947085022</v>
      </c>
      <c r="BB103" s="1055">
        <f t="shared" si="86"/>
        <v>327.17546253601955</v>
      </c>
      <c r="BC103" s="1056">
        <f t="shared" si="87"/>
        <v>194.67488394761361</v>
      </c>
      <c r="BD103" s="1082">
        <f t="shared" si="101"/>
        <v>8.371124947085022</v>
      </c>
      <c r="BE103" s="1056">
        <f t="shared" si="60"/>
        <v>530.22147143071822</v>
      </c>
      <c r="BF103" s="167">
        <v>0</v>
      </c>
      <c r="BG103" s="1075">
        <f t="shared" si="88"/>
        <v>530.22147143071822</v>
      </c>
      <c r="BI103" s="1055">
        <f t="shared" si="89"/>
        <v>327.17546253601955</v>
      </c>
      <c r="BJ103" s="1056">
        <f t="shared" si="90"/>
        <v>194.67488394761361</v>
      </c>
      <c r="BK103" s="1082">
        <f t="shared" si="91"/>
        <v>8.371124947085022</v>
      </c>
      <c r="BL103" s="1056">
        <f t="shared" si="61"/>
        <v>530.22147143071822</v>
      </c>
      <c r="BM103" s="167">
        <v>0</v>
      </c>
      <c r="BN103" s="1075">
        <f t="shared" si="92"/>
        <v>530.22147143071822</v>
      </c>
    </row>
    <row r="104" spans="1:66">
      <c r="A104" s="927">
        <f>'Input data'!A134</f>
        <v>2034</v>
      </c>
      <c r="B104" s="824">
        <f>'Input data'!B134</f>
        <v>71.479792486390252</v>
      </c>
      <c r="C104" s="824">
        <f>'Recycling - Case 1'!AK114/B104</f>
        <v>290.59540693839631</v>
      </c>
      <c r="D104" s="826">
        <f>'Recycling - Case 1'!AM114</f>
        <v>0.2174479806785671</v>
      </c>
      <c r="E104" s="826">
        <f>'Recycling - Case 1'!BE114</f>
        <v>0.18492275102487402</v>
      </c>
      <c r="F104" s="826">
        <f>'Recycling - Case 1'!BF114</f>
        <v>0.23453207667448278</v>
      </c>
      <c r="G104" s="826">
        <f>'Recycling - Case 1'!BG114</f>
        <v>7.5180475251709039E-2</v>
      </c>
      <c r="H104" s="826">
        <f>'Recycling - Case 1'!BH114</f>
        <v>0</v>
      </c>
      <c r="I104" s="826">
        <f>'Recycling - Case 1'!BI114</f>
        <v>0</v>
      </c>
      <c r="J104" s="826">
        <f>'Recycling - Case 1'!BJ114</f>
        <v>0</v>
      </c>
      <c r="K104" s="826">
        <f>'Recycling - Case 1'!BK114</f>
        <v>0.50536469704893416</v>
      </c>
      <c r="L104" s="827">
        <f t="shared" si="100"/>
        <v>1</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0.10471701808931128</v>
      </c>
      <c r="Q104" s="832">
        <f t="shared" si="62"/>
        <v>210.95000168786419</v>
      </c>
      <c r="R104" s="832">
        <f t="shared" si="63"/>
        <v>210.95000168786419</v>
      </c>
      <c r="S104" s="835">
        <f t="shared" si="64"/>
        <v>0</v>
      </c>
      <c r="T104" s="832">
        <f t="shared" si="65"/>
        <v>9526.4136047027168</v>
      </c>
      <c r="U104" s="832">
        <f t="shared" si="66"/>
        <v>477.61403217751854</v>
      </c>
      <c r="V104" s="839">
        <f t="shared" si="67"/>
        <v>318.40935478501234</v>
      </c>
      <c r="W104" s="1447"/>
      <c r="X104" s="1025">
        <f>'Recycling - Case 1'!AM154</f>
        <v>275.97231336590573</v>
      </c>
      <c r="Y104" s="1026">
        <f>Parameters!S205</f>
        <v>0.71500000000000008</v>
      </c>
      <c r="Z104" s="1027">
        <f t="shared" si="68"/>
        <v>0.4</v>
      </c>
      <c r="AA104" s="1028">
        <f t="shared" si="69"/>
        <v>39.464040811324523</v>
      </c>
      <c r="AB104" s="1028">
        <f t="shared" si="70"/>
        <v>39.464040811324523</v>
      </c>
      <c r="AC104" s="1029">
        <f t="shared" si="71"/>
        <v>0</v>
      </c>
      <c r="AD104" s="1028">
        <f t="shared" si="72"/>
        <v>5510.2221807655824</v>
      </c>
      <c r="AE104" s="1028">
        <f t="shared" si="73"/>
        <v>280.49176784351272</v>
      </c>
      <c r="AF104" s="1030">
        <f t="shared" si="74"/>
        <v>186.99451189567515</v>
      </c>
      <c r="AG104" s="104"/>
      <c r="AH104" s="1025">
        <f>'Recycling - Case 1'!AM194</f>
        <v>275.97231336590573</v>
      </c>
      <c r="AI104" s="1026">
        <f>Parameters!S205</f>
        <v>0.71500000000000008</v>
      </c>
      <c r="AJ104" s="1027">
        <f t="shared" si="75"/>
        <v>0.4</v>
      </c>
      <c r="AK104" s="1028">
        <f t="shared" si="76"/>
        <v>39.464040811324523</v>
      </c>
      <c r="AL104" s="1028">
        <f t="shared" si="77"/>
        <v>39.464040811324523</v>
      </c>
      <c r="AM104" s="1029">
        <f t="shared" si="78"/>
        <v>0</v>
      </c>
      <c r="AN104" s="1028">
        <f t="shared" si="79"/>
        <v>5510.2221807655824</v>
      </c>
      <c r="AO104" s="1028">
        <f t="shared" si="80"/>
        <v>280.49176784351272</v>
      </c>
      <c r="AP104" s="1030">
        <f t="shared" si="81"/>
        <v>186.99451189567515</v>
      </c>
      <c r="AQ104" s="104"/>
      <c r="AR104" s="1064">
        <f>'Recycling - Case 1'!G114</f>
        <v>721.09839567486108</v>
      </c>
      <c r="AS104" s="1065">
        <v>1</v>
      </c>
      <c r="AT104" s="1066">
        <f t="shared" si="82"/>
        <v>0.05</v>
      </c>
      <c r="AU104" s="1044">
        <f t="shared" si="83"/>
        <v>18.027459891871526</v>
      </c>
      <c r="AV104" s="1044">
        <f t="shared" si="84"/>
        <v>18.027459891871526</v>
      </c>
      <c r="AW104" s="1045">
        <f t="shared" si="85"/>
        <v>0</v>
      </c>
      <c r="AX104" s="1044">
        <f t="shared" si="51"/>
        <v>225.95229209016227</v>
      </c>
      <c r="AY104" s="1044">
        <f t="shared" si="54"/>
        <v>12.857353564165692</v>
      </c>
      <c r="AZ104" s="1067">
        <f t="shared" si="52"/>
        <v>8.5715690427771278</v>
      </c>
      <c r="BB104" s="1055">
        <f t="shared" si="86"/>
        <v>318.40935478501234</v>
      </c>
      <c r="BC104" s="1056">
        <f t="shared" si="87"/>
        <v>186.99451189567515</v>
      </c>
      <c r="BD104" s="1082">
        <f t="shared" si="101"/>
        <v>8.5715690427771278</v>
      </c>
      <c r="BE104" s="1056">
        <f t="shared" si="60"/>
        <v>513.97543572346467</v>
      </c>
      <c r="BF104" s="167">
        <v>0</v>
      </c>
      <c r="BG104" s="1075">
        <f t="shared" si="88"/>
        <v>513.97543572346467</v>
      </c>
      <c r="BI104" s="1055">
        <f t="shared" si="89"/>
        <v>318.40935478501234</v>
      </c>
      <c r="BJ104" s="1056">
        <f t="shared" si="90"/>
        <v>186.99451189567515</v>
      </c>
      <c r="BK104" s="1082">
        <f t="shared" si="91"/>
        <v>8.5715690427771278</v>
      </c>
      <c r="BL104" s="1056">
        <f t="shared" si="61"/>
        <v>513.97543572346467</v>
      </c>
      <c r="BM104" s="167">
        <v>0</v>
      </c>
      <c r="BN104" s="1075">
        <f t="shared" si="92"/>
        <v>513.97543572346467</v>
      </c>
    </row>
    <row r="105" spans="1:66">
      <c r="A105" s="927">
        <f>'Input data'!A135</f>
        <v>2035</v>
      </c>
      <c r="B105" s="824">
        <f>'Input data'!B135</f>
        <v>72.178572932855872</v>
      </c>
      <c r="C105" s="824">
        <f>'Recycling - Case 1'!AK115/B105</f>
        <v>283.98361306175786</v>
      </c>
      <c r="D105" s="826">
        <f>'Recycling - Case 1'!AM115</f>
        <v>0.20748601286069079</v>
      </c>
      <c r="E105" s="826">
        <f>'Recycling - Case 1'!BE115</f>
        <v>0.18560058190465437</v>
      </c>
      <c r="F105" s="826">
        <f>'Recycling - Case 1'!BF115</f>
        <v>0.23539174960811543</v>
      </c>
      <c r="G105" s="826">
        <f>'Recycling - Case 1'!BG115</f>
        <v>7.4981368837757439E-2</v>
      </c>
      <c r="H105" s="826">
        <f>'Recycling - Case 1'!BH115</f>
        <v>0</v>
      </c>
      <c r="I105" s="826">
        <f>'Recycling - Case 1'!BI115</f>
        <v>0</v>
      </c>
      <c r="J105" s="826">
        <f>'Recycling - Case 1'!BJ115</f>
        <v>0</v>
      </c>
      <c r="K105" s="826">
        <f>'Recycling - Case 1'!BK115</f>
        <v>0.50402629964947276</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0.10491098474242422</v>
      </c>
      <c r="Q105" s="832">
        <f t="shared" si="62"/>
        <v>200.50271972159325</v>
      </c>
      <c r="R105" s="832">
        <f t="shared" si="63"/>
        <v>200.50271972159325</v>
      </c>
      <c r="S105" s="835">
        <f t="shared" si="64"/>
        <v>0</v>
      </c>
      <c r="T105" s="832">
        <f t="shared" si="65"/>
        <v>9262.3076504787314</v>
      </c>
      <c r="U105" s="832">
        <f t="shared" si="66"/>
        <v>464.60867394557897</v>
      </c>
      <c r="V105" s="839">
        <f t="shared" si="67"/>
        <v>309.73911596371931</v>
      </c>
      <c r="W105" s="1447"/>
      <c r="X105" s="1025">
        <f>'Recycling - Case 1'!AM155</f>
        <v>525.93094710299533</v>
      </c>
      <c r="Y105" s="1026">
        <f>Parameters!S206</f>
        <v>0.71500000000000008</v>
      </c>
      <c r="Z105" s="1027">
        <f t="shared" si="68"/>
        <v>0.4</v>
      </c>
      <c r="AA105" s="1028">
        <f t="shared" si="69"/>
        <v>75.208125435728348</v>
      </c>
      <c r="AB105" s="1028">
        <f t="shared" si="70"/>
        <v>75.208125435728348</v>
      </c>
      <c r="AC105" s="1029">
        <f t="shared" si="71"/>
        <v>0</v>
      </c>
      <c r="AD105" s="1028">
        <f t="shared" si="72"/>
        <v>5316.6935993164425</v>
      </c>
      <c r="AE105" s="1028">
        <f t="shared" si="73"/>
        <v>268.73670688486811</v>
      </c>
      <c r="AF105" s="1030">
        <f t="shared" si="74"/>
        <v>179.15780458991208</v>
      </c>
      <c r="AG105" s="104"/>
      <c r="AH105" s="1025">
        <f>'Recycling - Case 1'!AM195</f>
        <v>525.93094710299533</v>
      </c>
      <c r="AI105" s="1026">
        <f>Parameters!S206</f>
        <v>0.71500000000000008</v>
      </c>
      <c r="AJ105" s="1027">
        <f t="shared" si="75"/>
        <v>0.4</v>
      </c>
      <c r="AK105" s="1028">
        <f t="shared" si="76"/>
        <v>75.208125435728348</v>
      </c>
      <c r="AL105" s="1028">
        <f t="shared" si="77"/>
        <v>75.208125435728348</v>
      </c>
      <c r="AM105" s="1029">
        <f t="shared" si="78"/>
        <v>0</v>
      </c>
      <c r="AN105" s="1028">
        <f t="shared" si="79"/>
        <v>5316.6935993164425</v>
      </c>
      <c r="AO105" s="1028">
        <f t="shared" si="80"/>
        <v>268.73670688486811</v>
      </c>
      <c r="AP105" s="1030">
        <f t="shared" si="81"/>
        <v>179.15780458991208</v>
      </c>
      <c r="AQ105" s="104"/>
      <c r="AR105" s="1064">
        <f>'Recycling - Case 1'!G115</f>
        <v>733.34605134386652</v>
      </c>
      <c r="AS105" s="1065">
        <v>1</v>
      </c>
      <c r="AT105" s="1066">
        <f t="shared" si="82"/>
        <v>0.05</v>
      </c>
      <c r="AU105" s="1044">
        <f t="shared" si="83"/>
        <v>18.333651283596662</v>
      </c>
      <c r="AV105" s="1044">
        <f t="shared" si="84"/>
        <v>18.333651283596662</v>
      </c>
      <c r="AW105" s="1045">
        <f t="shared" si="85"/>
        <v>0</v>
      </c>
      <c r="AX105" s="1044">
        <f t="shared" si="51"/>
        <v>231.12750625618025</v>
      </c>
      <c r="AY105" s="1044">
        <f t="shared" si="54"/>
        <v>13.15843711757867</v>
      </c>
      <c r="AZ105" s="1067">
        <f t="shared" si="52"/>
        <v>8.7722914117191131</v>
      </c>
      <c r="BB105" s="1055">
        <f t="shared" si="86"/>
        <v>309.73911596371931</v>
      </c>
      <c r="BC105" s="1056">
        <f t="shared" si="87"/>
        <v>179.15780458991208</v>
      </c>
      <c r="BD105" s="1082">
        <f t="shared" si="101"/>
        <v>8.7722914117191131</v>
      </c>
      <c r="BE105" s="1056">
        <f t="shared" si="60"/>
        <v>497.66921196535048</v>
      </c>
      <c r="BF105" s="167">
        <v>0</v>
      </c>
      <c r="BG105" s="1075">
        <f t="shared" si="88"/>
        <v>497.66921196535048</v>
      </c>
      <c r="BI105" s="1055">
        <f t="shared" si="89"/>
        <v>309.73911596371931</v>
      </c>
      <c r="BJ105" s="1056">
        <f t="shared" si="90"/>
        <v>179.15780458991208</v>
      </c>
      <c r="BK105" s="1082">
        <f t="shared" si="91"/>
        <v>8.7722914117191131</v>
      </c>
      <c r="BL105" s="1056">
        <f t="shared" si="61"/>
        <v>497.66921196535048</v>
      </c>
      <c r="BM105" s="167">
        <v>0</v>
      </c>
      <c r="BN105" s="1075">
        <f t="shared" si="92"/>
        <v>497.66921196535048</v>
      </c>
    </row>
    <row r="106" spans="1:66">
      <c r="A106" s="927">
        <f>'Input data'!A136</f>
        <v>2036</v>
      </c>
      <c r="B106" s="824">
        <f>'Input data'!B136</f>
        <v>72.865243718484663</v>
      </c>
      <c r="C106" s="824">
        <f>'Recycling - Case 1'!AK116/B106</f>
        <v>277.53377151338117</v>
      </c>
      <c r="D106" s="826">
        <f>'Recycling - Case 1'!AM116</f>
        <v>0.19726172627634811</v>
      </c>
      <c r="E106" s="826">
        <f>'Recycling - Case 1'!BE116</f>
        <v>0.18625061129726711</v>
      </c>
      <c r="F106" s="826">
        <f>'Recycling - Case 1'!BF116</f>
        <v>0.23621616273469936</v>
      </c>
      <c r="G106" s="826">
        <f>'Recycling - Case 1'!BG116</f>
        <v>7.4790428847876456E-2</v>
      </c>
      <c r="H106" s="826">
        <f>'Recycling - Case 1'!BH116</f>
        <v>0</v>
      </c>
      <c r="I106" s="826">
        <f>'Recycling - Case 1'!BI116</f>
        <v>0</v>
      </c>
      <c r="J106" s="826">
        <f>'Recycling - Case 1'!BJ116</f>
        <v>0</v>
      </c>
      <c r="K106" s="826">
        <f>'Recycling - Case 1'!BK116</f>
        <v>0.50274279712015701</v>
      </c>
      <c r="L106" s="827">
        <f t="shared" si="100"/>
        <v>1</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0.10509699578068052</v>
      </c>
      <c r="Q106" s="832">
        <f t="shared" si="62"/>
        <v>189.81382879882861</v>
      </c>
      <c r="R106" s="832">
        <f t="shared" si="63"/>
        <v>189.81382879882861</v>
      </c>
      <c r="S106" s="835">
        <f t="shared" si="64"/>
        <v>0</v>
      </c>
      <c r="T106" s="832">
        <f t="shared" si="65"/>
        <v>9000.393404712273</v>
      </c>
      <c r="U106" s="832">
        <f t="shared" si="66"/>
        <v>451.72807456528716</v>
      </c>
      <c r="V106" s="839">
        <f t="shared" si="67"/>
        <v>301.15204971019142</v>
      </c>
      <c r="W106" s="1447"/>
      <c r="X106" s="1025">
        <f>'Recycling - Case 1'!AM156</f>
        <v>751.59346149663963</v>
      </c>
      <c r="Y106" s="1026">
        <f>Parameters!S207</f>
        <v>0.71500000000000008</v>
      </c>
      <c r="Z106" s="1027">
        <f t="shared" si="68"/>
        <v>0.4</v>
      </c>
      <c r="AA106" s="1028">
        <f t="shared" si="69"/>
        <v>107.47786499401947</v>
      </c>
      <c r="AB106" s="1028">
        <f t="shared" si="70"/>
        <v>107.47786499401947</v>
      </c>
      <c r="AC106" s="1029">
        <f t="shared" si="71"/>
        <v>0</v>
      </c>
      <c r="AD106" s="1028">
        <f t="shared" si="72"/>
        <v>5164.8732577184292</v>
      </c>
      <c r="AE106" s="1028">
        <f t="shared" si="73"/>
        <v>259.29820659203313</v>
      </c>
      <c r="AF106" s="1030">
        <f t="shared" si="74"/>
        <v>172.86547106135541</v>
      </c>
      <c r="AG106" s="104"/>
      <c r="AH106" s="1025">
        <f>'Recycling - Case 1'!AM196</f>
        <v>751.59346149663963</v>
      </c>
      <c r="AI106" s="1026">
        <f>Parameters!S207</f>
        <v>0.71500000000000008</v>
      </c>
      <c r="AJ106" s="1027">
        <f t="shared" si="75"/>
        <v>0.4</v>
      </c>
      <c r="AK106" s="1028">
        <f t="shared" si="76"/>
        <v>107.47786499401947</v>
      </c>
      <c r="AL106" s="1028">
        <f t="shared" si="77"/>
        <v>107.47786499401947</v>
      </c>
      <c r="AM106" s="1029">
        <f t="shared" si="78"/>
        <v>0</v>
      </c>
      <c r="AN106" s="1028">
        <f t="shared" si="79"/>
        <v>5164.8732577184292</v>
      </c>
      <c r="AO106" s="1028">
        <f t="shared" si="80"/>
        <v>259.29820659203313</v>
      </c>
      <c r="AP106" s="1030">
        <f t="shared" si="81"/>
        <v>172.86547106135541</v>
      </c>
      <c r="AQ106" s="104"/>
      <c r="AR106" s="1064">
        <f>'Recycling - Case 1'!G116</f>
        <v>745.57045026949004</v>
      </c>
      <c r="AS106" s="1065">
        <v>1</v>
      </c>
      <c r="AT106" s="1066">
        <f t="shared" si="82"/>
        <v>0.05</v>
      </c>
      <c r="AU106" s="1044">
        <f t="shared" si="83"/>
        <v>18.639261256737253</v>
      </c>
      <c r="AV106" s="1044">
        <f t="shared" si="84"/>
        <v>18.639261256737253</v>
      </c>
      <c r="AW106" s="1045">
        <f t="shared" si="85"/>
        <v>0</v>
      </c>
      <c r="AX106" s="1044">
        <f t="shared" si="51"/>
        <v>236.30694938457938</v>
      </c>
      <c r="AY106" s="1044">
        <f t="shared" si="54"/>
        <v>13.45981812833813</v>
      </c>
      <c r="AZ106" s="1067">
        <f t="shared" si="52"/>
        <v>8.9732120855587532</v>
      </c>
      <c r="BB106" s="1055">
        <f t="shared" si="86"/>
        <v>301.15204971019142</v>
      </c>
      <c r="BC106" s="1056">
        <f t="shared" si="87"/>
        <v>172.86547106135541</v>
      </c>
      <c r="BD106" s="1082">
        <f t="shared" si="101"/>
        <v>8.9732120855587532</v>
      </c>
      <c r="BE106" s="1056">
        <f t="shared" si="60"/>
        <v>482.99073285710563</v>
      </c>
      <c r="BF106" s="167">
        <v>0</v>
      </c>
      <c r="BG106" s="1075">
        <f t="shared" si="88"/>
        <v>482.99073285710563</v>
      </c>
      <c r="BI106" s="1055">
        <f t="shared" si="89"/>
        <v>301.15204971019142</v>
      </c>
      <c r="BJ106" s="1056">
        <f t="shared" si="90"/>
        <v>172.86547106135541</v>
      </c>
      <c r="BK106" s="1082">
        <f t="shared" si="91"/>
        <v>8.9732120855587532</v>
      </c>
      <c r="BL106" s="1056">
        <f t="shared" si="61"/>
        <v>482.99073285710563</v>
      </c>
      <c r="BM106" s="167">
        <v>0</v>
      </c>
      <c r="BN106" s="1075">
        <f t="shared" si="92"/>
        <v>482.99073285710563</v>
      </c>
    </row>
    <row r="107" spans="1:66">
      <c r="A107" s="927">
        <f>'Input data'!A137</f>
        <v>2037</v>
      </c>
      <c r="B107" s="824">
        <f>'Input data'!B137</f>
        <v>73.539326072165721</v>
      </c>
      <c r="C107" s="824">
        <f>'Recycling - Case 1'!AK117/B107</f>
        <v>274.4065091277626</v>
      </c>
      <c r="D107" s="826">
        <f>'Recycling - Case 1'!AM117</f>
        <v>0.19328418486527615</v>
      </c>
      <c r="E107" s="826">
        <f>'Recycling - Case 1'!BE117</f>
        <v>0.18687379261410722</v>
      </c>
      <c r="F107" s="826">
        <f>'Recycling - Case 1'!BF117</f>
        <v>0.23700652523781612</v>
      </c>
      <c r="G107" s="826">
        <f>'Recycling - Case 1'!BG117</f>
        <v>7.4607375226480671E-2</v>
      </c>
      <c r="H107" s="826">
        <f>'Recycling - Case 1'!BH117</f>
        <v>0</v>
      </c>
      <c r="I107" s="826">
        <f>'Recycling - Case 1'!BI117</f>
        <v>0</v>
      </c>
      <c r="J107" s="826">
        <f>'Recycling - Case 1'!BJ117</f>
        <v>0</v>
      </c>
      <c r="K107" s="826">
        <f>'Recycling - Case 1'!BK117</f>
        <v>0.50151230692159599</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0.10527532403027157</v>
      </c>
      <c r="Q107" s="832">
        <f t="shared" si="62"/>
        <v>187.29269456183883</v>
      </c>
      <c r="R107" s="832">
        <f t="shared" si="63"/>
        <v>187.29269456183883</v>
      </c>
      <c r="S107" s="835">
        <f t="shared" si="64"/>
        <v>0</v>
      </c>
      <c r="T107" s="832">
        <f t="shared" si="65"/>
        <v>8748.7317332063158</v>
      </c>
      <c r="U107" s="832">
        <f t="shared" si="66"/>
        <v>438.95436606779555</v>
      </c>
      <c r="V107" s="839">
        <f t="shared" si="67"/>
        <v>292.63624404519703</v>
      </c>
      <c r="W107" s="1447"/>
      <c r="X107" s="1025">
        <f>'Recycling - Case 1'!AM157</f>
        <v>675.04096025236208</v>
      </c>
      <c r="Y107" s="1026">
        <f>Parameters!S208</f>
        <v>0.71500000000000008</v>
      </c>
      <c r="Z107" s="1027">
        <f t="shared" si="68"/>
        <v>0.4</v>
      </c>
      <c r="AA107" s="1028">
        <f t="shared" si="69"/>
        <v>96.53085731608779</v>
      </c>
      <c r="AB107" s="1028">
        <f t="shared" si="70"/>
        <v>96.53085731608779</v>
      </c>
      <c r="AC107" s="1029">
        <f t="shared" si="71"/>
        <v>0</v>
      </c>
      <c r="AD107" s="1028">
        <f t="shared" si="72"/>
        <v>5009.5102738747164</v>
      </c>
      <c r="AE107" s="1028">
        <f t="shared" si="73"/>
        <v>251.89384115979982</v>
      </c>
      <c r="AF107" s="1030">
        <f t="shared" si="74"/>
        <v>167.92922743986654</v>
      </c>
      <c r="AG107" s="104"/>
      <c r="AH107" s="1025">
        <f>'Recycling - Case 1'!AM197</f>
        <v>675.04096025236208</v>
      </c>
      <c r="AI107" s="1026">
        <f>Parameters!S208</f>
        <v>0.71500000000000008</v>
      </c>
      <c r="AJ107" s="1027">
        <f t="shared" si="75"/>
        <v>0.4</v>
      </c>
      <c r="AK107" s="1028">
        <f t="shared" si="76"/>
        <v>96.53085731608779</v>
      </c>
      <c r="AL107" s="1028">
        <f t="shared" si="77"/>
        <v>96.53085731608779</v>
      </c>
      <c r="AM107" s="1029">
        <f t="shared" si="78"/>
        <v>0</v>
      </c>
      <c r="AN107" s="1028">
        <f t="shared" si="79"/>
        <v>5009.5102738747164</v>
      </c>
      <c r="AO107" s="1028">
        <f t="shared" si="80"/>
        <v>251.89384115979982</v>
      </c>
      <c r="AP107" s="1030">
        <f t="shared" si="81"/>
        <v>167.92922743986654</v>
      </c>
      <c r="AQ107" s="104"/>
      <c r="AR107" s="1064">
        <f>'Recycling - Case 1'!G117</f>
        <v>757.76404270574221</v>
      </c>
      <c r="AS107" s="1065">
        <v>1</v>
      </c>
      <c r="AT107" s="1066">
        <f t="shared" si="82"/>
        <v>0.05</v>
      </c>
      <c r="AU107" s="1044">
        <f t="shared" si="83"/>
        <v>18.944101067643555</v>
      </c>
      <c r="AV107" s="1044">
        <f t="shared" si="84"/>
        <v>18.944101067643555</v>
      </c>
      <c r="AW107" s="1045">
        <f t="shared" si="85"/>
        <v>0</v>
      </c>
      <c r="AX107" s="1044">
        <f t="shared" si="51"/>
        <v>241.48960503752861</v>
      </c>
      <c r="AY107" s="1044">
        <f t="shared" si="54"/>
        <v>13.761445414694311</v>
      </c>
      <c r="AZ107" s="1067">
        <f t="shared" si="52"/>
        <v>9.1742969431295407</v>
      </c>
      <c r="BB107" s="1055">
        <f t="shared" si="86"/>
        <v>292.63624404519703</v>
      </c>
      <c r="BC107" s="1056">
        <f t="shared" si="87"/>
        <v>167.92922743986654</v>
      </c>
      <c r="BD107" s="1082">
        <f t="shared" si="101"/>
        <v>9.1742969431295407</v>
      </c>
      <c r="BE107" s="1056">
        <f t="shared" si="60"/>
        <v>469.73976842819309</v>
      </c>
      <c r="BF107" s="167">
        <v>0</v>
      </c>
      <c r="BG107" s="1075">
        <f t="shared" si="88"/>
        <v>469.73976842819309</v>
      </c>
      <c r="BI107" s="1055">
        <f t="shared" si="89"/>
        <v>292.63624404519703</v>
      </c>
      <c r="BJ107" s="1056">
        <f t="shared" si="90"/>
        <v>167.92922743986654</v>
      </c>
      <c r="BK107" s="1082">
        <f t="shared" si="91"/>
        <v>9.1742969431295407</v>
      </c>
      <c r="BL107" s="1056">
        <f t="shared" si="61"/>
        <v>469.73976842819309</v>
      </c>
      <c r="BM107" s="167">
        <v>0</v>
      </c>
      <c r="BN107" s="1075">
        <f t="shared" si="92"/>
        <v>469.73976842819309</v>
      </c>
    </row>
    <row r="108" spans="1:66">
      <c r="A108" s="927">
        <f>'Input data'!A138</f>
        <v>2038</v>
      </c>
      <c r="B108" s="824">
        <f>'Input data'!B138</f>
        <v>74.200346452615136</v>
      </c>
      <c r="C108" s="824">
        <f>'Recycling - Case 1'!AK118/B108</f>
        <v>269.96140886171889</v>
      </c>
      <c r="D108" s="826">
        <f>'Recycling - Case 1'!AM118</f>
        <v>0.18637150759520707</v>
      </c>
      <c r="E108" s="826">
        <f>'Recycling - Case 1'!BE118</f>
        <v>0.18747102608739924</v>
      </c>
      <c r="F108" s="826">
        <f>'Recycling - Case 1'!BF118</f>
        <v>0.23776397885547207</v>
      </c>
      <c r="G108" s="826">
        <f>'Recycling - Case 1'!BG118</f>
        <v>7.4431943538863274E-2</v>
      </c>
      <c r="H108" s="826">
        <f>'Recycling - Case 1'!BH118</f>
        <v>0</v>
      </c>
      <c r="I108" s="826">
        <f>'Recycling - Case 1'!BI118</f>
        <v>0</v>
      </c>
      <c r="J108" s="826">
        <f>'Recycling - Case 1'!BJ118</f>
        <v>0</v>
      </c>
      <c r="K108" s="826">
        <f>'Recycling - Case 1'!BK118</f>
        <v>0.50033305151826535</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0.10544622709974961</v>
      </c>
      <c r="Q108" s="832">
        <f t="shared" si="62"/>
        <v>180.88547648082832</v>
      </c>
      <c r="R108" s="832">
        <f t="shared" si="63"/>
        <v>180.88547648082832</v>
      </c>
      <c r="S108" s="835">
        <f t="shared" si="64"/>
        <v>0</v>
      </c>
      <c r="T108" s="832">
        <f t="shared" si="65"/>
        <v>8502.9365281698047</v>
      </c>
      <c r="U108" s="832">
        <f t="shared" si="66"/>
        <v>426.68068151733775</v>
      </c>
      <c r="V108" s="839">
        <f t="shared" si="67"/>
        <v>284.45378767822518</v>
      </c>
      <c r="W108" s="1447"/>
      <c r="X108" s="1025">
        <f>'Recycling - Case 1'!AM158</f>
        <v>756.10702882344106</v>
      </c>
      <c r="Y108" s="1026">
        <f>Parameters!S209</f>
        <v>0.71500000000000008</v>
      </c>
      <c r="Z108" s="1027">
        <f t="shared" si="68"/>
        <v>0.4</v>
      </c>
      <c r="AA108" s="1028">
        <f t="shared" si="69"/>
        <v>108.1233051217521</v>
      </c>
      <c r="AB108" s="1028">
        <f t="shared" si="70"/>
        <v>108.1233051217521</v>
      </c>
      <c r="AC108" s="1029">
        <f t="shared" si="71"/>
        <v>0</v>
      </c>
      <c r="AD108" s="1028">
        <f t="shared" si="72"/>
        <v>4873.3168799700134</v>
      </c>
      <c r="AE108" s="1028">
        <f t="shared" si="73"/>
        <v>244.31669902645567</v>
      </c>
      <c r="AF108" s="1030">
        <f t="shared" si="74"/>
        <v>162.87779935097043</v>
      </c>
      <c r="AG108" s="104"/>
      <c r="AH108" s="1025">
        <f>'Recycling - Case 1'!AM198</f>
        <v>756.10702882344106</v>
      </c>
      <c r="AI108" s="1026">
        <f>Parameters!S209</f>
        <v>0.71500000000000008</v>
      </c>
      <c r="AJ108" s="1027">
        <f t="shared" si="75"/>
        <v>0.4</v>
      </c>
      <c r="AK108" s="1028">
        <f t="shared" si="76"/>
        <v>108.1233051217521</v>
      </c>
      <c r="AL108" s="1028">
        <f t="shared" si="77"/>
        <v>108.1233051217521</v>
      </c>
      <c r="AM108" s="1029">
        <f t="shared" si="78"/>
        <v>0</v>
      </c>
      <c r="AN108" s="1028">
        <f t="shared" si="79"/>
        <v>4873.3168799700134</v>
      </c>
      <c r="AO108" s="1028">
        <f t="shared" si="80"/>
        <v>244.31669902645567</v>
      </c>
      <c r="AP108" s="1030">
        <f t="shared" si="81"/>
        <v>162.87779935097043</v>
      </c>
      <c r="AQ108" s="104"/>
      <c r="AR108" s="1064">
        <f>'Recycling - Case 1'!G118</f>
        <v>769.91919524922071</v>
      </c>
      <c r="AS108" s="1065">
        <v>1</v>
      </c>
      <c r="AT108" s="1066">
        <f t="shared" si="82"/>
        <v>0.05</v>
      </c>
      <c r="AU108" s="1044">
        <f t="shared" si="83"/>
        <v>19.247979881230521</v>
      </c>
      <c r="AV108" s="1044">
        <f t="shared" si="84"/>
        <v>19.247979881230521</v>
      </c>
      <c r="AW108" s="1045">
        <f t="shared" si="85"/>
        <v>0</v>
      </c>
      <c r="AX108" s="1044">
        <f t="shared" si="51"/>
        <v>246.67432513484309</v>
      </c>
      <c r="AY108" s="1044">
        <f t="shared" si="54"/>
        <v>14.063259783916038</v>
      </c>
      <c r="AZ108" s="1067">
        <f t="shared" si="52"/>
        <v>9.3755065226106922</v>
      </c>
      <c r="BB108" s="1055">
        <f t="shared" si="86"/>
        <v>284.45378767822518</v>
      </c>
      <c r="BC108" s="1056">
        <f t="shared" si="87"/>
        <v>162.87779935097043</v>
      </c>
      <c r="BD108" s="1082">
        <f t="shared" si="101"/>
        <v>9.3755065226106922</v>
      </c>
      <c r="BE108" s="1056">
        <f t="shared" si="60"/>
        <v>456.70709355180628</v>
      </c>
      <c r="BF108" s="167">
        <v>0</v>
      </c>
      <c r="BG108" s="1075">
        <f t="shared" si="88"/>
        <v>456.70709355180628</v>
      </c>
      <c r="BI108" s="1055">
        <f t="shared" si="89"/>
        <v>284.45378767822518</v>
      </c>
      <c r="BJ108" s="1056">
        <f t="shared" si="90"/>
        <v>162.87779935097043</v>
      </c>
      <c r="BK108" s="1082">
        <f t="shared" si="91"/>
        <v>9.3755065226106922</v>
      </c>
      <c r="BL108" s="1056">
        <f t="shared" si="61"/>
        <v>456.70709355180628</v>
      </c>
      <c r="BM108" s="167">
        <v>0</v>
      </c>
      <c r="BN108" s="1075">
        <f t="shared" si="92"/>
        <v>456.70709355180628</v>
      </c>
    </row>
    <row r="109" spans="1:66">
      <c r="A109" s="927">
        <f>'Input data'!A139</f>
        <v>2039</v>
      </c>
      <c r="B109" s="824">
        <f>'Input data'!B139</f>
        <v>74.847837096563296</v>
      </c>
      <c r="C109" s="824">
        <f>'Recycling - Case 1'!AK119/B109</f>
        <v>265.62682372273815</v>
      </c>
      <c r="D109" s="826">
        <f>'Recycling - Case 1'!AM119</f>
        <v>0.17936641359108468</v>
      </c>
      <c r="E109" s="826">
        <f>'Recycling - Case 1'!BE119</f>
        <v>0.18804316182644629</v>
      </c>
      <c r="F109" s="826">
        <f>'Recycling - Case 1'!BF119</f>
        <v>0.23848960175624939</v>
      </c>
      <c r="G109" s="826">
        <f>'Recycling - Case 1'!BG119</f>
        <v>7.4263884073451886E-2</v>
      </c>
      <c r="H109" s="826">
        <f>'Recycling - Case 1'!BH119</f>
        <v>0</v>
      </c>
      <c r="I109" s="826">
        <f>'Recycling - Case 1'!BI119</f>
        <v>0</v>
      </c>
      <c r="J109" s="826">
        <f>'Recycling - Case 1'!BJ119</f>
        <v>0</v>
      </c>
      <c r="K109" s="826">
        <f>'Recycling - Case 1'!BK119</f>
        <v>0.49920335234385238</v>
      </c>
      <c r="L109" s="827">
        <f t="shared" si="100"/>
        <v>0.99999999999999989</v>
      </c>
      <c r="M109" s="104"/>
      <c r="N109" s="838">
        <f t="shared" si="57"/>
        <v>3566.0900742274539</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0.10560994825459757</v>
      </c>
      <c r="Q109" s="832">
        <f t="shared" si="62"/>
        <v>174.32547751788681</v>
      </c>
      <c r="R109" s="832">
        <f t="shared" si="63"/>
        <v>174.32547751788681</v>
      </c>
      <c r="S109" s="835">
        <f t="shared" si="64"/>
        <v>0</v>
      </c>
      <c r="T109" s="832">
        <f t="shared" si="65"/>
        <v>8262.5688977749505</v>
      </c>
      <c r="U109" s="832">
        <f t="shared" si="66"/>
        <v>414.69310791274211</v>
      </c>
      <c r="V109" s="839">
        <f t="shared" si="67"/>
        <v>276.46207194182807</v>
      </c>
      <c r="W109" s="1447"/>
      <c r="X109" s="1025">
        <f>'Recycling - Case 1'!AM159</f>
        <v>840.2281800397443</v>
      </c>
      <c r="Y109" s="1026">
        <f>Parameters!S210</f>
        <v>0.71500000000000008</v>
      </c>
      <c r="Z109" s="1027">
        <f t="shared" si="68"/>
        <v>0.4</v>
      </c>
      <c r="AA109" s="1028">
        <f t="shared" si="69"/>
        <v>120.15262974568346</v>
      </c>
      <c r="AB109" s="1028">
        <f t="shared" si="70"/>
        <v>120.15262974568346</v>
      </c>
      <c r="AC109" s="1029">
        <f t="shared" si="71"/>
        <v>0</v>
      </c>
      <c r="AD109" s="1028">
        <f t="shared" si="72"/>
        <v>4755.7950408891738</v>
      </c>
      <c r="AE109" s="1028">
        <f t="shared" si="73"/>
        <v>237.67446882652234</v>
      </c>
      <c r="AF109" s="1030">
        <f t="shared" si="74"/>
        <v>158.44964588434823</v>
      </c>
      <c r="AG109" s="104"/>
      <c r="AH109" s="1025">
        <f>'Recycling - Case 1'!AM199</f>
        <v>840.2281800397443</v>
      </c>
      <c r="AI109" s="1026">
        <f>Parameters!S210</f>
        <v>0.71500000000000008</v>
      </c>
      <c r="AJ109" s="1027">
        <f t="shared" si="75"/>
        <v>0.4</v>
      </c>
      <c r="AK109" s="1028">
        <f t="shared" si="76"/>
        <v>120.15262974568346</v>
      </c>
      <c r="AL109" s="1028">
        <f t="shared" si="77"/>
        <v>120.15262974568346</v>
      </c>
      <c r="AM109" s="1029">
        <f t="shared" si="78"/>
        <v>0</v>
      </c>
      <c r="AN109" s="1028">
        <f t="shared" si="79"/>
        <v>4755.7950408891738</v>
      </c>
      <c r="AO109" s="1028">
        <f t="shared" si="80"/>
        <v>237.67446882652234</v>
      </c>
      <c r="AP109" s="1030">
        <f t="shared" si="81"/>
        <v>158.44964588434823</v>
      </c>
      <c r="AQ109" s="104"/>
      <c r="AR109" s="1064">
        <f>'Recycling - Case 1'!G119</f>
        <v>782.02819844994747</v>
      </c>
      <c r="AS109" s="1065">
        <v>1</v>
      </c>
      <c r="AT109" s="1066">
        <f t="shared" si="82"/>
        <v>0.05</v>
      </c>
      <c r="AU109" s="1044">
        <f t="shared" si="83"/>
        <v>19.550704961248687</v>
      </c>
      <c r="AV109" s="1044">
        <f t="shared" si="84"/>
        <v>19.550704961248687</v>
      </c>
      <c r="AW109" s="1045">
        <f t="shared" si="85"/>
        <v>0</v>
      </c>
      <c r="AX109" s="1044">
        <f t="shared" si="51"/>
        <v>251.85983571907352</v>
      </c>
      <c r="AY109" s="1044">
        <f t="shared" si="54"/>
        <v>14.365194377018266</v>
      </c>
      <c r="AZ109" s="1067">
        <f t="shared" si="52"/>
        <v>9.5767962513455114</v>
      </c>
      <c r="BB109" s="1055">
        <f t="shared" si="86"/>
        <v>276.46207194182807</v>
      </c>
      <c r="BC109" s="1056">
        <f t="shared" si="87"/>
        <v>158.44964588434823</v>
      </c>
      <c r="BD109" s="1082">
        <f t="shared" si="101"/>
        <v>9.5767962513455114</v>
      </c>
      <c r="BE109" s="1056">
        <f t="shared" si="60"/>
        <v>444.48851407752181</v>
      </c>
      <c r="BF109" s="167">
        <v>0</v>
      </c>
      <c r="BG109" s="1075">
        <f t="shared" si="88"/>
        <v>444.48851407752181</v>
      </c>
      <c r="BI109" s="1055">
        <f t="shared" si="89"/>
        <v>276.46207194182807</v>
      </c>
      <c r="BJ109" s="1056">
        <f t="shared" si="90"/>
        <v>158.44964588434823</v>
      </c>
      <c r="BK109" s="1082">
        <f t="shared" si="91"/>
        <v>9.5767962513455114</v>
      </c>
      <c r="BL109" s="1056">
        <f t="shared" si="61"/>
        <v>444.48851407752181</v>
      </c>
      <c r="BM109" s="167">
        <v>0</v>
      </c>
      <c r="BN109" s="1075">
        <f t="shared" si="92"/>
        <v>444.48851407752181</v>
      </c>
    </row>
    <row r="110" spans="1:66">
      <c r="A110" s="927">
        <f>'Input data'!A140</f>
        <v>2040</v>
      </c>
      <c r="B110" s="824">
        <f>'Input data'!B140</f>
        <v>75.481336564720067</v>
      </c>
      <c r="C110" s="824">
        <f>'Recycling - Case 1'!AK120/B110</f>
        <v>261.39820182646918</v>
      </c>
      <c r="D110" s="826">
        <f>'Recycling - Case 1'!AM120</f>
        <v>0.1722661676528332</v>
      </c>
      <c r="E110" s="826">
        <f>'Recycling - Case 1'!BE120</f>
        <v>0.18859100264617318</v>
      </c>
      <c r="F110" s="826">
        <f>'Recycling - Case 1'!BF120</f>
        <v>0.23918441212666358</v>
      </c>
      <c r="G110" s="826">
        <f>'Recycling - Case 1'!BG120</f>
        <v>7.4102961010950735E-2</v>
      </c>
      <c r="H110" s="826">
        <f>'Recycling - Case 1'!BH120</f>
        <v>0</v>
      </c>
      <c r="I110" s="826">
        <f>'Recycling - Case 1'!BI120</f>
        <v>0</v>
      </c>
      <c r="J110" s="826">
        <f>'Recycling - Case 1'!BJ120</f>
        <v>0</v>
      </c>
      <c r="K110" s="826">
        <f>'Recycling - Case 1'!BK120</f>
        <v>0.49812162421621275</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0.105766717226639</v>
      </c>
      <c r="Q110" s="832">
        <f t="shared" si="62"/>
        <v>167.61390316342721</v>
      </c>
      <c r="R110" s="832">
        <f t="shared" si="63"/>
        <v>167.61390316342721</v>
      </c>
      <c r="S110" s="835">
        <f t="shared" si="64"/>
        <v>0</v>
      </c>
      <c r="T110" s="832">
        <f t="shared" si="65"/>
        <v>8027.2125606913924</v>
      </c>
      <c r="U110" s="832">
        <f t="shared" si="66"/>
        <v>402.97024024698538</v>
      </c>
      <c r="V110" s="839">
        <f t="shared" si="67"/>
        <v>268.64682683132361</v>
      </c>
      <c r="W110" s="1447"/>
      <c r="X110" s="1025">
        <f>'Recycling - Case 1'!AM160</f>
        <v>926.94800574856799</v>
      </c>
      <c r="Y110" s="1026">
        <f>Parameters!S211</f>
        <v>0.71500000000000008</v>
      </c>
      <c r="Z110" s="1027">
        <f t="shared" si="68"/>
        <v>0.4</v>
      </c>
      <c r="AA110" s="1028">
        <f t="shared" si="69"/>
        <v>132.55356482204525</v>
      </c>
      <c r="AB110" s="1028">
        <f t="shared" si="70"/>
        <v>132.55356482204525</v>
      </c>
      <c r="AC110" s="1029">
        <f t="shared" si="71"/>
        <v>0</v>
      </c>
      <c r="AD110" s="1028">
        <f t="shared" si="72"/>
        <v>4656.4057446104034</v>
      </c>
      <c r="AE110" s="1028">
        <f t="shared" si="73"/>
        <v>231.94286110081532</v>
      </c>
      <c r="AF110" s="1030">
        <f t="shared" si="74"/>
        <v>154.62857406721022</v>
      </c>
      <c r="AG110" s="104"/>
      <c r="AH110" s="1025">
        <f>'Recycling - Case 1'!AM200</f>
        <v>926.94800574856799</v>
      </c>
      <c r="AI110" s="1026">
        <f>Parameters!S211</f>
        <v>0.71500000000000008</v>
      </c>
      <c r="AJ110" s="1027">
        <f t="shared" si="75"/>
        <v>0.4</v>
      </c>
      <c r="AK110" s="1028">
        <f t="shared" si="76"/>
        <v>132.55356482204525</v>
      </c>
      <c r="AL110" s="1028">
        <f t="shared" si="77"/>
        <v>132.55356482204525</v>
      </c>
      <c r="AM110" s="1029">
        <f t="shared" si="78"/>
        <v>0</v>
      </c>
      <c r="AN110" s="1028">
        <f t="shared" si="79"/>
        <v>4656.4057446104034</v>
      </c>
      <c r="AO110" s="1028">
        <f t="shared" si="80"/>
        <v>231.94286110081532</v>
      </c>
      <c r="AP110" s="1030">
        <f t="shared" si="81"/>
        <v>154.62857406721022</v>
      </c>
      <c r="AQ110" s="104"/>
      <c r="AR110" s="1064">
        <f>'Recycling - Case 1'!G120</f>
        <v>794.08327463571106</v>
      </c>
      <c r="AS110" s="1065">
        <v>1</v>
      </c>
      <c r="AT110" s="1066">
        <f t="shared" si="82"/>
        <v>0.05</v>
      </c>
      <c r="AU110" s="1044">
        <f t="shared" si="83"/>
        <v>19.852081865892778</v>
      </c>
      <c r="AV110" s="1044">
        <f t="shared" si="84"/>
        <v>19.852081865892778</v>
      </c>
      <c r="AW110" s="1045">
        <f t="shared" si="85"/>
        <v>0</v>
      </c>
      <c r="AX110" s="1044">
        <f t="shared" si="51"/>
        <v>257.04474258047156</v>
      </c>
      <c r="AY110" s="1044">
        <f t="shared" si="54"/>
        <v>14.667175004494741</v>
      </c>
      <c r="AZ110" s="1067">
        <f t="shared" si="52"/>
        <v>9.7781166696631612</v>
      </c>
      <c r="BB110" s="1055">
        <f t="shared" si="86"/>
        <v>268.64682683132361</v>
      </c>
      <c r="BC110" s="1056">
        <f t="shared" si="87"/>
        <v>154.62857406721022</v>
      </c>
      <c r="BD110" s="1082">
        <f t="shared" si="101"/>
        <v>9.7781166696631612</v>
      </c>
      <c r="BE110" s="1056">
        <f t="shared" si="60"/>
        <v>433.05351756819698</v>
      </c>
      <c r="BF110" s="167">
        <v>0</v>
      </c>
      <c r="BG110" s="1075">
        <f t="shared" si="88"/>
        <v>433.05351756819698</v>
      </c>
      <c r="BI110" s="1055">
        <f t="shared" si="89"/>
        <v>268.64682683132361</v>
      </c>
      <c r="BJ110" s="1056">
        <f t="shared" si="90"/>
        <v>154.62857406721022</v>
      </c>
      <c r="BK110" s="1082">
        <f t="shared" si="91"/>
        <v>9.7781166696631612</v>
      </c>
      <c r="BL110" s="1056">
        <f t="shared" si="61"/>
        <v>433.05351756819698</v>
      </c>
      <c r="BM110" s="167">
        <v>0</v>
      </c>
      <c r="BN110" s="1075">
        <f t="shared" si="92"/>
        <v>433.05351756819698</v>
      </c>
    </row>
    <row r="111" spans="1:66">
      <c r="A111" s="927">
        <f>'Input data'!A141</f>
        <v>2041</v>
      </c>
      <c r="B111" s="824">
        <f>'Input data'!B141</f>
        <v>76.101885632753024</v>
      </c>
      <c r="C111" s="824">
        <f>'Recycling - Case 1'!AK121/B111</f>
        <v>257.26831712262037</v>
      </c>
      <c r="D111" s="826">
        <f>'Recycling - Case 1'!AM121</f>
        <v>0.16506637153890627</v>
      </c>
      <c r="E111" s="826">
        <f>'Recycling - Case 1'!BE121</f>
        <v>0.18911656021904735</v>
      </c>
      <c r="F111" s="826">
        <f>'Recycling - Case 1'!BF121</f>
        <v>0.23985096131163436</v>
      </c>
      <c r="G111" s="826">
        <f>'Recycling - Case 1'!BG121</f>
        <v>7.3948583441587112E-2</v>
      </c>
      <c r="H111" s="826">
        <f>'Recycling - Case 1'!BH121</f>
        <v>0</v>
      </c>
      <c r="I111" s="826">
        <f>'Recycling - Case 1'!BI121</f>
        <v>0</v>
      </c>
      <c r="J111" s="826">
        <f>'Recycling - Case 1'!BJ121</f>
        <v>0</v>
      </c>
      <c r="K111" s="826">
        <f>'Recycling - Case 1'!BK121</f>
        <v>0.49708389502773132</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0.10591710967181883</v>
      </c>
      <c r="Q111" s="832">
        <f t="shared" si="62"/>
        <v>160.75247094829331</v>
      </c>
      <c r="R111" s="832">
        <f t="shared" si="63"/>
        <v>160.75247094829331</v>
      </c>
      <c r="S111" s="835">
        <f t="shared" si="64"/>
        <v>0</v>
      </c>
      <c r="T111" s="832">
        <f t="shared" si="65"/>
        <v>7796.4732553996691</v>
      </c>
      <c r="U111" s="832">
        <f t="shared" si="66"/>
        <v>391.49177624001635</v>
      </c>
      <c r="V111" s="839">
        <f t="shared" si="67"/>
        <v>260.99451749334423</v>
      </c>
      <c r="W111" s="1447"/>
      <c r="X111" s="1025">
        <f>'Recycling - Case 1'!AM161</f>
        <v>929.0469346067764</v>
      </c>
      <c r="Y111" s="1026">
        <f>Parameters!S212</f>
        <v>0.71500000000000008</v>
      </c>
      <c r="Z111" s="1027">
        <f t="shared" si="68"/>
        <v>0.4</v>
      </c>
      <c r="AA111" s="1028">
        <f t="shared" si="69"/>
        <v>132.85371164876906</v>
      </c>
      <c r="AB111" s="1028">
        <f t="shared" si="70"/>
        <v>132.85371164876906</v>
      </c>
      <c r="AC111" s="1029">
        <f t="shared" si="71"/>
        <v>0</v>
      </c>
      <c r="AD111" s="1028">
        <f t="shared" si="72"/>
        <v>4562.1638683363417</v>
      </c>
      <c r="AE111" s="1028">
        <f t="shared" si="73"/>
        <v>227.09558792283065</v>
      </c>
      <c r="AF111" s="1030">
        <f t="shared" si="74"/>
        <v>151.39705861522043</v>
      </c>
      <c r="AG111" s="104"/>
      <c r="AH111" s="1025">
        <f>'Recycling - Case 1'!AM201</f>
        <v>929.0469346067764</v>
      </c>
      <c r="AI111" s="1026">
        <f>Parameters!S212</f>
        <v>0.71500000000000008</v>
      </c>
      <c r="AJ111" s="1027">
        <f t="shared" si="75"/>
        <v>0.4</v>
      </c>
      <c r="AK111" s="1028">
        <f t="shared" si="76"/>
        <v>132.85371164876906</v>
      </c>
      <c r="AL111" s="1028">
        <f t="shared" si="77"/>
        <v>132.85371164876906</v>
      </c>
      <c r="AM111" s="1029">
        <f t="shared" si="78"/>
        <v>0</v>
      </c>
      <c r="AN111" s="1028">
        <f t="shared" si="79"/>
        <v>4562.1638683363417</v>
      </c>
      <c r="AO111" s="1028">
        <f t="shared" si="80"/>
        <v>227.09558792283065</v>
      </c>
      <c r="AP111" s="1030">
        <f t="shared" si="81"/>
        <v>151.39705861522043</v>
      </c>
      <c r="AQ111" s="104"/>
      <c r="AR111" s="1064">
        <f>'Recycling - Case 1'!G121</f>
        <v>806.09242508430111</v>
      </c>
      <c r="AS111" s="1065">
        <v>1</v>
      </c>
      <c r="AT111" s="1066">
        <f t="shared" si="82"/>
        <v>0.05</v>
      </c>
      <c r="AU111" s="1044">
        <f t="shared" si="83"/>
        <v>20.152310627107529</v>
      </c>
      <c r="AV111" s="1044">
        <f t="shared" si="84"/>
        <v>20.152310627107529</v>
      </c>
      <c r="AW111" s="1045">
        <f t="shared" si="85"/>
        <v>0</v>
      </c>
      <c r="AX111" s="1044">
        <f t="shared" si="51"/>
        <v>262.22793273368859</v>
      </c>
      <c r="AY111" s="1044">
        <f t="shared" si="54"/>
        <v>14.969120473890484</v>
      </c>
      <c r="AZ111" s="1067">
        <f t="shared" si="52"/>
        <v>9.9794136492603229</v>
      </c>
      <c r="BB111" s="1055">
        <f t="shared" si="86"/>
        <v>260.99451749334423</v>
      </c>
      <c r="BC111" s="1056">
        <f t="shared" si="87"/>
        <v>151.39705861522043</v>
      </c>
      <c r="BD111" s="1082">
        <f t="shared" si="101"/>
        <v>9.9794136492603229</v>
      </c>
      <c r="BE111" s="1056">
        <f t="shared" si="60"/>
        <v>422.37098975782499</v>
      </c>
      <c r="BF111" s="167">
        <v>0</v>
      </c>
      <c r="BG111" s="1075">
        <f t="shared" si="88"/>
        <v>422.37098975782499</v>
      </c>
      <c r="BI111" s="1055">
        <f t="shared" si="89"/>
        <v>260.99451749334423</v>
      </c>
      <c r="BJ111" s="1056">
        <f t="shared" si="90"/>
        <v>151.39705861522043</v>
      </c>
      <c r="BK111" s="1082">
        <f t="shared" si="91"/>
        <v>9.9794136492603229</v>
      </c>
      <c r="BL111" s="1056">
        <f t="shared" si="61"/>
        <v>422.37098975782499</v>
      </c>
      <c r="BM111" s="167">
        <v>0</v>
      </c>
      <c r="BN111" s="1075">
        <f t="shared" si="92"/>
        <v>422.37098975782499</v>
      </c>
    </row>
    <row r="112" spans="1:66">
      <c r="A112" s="927">
        <f>'Input data'!A142</f>
        <v>2042</v>
      </c>
      <c r="B112" s="824">
        <f>'Input data'!B142</f>
        <v>76.709073592680113</v>
      </c>
      <c r="C112" s="824">
        <f>'Recycling - Case 1'!AK122/B112</f>
        <v>253.23319036529668</v>
      </c>
      <c r="D112" s="826">
        <f>'Recycling - Case 1'!AM122</f>
        <v>0.15776390947711202</v>
      </c>
      <c r="E112" s="826">
        <f>'Recycling - Case 1'!BE122</f>
        <v>0.18962050647818912</v>
      </c>
      <c r="F112" s="826">
        <f>'Recycling - Case 1'!BF122</f>
        <v>0.24049010150414071</v>
      </c>
      <c r="G112" s="826">
        <f>'Recycling - Case 1'!BG122</f>
        <v>7.3800553991358195E-2</v>
      </c>
      <c r="H112" s="826">
        <f>'Recycling - Case 1'!BH122</f>
        <v>0</v>
      </c>
      <c r="I112" s="826">
        <f>'Recycling - Case 1'!BI122</f>
        <v>0</v>
      </c>
      <c r="J112" s="826">
        <f>'Recycling - Case 1'!BJ122</f>
        <v>0</v>
      </c>
      <c r="K112" s="826">
        <f>'Recycling - Case 1'!BK122</f>
        <v>0.49608883802631193</v>
      </c>
      <c r="L112" s="827">
        <f t="shared" si="100"/>
        <v>1</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0.10606131786909978</v>
      </c>
      <c r="Q112" s="832">
        <f t="shared" si="62"/>
        <v>153.74223279559621</v>
      </c>
      <c r="R112" s="832">
        <f t="shared" si="63"/>
        <v>153.74223279559621</v>
      </c>
      <c r="S112" s="835">
        <f t="shared" si="64"/>
        <v>0</v>
      </c>
      <c r="T112" s="832">
        <f t="shared" si="65"/>
        <v>7569.9770006646322</v>
      </c>
      <c r="U112" s="832">
        <f t="shared" si="66"/>
        <v>380.23848753063356</v>
      </c>
      <c r="V112" s="839">
        <f t="shared" si="67"/>
        <v>253.49232502042238</v>
      </c>
      <c r="W112" s="1447"/>
      <c r="X112" s="1025">
        <f>'Recycling - Case 1'!AM162</f>
        <v>934.71754097604901</v>
      </c>
      <c r="Y112" s="1026">
        <f>Parameters!S213</f>
        <v>0.71500000000000008</v>
      </c>
      <c r="Z112" s="1027">
        <f t="shared" si="68"/>
        <v>0.4</v>
      </c>
      <c r="AA112" s="1028">
        <f t="shared" si="69"/>
        <v>133.66460835957503</v>
      </c>
      <c r="AB112" s="1028">
        <f t="shared" si="70"/>
        <v>133.66460835957503</v>
      </c>
      <c r="AC112" s="1029">
        <f t="shared" si="71"/>
        <v>0</v>
      </c>
      <c r="AD112" s="1028">
        <f t="shared" si="72"/>
        <v>4473.3291193151044</v>
      </c>
      <c r="AE112" s="1028">
        <f t="shared" si="73"/>
        <v>222.49935738081214</v>
      </c>
      <c r="AF112" s="1030">
        <f t="shared" si="74"/>
        <v>148.33290492054144</v>
      </c>
      <c r="AG112" s="104"/>
      <c r="AH112" s="1025">
        <f>'Recycling - Case 1'!AM202</f>
        <v>934.71754097604901</v>
      </c>
      <c r="AI112" s="1026">
        <f>Parameters!S213</f>
        <v>0.71500000000000008</v>
      </c>
      <c r="AJ112" s="1027">
        <f t="shared" si="75"/>
        <v>0.4</v>
      </c>
      <c r="AK112" s="1028">
        <f t="shared" si="76"/>
        <v>133.66460835957503</v>
      </c>
      <c r="AL112" s="1028">
        <f t="shared" si="77"/>
        <v>133.66460835957503</v>
      </c>
      <c r="AM112" s="1029">
        <f t="shared" si="78"/>
        <v>0</v>
      </c>
      <c r="AN112" s="1028">
        <f t="shared" si="79"/>
        <v>4473.3291193151044</v>
      </c>
      <c r="AO112" s="1028">
        <f t="shared" si="80"/>
        <v>222.49935738081214</v>
      </c>
      <c r="AP112" s="1030">
        <f t="shared" si="81"/>
        <v>148.33290492054144</v>
      </c>
      <c r="AQ112" s="104"/>
      <c r="AR112" s="1064">
        <f>'Recycling - Case 1'!G122</f>
        <v>818.04847184255016</v>
      </c>
      <c r="AS112" s="1065">
        <v>1</v>
      </c>
      <c r="AT112" s="1066">
        <f t="shared" si="82"/>
        <v>0.05</v>
      </c>
      <c r="AU112" s="1044">
        <f t="shared" si="83"/>
        <v>20.451211796063756</v>
      </c>
      <c r="AV112" s="1044">
        <f t="shared" si="84"/>
        <v>20.451211796063756</v>
      </c>
      <c r="AW112" s="1045">
        <f t="shared" si="85"/>
        <v>0</v>
      </c>
      <c r="AX112" s="1044">
        <f t="shared" si="51"/>
        <v>267.40817855976775</v>
      </c>
      <c r="AY112" s="1044">
        <f t="shared" si="54"/>
        <v>15.270965969984609</v>
      </c>
      <c r="AZ112" s="1067">
        <f t="shared" si="52"/>
        <v>10.180643979989739</v>
      </c>
      <c r="BB112" s="1055">
        <f t="shared" si="86"/>
        <v>253.49232502042238</v>
      </c>
      <c r="BC112" s="1056">
        <f t="shared" si="87"/>
        <v>148.33290492054144</v>
      </c>
      <c r="BD112" s="1082">
        <f t="shared" si="101"/>
        <v>10.180643979989739</v>
      </c>
      <c r="BE112" s="1056">
        <f t="shared" si="60"/>
        <v>412.00587392095355</v>
      </c>
      <c r="BF112" s="167">
        <v>0</v>
      </c>
      <c r="BG112" s="1075">
        <f t="shared" si="88"/>
        <v>412.00587392095355</v>
      </c>
      <c r="BI112" s="1055">
        <f t="shared" si="89"/>
        <v>253.49232502042238</v>
      </c>
      <c r="BJ112" s="1056">
        <f t="shared" si="90"/>
        <v>148.33290492054144</v>
      </c>
      <c r="BK112" s="1082">
        <f t="shared" si="91"/>
        <v>10.180643979989739</v>
      </c>
      <c r="BL112" s="1056">
        <f t="shared" si="61"/>
        <v>412.00587392095355</v>
      </c>
      <c r="BM112" s="167">
        <v>0</v>
      </c>
      <c r="BN112" s="1075">
        <f t="shared" si="92"/>
        <v>412.00587392095355</v>
      </c>
    </row>
    <row r="113" spans="1:66">
      <c r="A113" s="927">
        <f>'Input data'!A143</f>
        <v>2043</v>
      </c>
      <c r="B113" s="824">
        <f>'Input data'!B143</f>
        <v>77.302495984815266</v>
      </c>
      <c r="C113" s="824">
        <f>'Recycling - Case 1'!AK123/B113</f>
        <v>249.28897873870727</v>
      </c>
      <c r="D113" s="826">
        <f>'Recycling - Case 1'!AM123</f>
        <v>0.15035541821140816</v>
      </c>
      <c r="E113" s="826">
        <f>'Recycling - Case 1'!BE123</f>
        <v>0.1901034774315995</v>
      </c>
      <c r="F113" s="826">
        <f>'Recycling - Case 1'!BF123</f>
        <v>0.24110263933439161</v>
      </c>
      <c r="G113" s="826">
        <f>'Recycling - Case 1'!BG123</f>
        <v>7.3658685838925389E-2</v>
      </c>
      <c r="H113" s="826">
        <f>'Recycling - Case 1'!BH123</f>
        <v>0</v>
      </c>
      <c r="I113" s="826">
        <f>'Recycling - Case 1'!BI123</f>
        <v>0</v>
      </c>
      <c r="J113" s="826">
        <f>'Recycling - Case 1'!BJ123</f>
        <v>0</v>
      </c>
      <c r="K113" s="826">
        <f>'Recycling - Case 1'!BK123</f>
        <v>0.49513519739508338</v>
      </c>
      <c r="L113" s="827">
        <f t="shared" si="100"/>
        <v>0.99999999999999989</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0.1061995238171884</v>
      </c>
      <c r="Q113" s="832">
        <f t="shared" si="62"/>
        <v>146.58421631746882</v>
      </c>
      <c r="R113" s="832">
        <f t="shared" si="63"/>
        <v>146.58421631746882</v>
      </c>
      <c r="S113" s="835">
        <f t="shared" si="64"/>
        <v>0</v>
      </c>
      <c r="T113" s="832">
        <f t="shared" si="65"/>
        <v>7347.3690821433274</v>
      </c>
      <c r="U113" s="832">
        <f t="shared" si="66"/>
        <v>369.19213483877292</v>
      </c>
      <c r="V113" s="839">
        <f t="shared" si="67"/>
        <v>246.12808989251528</v>
      </c>
      <c r="W113" s="1447"/>
      <c r="X113" s="1025">
        <f>'Recycling - Case 1'!AM163</f>
        <v>943.91295333221683</v>
      </c>
      <c r="Y113" s="1026">
        <f>Parameters!S214</f>
        <v>0.71500000000000008</v>
      </c>
      <c r="Z113" s="1027">
        <f t="shared" si="68"/>
        <v>0.4</v>
      </c>
      <c r="AA113" s="1028">
        <f t="shared" si="69"/>
        <v>134.97955232650705</v>
      </c>
      <c r="AB113" s="1028">
        <f t="shared" si="70"/>
        <v>134.97955232650705</v>
      </c>
      <c r="AC113" s="1029">
        <f t="shared" si="71"/>
        <v>0</v>
      </c>
      <c r="AD113" s="1028">
        <f t="shared" si="72"/>
        <v>4390.1418360949001</v>
      </c>
      <c r="AE113" s="1028">
        <f t="shared" si="73"/>
        <v>218.16683554671178</v>
      </c>
      <c r="AF113" s="1030">
        <f t="shared" si="74"/>
        <v>145.44455703114119</v>
      </c>
      <c r="AG113" s="104"/>
      <c r="AH113" s="1025">
        <f>'Recycling - Case 1'!AM203</f>
        <v>943.91295333221683</v>
      </c>
      <c r="AI113" s="1026">
        <f>Parameters!S214</f>
        <v>0.71500000000000008</v>
      </c>
      <c r="AJ113" s="1027">
        <f t="shared" si="75"/>
        <v>0.4</v>
      </c>
      <c r="AK113" s="1028">
        <f t="shared" si="76"/>
        <v>134.97955232650705</v>
      </c>
      <c r="AL113" s="1028">
        <f t="shared" si="77"/>
        <v>134.97955232650705</v>
      </c>
      <c r="AM113" s="1029">
        <f t="shared" si="78"/>
        <v>0</v>
      </c>
      <c r="AN113" s="1028">
        <f t="shared" si="79"/>
        <v>4390.1418360949001</v>
      </c>
      <c r="AO113" s="1028">
        <f t="shared" si="80"/>
        <v>218.16683554671178</v>
      </c>
      <c r="AP113" s="1030">
        <f t="shared" si="81"/>
        <v>145.44455703114119</v>
      </c>
      <c r="AQ113" s="104"/>
      <c r="AR113" s="1064">
        <f>'Recycling - Case 1'!G123</f>
        <v>829.9441857251951</v>
      </c>
      <c r="AS113" s="1065">
        <v>1</v>
      </c>
      <c r="AT113" s="1066">
        <f t="shared" si="82"/>
        <v>0.05</v>
      </c>
      <c r="AU113" s="1044">
        <f t="shared" si="83"/>
        <v>20.74860464312988</v>
      </c>
      <c r="AV113" s="1044">
        <f t="shared" si="84"/>
        <v>20.74860464312988</v>
      </c>
      <c r="AW113" s="1045">
        <f t="shared" si="85"/>
        <v>0</v>
      </c>
      <c r="AX113" s="1044">
        <f t="shared" si="51"/>
        <v>272.58414320108307</v>
      </c>
      <c r="AY113" s="1044">
        <f t="shared" si="54"/>
        <v>15.572640001814577</v>
      </c>
      <c r="AZ113" s="1067">
        <f t="shared" si="52"/>
        <v>10.381760001209718</v>
      </c>
      <c r="BB113" s="1055">
        <f t="shared" si="86"/>
        <v>246.12808989251528</v>
      </c>
      <c r="BC113" s="1056">
        <f t="shared" si="87"/>
        <v>145.44455703114119</v>
      </c>
      <c r="BD113" s="1082">
        <f t="shared" si="101"/>
        <v>10.381760001209718</v>
      </c>
      <c r="BE113" s="1056">
        <f t="shared" si="60"/>
        <v>401.95440692486619</v>
      </c>
      <c r="BF113" s="167">
        <v>0</v>
      </c>
      <c r="BG113" s="1075">
        <f t="shared" si="88"/>
        <v>401.95440692486619</v>
      </c>
      <c r="BI113" s="1055">
        <f t="shared" si="89"/>
        <v>246.12808989251528</v>
      </c>
      <c r="BJ113" s="1056">
        <f t="shared" si="90"/>
        <v>145.44455703114119</v>
      </c>
      <c r="BK113" s="1082">
        <f t="shared" si="91"/>
        <v>10.381760001209718</v>
      </c>
      <c r="BL113" s="1056">
        <f t="shared" si="61"/>
        <v>401.95440692486619</v>
      </c>
      <c r="BM113" s="167">
        <v>0</v>
      </c>
      <c r="BN113" s="1075">
        <f t="shared" si="92"/>
        <v>401.95440692486619</v>
      </c>
    </row>
    <row r="114" spans="1:66">
      <c r="A114" s="927">
        <f>'Input data'!A144</f>
        <v>2044</v>
      </c>
      <c r="B114" s="824">
        <f>'Input data'!B144</f>
        <v>77.881755043150378</v>
      </c>
      <c r="C114" s="824">
        <f>'Recycling - Case 1'!AK124/B114</f>
        <v>245.43196896707792</v>
      </c>
      <c r="D114" s="826">
        <f>'Recycling - Case 1'!AM124</f>
        <v>0.14283727408661656</v>
      </c>
      <c r="E114" s="826">
        <f>'Recycling - Case 1'!BE124</f>
        <v>0.19056607500857647</v>
      </c>
      <c r="F114" s="826">
        <f>'Recycling - Case 1'!BF124</f>
        <v>0.24168933821158065</v>
      </c>
      <c r="G114" s="826">
        <f>'Recycling - Case 1'!BG124</f>
        <v>7.3522802173246957E-2</v>
      </c>
      <c r="H114" s="826">
        <f>'Recycling - Case 1'!BH124</f>
        <v>0</v>
      </c>
      <c r="I114" s="826">
        <f>'Recycling - Case 1'!BI124</f>
        <v>0</v>
      </c>
      <c r="J114" s="826">
        <f>'Recycling - Case 1'!BJ124</f>
        <v>0</v>
      </c>
      <c r="K114" s="826">
        <f>'Recycling - Case 1'!BK124</f>
        <v>0.49422178460659588</v>
      </c>
      <c r="L114" s="827">
        <f t="shared" si="100"/>
        <v>1</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0.10633189976290139</v>
      </c>
      <c r="Q114" s="832">
        <f t="shared" si="62"/>
        <v>139.27942695709217</v>
      </c>
      <c r="R114" s="832">
        <f t="shared" si="63"/>
        <v>139.27942695709217</v>
      </c>
      <c r="S114" s="835">
        <f t="shared" si="64"/>
        <v>0</v>
      </c>
      <c r="T114" s="832">
        <f t="shared" si="65"/>
        <v>7128.3130905586286</v>
      </c>
      <c r="U114" s="832">
        <f t="shared" si="66"/>
        <v>358.33541854179072</v>
      </c>
      <c r="V114" s="839">
        <f t="shared" si="67"/>
        <v>238.89027902786049</v>
      </c>
      <c r="W114" s="1447"/>
      <c r="X114" s="1025">
        <f>'Recycling - Case 1'!AM164</f>
        <v>956.59420465147934</v>
      </c>
      <c r="Y114" s="1026">
        <f>Parameters!S215</f>
        <v>0.71500000000000008</v>
      </c>
      <c r="Z114" s="1027">
        <f t="shared" si="68"/>
        <v>0.4</v>
      </c>
      <c r="AA114" s="1028">
        <f t="shared" si="69"/>
        <v>136.79297126516158</v>
      </c>
      <c r="AB114" s="1028">
        <f t="shared" si="70"/>
        <v>136.79297126516158</v>
      </c>
      <c r="AC114" s="1029">
        <f t="shared" si="71"/>
        <v>0</v>
      </c>
      <c r="AD114" s="1028">
        <f t="shared" si="72"/>
        <v>4312.8250634902206</v>
      </c>
      <c r="AE114" s="1028">
        <f t="shared" si="73"/>
        <v>214.10974386984032</v>
      </c>
      <c r="AF114" s="1030">
        <f t="shared" si="74"/>
        <v>142.73982924656022</v>
      </c>
      <c r="AG114" s="104"/>
      <c r="AH114" s="1025">
        <f>'Recycling - Case 1'!AM204</f>
        <v>956.59420465147934</v>
      </c>
      <c r="AI114" s="1026">
        <f>Parameters!S215</f>
        <v>0.71500000000000008</v>
      </c>
      <c r="AJ114" s="1027">
        <f t="shared" si="75"/>
        <v>0.4</v>
      </c>
      <c r="AK114" s="1028">
        <f t="shared" si="76"/>
        <v>136.79297126516158</v>
      </c>
      <c r="AL114" s="1028">
        <f t="shared" si="77"/>
        <v>136.79297126516158</v>
      </c>
      <c r="AM114" s="1029">
        <f t="shared" si="78"/>
        <v>0</v>
      </c>
      <c r="AN114" s="1028">
        <f t="shared" si="79"/>
        <v>4312.8250634902206</v>
      </c>
      <c r="AO114" s="1028">
        <f t="shared" si="80"/>
        <v>214.10974386984032</v>
      </c>
      <c r="AP114" s="1030">
        <f t="shared" si="81"/>
        <v>142.73982924656022</v>
      </c>
      <c r="AQ114" s="104"/>
      <c r="AR114" s="1064">
        <f>'Recycling - Case 1'!G124</f>
        <v>841.77229337870995</v>
      </c>
      <c r="AS114" s="1065">
        <v>1</v>
      </c>
      <c r="AT114" s="1066">
        <f t="shared" si="82"/>
        <v>0.05</v>
      </c>
      <c r="AU114" s="1044">
        <f t="shared" si="83"/>
        <v>21.044307334467749</v>
      </c>
      <c r="AV114" s="1044">
        <f t="shared" si="84"/>
        <v>21.044307334467749</v>
      </c>
      <c r="AW114" s="1045">
        <f t="shared" si="85"/>
        <v>0</v>
      </c>
      <c r="AX114" s="1044">
        <f t="shared" si="51"/>
        <v>277.75438581869781</v>
      </c>
      <c r="AY114" s="1044">
        <f t="shared" si="54"/>
        <v>15.874064716853011</v>
      </c>
      <c r="AZ114" s="1067">
        <f t="shared" si="52"/>
        <v>10.582709811235341</v>
      </c>
      <c r="BB114" s="1055">
        <f t="shared" si="86"/>
        <v>238.89027902786049</v>
      </c>
      <c r="BC114" s="1056">
        <f t="shared" si="87"/>
        <v>142.73982924656022</v>
      </c>
      <c r="BD114" s="1082">
        <f t="shared" si="101"/>
        <v>10.582709811235341</v>
      </c>
      <c r="BE114" s="1056">
        <f t="shared" si="60"/>
        <v>392.21281808565607</v>
      </c>
      <c r="BF114" s="167">
        <v>0</v>
      </c>
      <c r="BG114" s="1075">
        <f t="shared" si="88"/>
        <v>392.21281808565607</v>
      </c>
      <c r="BI114" s="1055">
        <f t="shared" si="89"/>
        <v>238.89027902786049</v>
      </c>
      <c r="BJ114" s="1056">
        <f t="shared" si="90"/>
        <v>142.73982924656022</v>
      </c>
      <c r="BK114" s="1082">
        <f t="shared" si="91"/>
        <v>10.582709811235341</v>
      </c>
      <c r="BL114" s="1056">
        <f t="shared" si="61"/>
        <v>392.21281808565607</v>
      </c>
      <c r="BM114" s="167">
        <v>0</v>
      </c>
      <c r="BN114" s="1075">
        <f t="shared" si="92"/>
        <v>392.21281808565607</v>
      </c>
    </row>
    <row r="115" spans="1:66">
      <c r="A115" s="927">
        <f>'Input data'!A145</f>
        <v>2045</v>
      </c>
      <c r="B115" s="824">
        <f>'Input data'!B145</f>
        <v>78.446460136387472</v>
      </c>
      <c r="C115" s="824">
        <f>'Recycling - Case 1'!AK125/B115</f>
        <v>241.65857075796069</v>
      </c>
      <c r="D115" s="826">
        <f>'Recycling - Case 1'!AM125</f>
        <v>0.13520557912341788</v>
      </c>
      <c r="E115" s="826">
        <f>'Recycling - Case 1'!BE125</f>
        <v>0.19100886877704476</v>
      </c>
      <c r="F115" s="826">
        <f>'Recycling - Case 1'!BF125</f>
        <v>0.24225092050192532</v>
      </c>
      <c r="G115" s="826">
        <f>'Recycling - Case 1'!BG125</f>
        <v>7.3392735689128671E-2</v>
      </c>
      <c r="H115" s="826">
        <f>'Recycling - Case 1'!BH125</f>
        <v>0</v>
      </c>
      <c r="I115" s="826">
        <f>'Recycling - Case 1'!BI125</f>
        <v>0</v>
      </c>
      <c r="J115" s="826">
        <f>'Recycling - Case 1'!BJ125</f>
        <v>0</v>
      </c>
      <c r="K115" s="826">
        <f>'Recycling - Case 1'!BK125</f>
        <v>0.49334747503190135</v>
      </c>
      <c r="L115" s="827">
        <f t="shared" si="100"/>
        <v>1</v>
      </c>
      <c r="M115" s="104"/>
      <c r="N115" s="838">
        <f t="shared" si="57"/>
        <v>2563.1272408509822</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0.10645860869259326</v>
      </c>
      <c r="Q115" s="832">
        <f t="shared" si="62"/>
        <v>131.8288500321635</v>
      </c>
      <c r="R115" s="832">
        <f t="shared" si="63"/>
        <v>131.8288500321635</v>
      </c>
      <c r="S115" s="835">
        <f t="shared" si="64"/>
        <v>0</v>
      </c>
      <c r="T115" s="832">
        <f t="shared" si="65"/>
        <v>6912.4900088251534</v>
      </c>
      <c r="U115" s="832">
        <f t="shared" si="66"/>
        <v>347.65193176563821</v>
      </c>
      <c r="V115" s="839">
        <f t="shared" si="67"/>
        <v>231.76795451042548</v>
      </c>
      <c r="W115" s="1447"/>
      <c r="X115" s="1025">
        <f>'Recycling - Case 1'!AM165</f>
        <v>972.65710928432759</v>
      </c>
      <c r="Y115" s="1026">
        <f>Parameters!S216</f>
        <v>0.71500000000000008</v>
      </c>
      <c r="Z115" s="1027">
        <f t="shared" si="68"/>
        <v>0.4</v>
      </c>
      <c r="AA115" s="1028">
        <f t="shared" si="69"/>
        <v>139.08996662765887</v>
      </c>
      <c r="AB115" s="1028">
        <f t="shared" si="70"/>
        <v>139.08996662765887</v>
      </c>
      <c r="AC115" s="1029">
        <f t="shared" si="71"/>
        <v>0</v>
      </c>
      <c r="AD115" s="1028">
        <f t="shared" si="72"/>
        <v>4241.5760697437172</v>
      </c>
      <c r="AE115" s="1028">
        <f t="shared" si="73"/>
        <v>210.33896037416267</v>
      </c>
      <c r="AF115" s="1030">
        <f t="shared" si="74"/>
        <v>140.22597358277511</v>
      </c>
      <c r="AG115" s="104"/>
      <c r="AH115" s="1025">
        <f>'Recycling - Case 1'!AM205</f>
        <v>972.65710928432759</v>
      </c>
      <c r="AI115" s="1026">
        <f>Parameters!S216</f>
        <v>0.71500000000000008</v>
      </c>
      <c r="AJ115" s="1027">
        <f t="shared" si="75"/>
        <v>0.4</v>
      </c>
      <c r="AK115" s="1028">
        <f t="shared" si="76"/>
        <v>139.08996662765887</v>
      </c>
      <c r="AL115" s="1028">
        <f t="shared" si="77"/>
        <v>139.08996662765887</v>
      </c>
      <c r="AM115" s="1029">
        <f t="shared" si="78"/>
        <v>0</v>
      </c>
      <c r="AN115" s="1028">
        <f t="shared" si="79"/>
        <v>4241.5760697437172</v>
      </c>
      <c r="AO115" s="1028">
        <f t="shared" si="80"/>
        <v>210.33896037416267</v>
      </c>
      <c r="AP115" s="1030">
        <f t="shared" si="81"/>
        <v>140.22597358277511</v>
      </c>
      <c r="AQ115" s="104"/>
      <c r="AR115" s="1064">
        <f>'Recycling - Case 1'!G125</f>
        <v>853.52548449026619</v>
      </c>
      <c r="AS115" s="1065">
        <v>1</v>
      </c>
      <c r="AT115" s="1066">
        <f t="shared" si="82"/>
        <v>0.05</v>
      </c>
      <c r="AU115" s="1044">
        <f t="shared" si="83"/>
        <v>21.338137112256657</v>
      </c>
      <c r="AV115" s="1044">
        <f t="shared" si="84"/>
        <v>21.338137112256657</v>
      </c>
      <c r="AW115" s="1045">
        <f t="shared" si="85"/>
        <v>0</v>
      </c>
      <c r="AX115" s="1044">
        <f t="shared" si="51"/>
        <v>282.9173667237821</v>
      </c>
      <c r="AY115" s="1044">
        <f t="shared" si="54"/>
        <v>16.1751562071724</v>
      </c>
      <c r="AZ115" s="1067">
        <f t="shared" si="52"/>
        <v>10.783437471448266</v>
      </c>
      <c r="BB115" s="1055">
        <f t="shared" si="86"/>
        <v>231.76795451042548</v>
      </c>
      <c r="BC115" s="1056">
        <f t="shared" si="87"/>
        <v>140.22597358277511</v>
      </c>
      <c r="BD115" s="1082">
        <f t="shared" si="101"/>
        <v>10.783437471448266</v>
      </c>
      <c r="BE115" s="1056">
        <f t="shared" si="60"/>
        <v>382.77736556464885</v>
      </c>
      <c r="BF115" s="167">
        <v>0</v>
      </c>
      <c r="BG115" s="1075">
        <f t="shared" si="88"/>
        <v>382.77736556464885</v>
      </c>
      <c r="BI115" s="1055">
        <f t="shared" si="89"/>
        <v>231.76795451042548</v>
      </c>
      <c r="BJ115" s="1056">
        <f t="shared" si="90"/>
        <v>140.22597358277511</v>
      </c>
      <c r="BK115" s="1082">
        <f t="shared" si="91"/>
        <v>10.783437471448266</v>
      </c>
      <c r="BL115" s="1056">
        <f t="shared" si="61"/>
        <v>382.77736556464885</v>
      </c>
      <c r="BM115" s="167">
        <v>0</v>
      </c>
      <c r="BN115" s="1075">
        <f t="shared" si="92"/>
        <v>382.77736556464885</v>
      </c>
    </row>
    <row r="116" spans="1:66">
      <c r="A116" s="927">
        <f>'Input data'!A146</f>
        <v>2046</v>
      </c>
      <c r="B116" s="824">
        <f>'Input data'!B146</f>
        <v>78.997842335977523</v>
      </c>
      <c r="C116" s="824">
        <f>'Recycling - Case 1'!AK126/B116</f>
        <v>237.96277589511527</v>
      </c>
      <c r="D116" s="826">
        <f>'Recycling - Case 1'!AM126</f>
        <v>0.12745489930368431</v>
      </c>
      <c r="E116" s="826">
        <f>'Recycling - Case 1'!BE126</f>
        <v>0.19143363025333848</v>
      </c>
      <c r="F116" s="826">
        <f>'Recycling - Case 1'!BF126</f>
        <v>0.24278963296739733</v>
      </c>
      <c r="G116" s="826">
        <f>'Recycling - Case 1'!BG126</f>
        <v>7.3267966020392025E-2</v>
      </c>
      <c r="H116" s="826">
        <f>'Recycling - Case 1'!BH126</f>
        <v>0</v>
      </c>
      <c r="I116" s="826">
        <f>'Recycling - Case 1'!BI126</f>
        <v>0</v>
      </c>
      <c r="J116" s="826">
        <f>'Recycling - Case 1'!BJ126</f>
        <v>0</v>
      </c>
      <c r="K116" s="826">
        <f>'Recycling - Case 1'!BK126</f>
        <v>0.49250877075887189</v>
      </c>
      <c r="L116" s="827">
        <f t="shared" si="100"/>
        <v>0.99999999999999967</v>
      </c>
      <c r="M116" s="104"/>
      <c r="N116" s="838">
        <f t="shared" si="57"/>
        <v>2395.9667686215712</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0.10658015753963705</v>
      </c>
      <c r="Q116" s="832">
        <f t="shared" si="62"/>
        <v>124.2338638683089</v>
      </c>
      <c r="R116" s="832">
        <f t="shared" si="63"/>
        <v>124.2338638683089</v>
      </c>
      <c r="S116" s="835">
        <f t="shared" si="64"/>
        <v>0</v>
      </c>
      <c r="T116" s="832">
        <f>R116+(T115*$C$8)</f>
        <v>6699.597756829995</v>
      </c>
      <c r="U116" s="832">
        <f t="shared" si="66"/>
        <v>337.12611586346719</v>
      </c>
      <c r="V116" s="839">
        <f t="shared" si="67"/>
        <v>224.75074390897814</v>
      </c>
      <c r="W116" s="1447"/>
      <c r="X116" s="1025">
        <f>'Recycling - Case 1'!AM166</f>
        <v>932.03429250670683</v>
      </c>
      <c r="Y116" s="1026">
        <f>Parameters!S217</f>
        <v>0.71500000000000008</v>
      </c>
      <c r="Z116" s="1027">
        <f t="shared" si="68"/>
        <v>0.4</v>
      </c>
      <c r="AA116" s="1028">
        <f t="shared" si="69"/>
        <v>133.28090382845912</v>
      </c>
      <c r="AB116" s="1028">
        <f t="shared" si="70"/>
        <v>133.28090382845912</v>
      </c>
      <c r="AC116" s="1029">
        <f t="shared" si="71"/>
        <v>0</v>
      </c>
      <c r="AD116" s="1028">
        <f t="shared" si="72"/>
        <v>4167.9928676267755</v>
      </c>
      <c r="AE116" s="1028">
        <f t="shared" si="73"/>
        <v>206.86410594540067</v>
      </c>
      <c r="AF116" s="1030">
        <f t="shared" si="74"/>
        <v>137.90940396360045</v>
      </c>
      <c r="AG116" s="104"/>
      <c r="AH116" s="1025">
        <f>'Recycling - Case 1'!AM206</f>
        <v>932.03429250670683</v>
      </c>
      <c r="AI116" s="1026">
        <f>Parameters!S217</f>
        <v>0.71500000000000008</v>
      </c>
      <c r="AJ116" s="1027">
        <f t="shared" si="75"/>
        <v>0.4</v>
      </c>
      <c r="AK116" s="1028">
        <f t="shared" si="76"/>
        <v>133.28090382845912</v>
      </c>
      <c r="AL116" s="1028">
        <f t="shared" si="77"/>
        <v>133.28090382845912</v>
      </c>
      <c r="AM116" s="1029">
        <f t="shared" si="78"/>
        <v>0</v>
      </c>
      <c r="AN116" s="1028">
        <f t="shared" si="79"/>
        <v>4167.9928676267755</v>
      </c>
      <c r="AO116" s="1028">
        <f t="shared" si="80"/>
        <v>206.86410594540067</v>
      </c>
      <c r="AP116" s="1030">
        <f t="shared" si="81"/>
        <v>137.90940396360045</v>
      </c>
      <c r="AQ116" s="104"/>
      <c r="AR116" s="1064">
        <f>'Recycling - Case 1'!G126</f>
        <v>865.2140977136761</v>
      </c>
      <c r="AS116" s="1065">
        <v>1</v>
      </c>
      <c r="AT116" s="1066">
        <f t="shared" si="82"/>
        <v>0.05</v>
      </c>
      <c r="AU116" s="1044">
        <f t="shared" si="83"/>
        <v>21.630352442841904</v>
      </c>
      <c r="AV116" s="1044">
        <f t="shared" si="84"/>
        <v>21.630352442841904</v>
      </c>
      <c r="AW116" s="1045">
        <f t="shared" si="85"/>
        <v>0</v>
      </c>
      <c r="AX116" s="1044">
        <f t="shared" si="51"/>
        <v>288.0718943583484</v>
      </c>
      <c r="AY116" s="1044">
        <f t="shared" si="54"/>
        <v>16.4758248082756</v>
      </c>
      <c r="AZ116" s="1067">
        <f t="shared" si="52"/>
        <v>10.983883205517067</v>
      </c>
      <c r="BB116" s="1055">
        <f t="shared" si="86"/>
        <v>224.75074390897814</v>
      </c>
      <c r="BC116" s="1056">
        <f t="shared" si="87"/>
        <v>137.90940396360045</v>
      </c>
      <c r="BD116" s="1082">
        <f t="shared" si="101"/>
        <v>10.983883205517067</v>
      </c>
      <c r="BE116" s="1056">
        <f t="shared" si="60"/>
        <v>373.64403107809568</v>
      </c>
      <c r="BF116" s="167">
        <v>0</v>
      </c>
      <c r="BG116" s="1075">
        <f t="shared" si="88"/>
        <v>373.64403107809568</v>
      </c>
      <c r="BI116" s="1055">
        <f t="shared" si="89"/>
        <v>224.75074390897814</v>
      </c>
      <c r="BJ116" s="1056">
        <f t="shared" si="90"/>
        <v>137.90940396360045</v>
      </c>
      <c r="BK116" s="1082">
        <f t="shared" si="91"/>
        <v>10.983883205517067</v>
      </c>
      <c r="BL116" s="1056">
        <f t="shared" si="61"/>
        <v>373.64403107809568</v>
      </c>
      <c r="BM116" s="167">
        <v>0</v>
      </c>
      <c r="BN116" s="1075">
        <f t="shared" si="92"/>
        <v>373.64403107809568</v>
      </c>
    </row>
    <row r="117" spans="1:66">
      <c r="A117" s="927">
        <f>'Input data'!A147</f>
        <v>2047</v>
      </c>
      <c r="B117" s="824">
        <f>'Input data'!B147</f>
        <v>79.535560193629763</v>
      </c>
      <c r="C117" s="824">
        <f>'Recycling - Case 1'!AK127/B117</f>
        <v>234.34145475087718</v>
      </c>
      <c r="D117" s="826">
        <f>'Recycling - Case 1'!AM127</f>
        <v>0.11958091165689073</v>
      </c>
      <c r="E117" s="826">
        <f>'Recycling - Case 1'!BE127</f>
        <v>0.19184083265348251</v>
      </c>
      <c r="F117" s="826">
        <f>'Recycling - Case 1'!BF127</f>
        <v>0.24330607577393862</v>
      </c>
      <c r="G117" s="826">
        <f>'Recycling - Case 1'!BG127</f>
        <v>7.3148354164302751E-2</v>
      </c>
      <c r="H117" s="826">
        <f>'Recycling - Case 1'!BH127</f>
        <v>0</v>
      </c>
      <c r="I117" s="826">
        <f>'Recycling - Case 1'!BI127</f>
        <v>0</v>
      </c>
      <c r="J117" s="826">
        <f>'Recycling - Case 1'!BJ127</f>
        <v>0</v>
      </c>
      <c r="K117" s="826">
        <f>'Recycling - Case 1'!BK127</f>
        <v>0.49170473740827625</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0.10669668171853119</v>
      </c>
      <c r="Q117" s="832">
        <f t="shared" si="62"/>
        <v>116.49532986951979</v>
      </c>
      <c r="R117" s="832">
        <f t="shared" si="63"/>
        <v>116.49532986951979</v>
      </c>
      <c r="S117" s="835">
        <f t="shared" si="64"/>
        <v>0</v>
      </c>
      <c r="T117" s="832">
        <f t="shared" ref="T117:T120" si="102">R117+(T116*$C$8)</f>
        <v>6489.3498484851907</v>
      </c>
      <c r="U117" s="832">
        <f t="shared" si="66"/>
        <v>326.74323821432426</v>
      </c>
      <c r="V117" s="839">
        <f t="shared" si="67"/>
        <v>217.82882547621617</v>
      </c>
      <c r="W117" s="1447"/>
      <c r="X117" s="1025">
        <f>'Recycling - Case 1'!AM167</f>
        <v>891.39280106884041</v>
      </c>
      <c r="Y117" s="1026">
        <f>Parameters!S218</f>
        <v>0.71500000000000008</v>
      </c>
      <c r="Z117" s="1027">
        <f t="shared" si="68"/>
        <v>0.4</v>
      </c>
      <c r="AA117" s="1028">
        <f t="shared" si="69"/>
        <v>127.4691705528442</v>
      </c>
      <c r="AB117" s="1028">
        <f t="shared" si="70"/>
        <v>127.4691705528442</v>
      </c>
      <c r="AC117" s="1029">
        <f t="shared" si="71"/>
        <v>0</v>
      </c>
      <c r="AD117" s="1028">
        <f t="shared" si="72"/>
        <v>4092.1866273485425</v>
      </c>
      <c r="AE117" s="1028">
        <f t="shared" si="73"/>
        <v>203.27541083107715</v>
      </c>
      <c r="AF117" s="1030">
        <f t="shared" si="74"/>
        <v>135.51694055405144</v>
      </c>
      <c r="AG117" s="104"/>
      <c r="AH117" s="1025">
        <f>'Recycling - Case 1'!AM207</f>
        <v>891.39280106884041</v>
      </c>
      <c r="AI117" s="1026">
        <f>Parameters!S218</f>
        <v>0.71500000000000008</v>
      </c>
      <c r="AJ117" s="1027">
        <f t="shared" si="75"/>
        <v>0.4</v>
      </c>
      <c r="AK117" s="1028">
        <f t="shared" si="76"/>
        <v>127.4691705528442</v>
      </c>
      <c r="AL117" s="1028">
        <f t="shared" si="77"/>
        <v>127.4691705528442</v>
      </c>
      <c r="AM117" s="1029">
        <f t="shared" si="78"/>
        <v>0</v>
      </c>
      <c r="AN117" s="1028">
        <f t="shared" si="79"/>
        <v>4092.1866273485425</v>
      </c>
      <c r="AO117" s="1028">
        <f t="shared" si="80"/>
        <v>203.27541083107715</v>
      </c>
      <c r="AP117" s="1030">
        <f t="shared" si="81"/>
        <v>135.51694055405144</v>
      </c>
      <c r="AQ117" s="104"/>
      <c r="AR117" s="1064">
        <f>'Recycling - Case 1'!G127</f>
        <v>876.83149026698891</v>
      </c>
      <c r="AS117" s="1065">
        <v>1</v>
      </c>
      <c r="AT117" s="1066">
        <f t="shared" si="82"/>
        <v>0.05</v>
      </c>
      <c r="AU117" s="1044">
        <f t="shared" si="83"/>
        <v>21.920787256674725</v>
      </c>
      <c r="AV117" s="1044">
        <f t="shared" si="84"/>
        <v>21.920787256674725</v>
      </c>
      <c r="AW117" s="1045">
        <f t="shared" si="85"/>
        <v>0</v>
      </c>
      <c r="AX117" s="1044">
        <f t="shared" si="51"/>
        <v>293.21668048579568</v>
      </c>
      <c r="AY117" s="1044">
        <f t="shared" si="54"/>
        <v>16.776001129227449</v>
      </c>
      <c r="AZ117" s="1067">
        <f t="shared" si="52"/>
        <v>11.184000752818299</v>
      </c>
      <c r="BB117" s="1055">
        <f t="shared" si="86"/>
        <v>217.82882547621617</v>
      </c>
      <c r="BC117" s="1056">
        <f t="shared" si="87"/>
        <v>135.51694055405144</v>
      </c>
      <c r="BD117" s="1082">
        <f t="shared" si="101"/>
        <v>11.184000752818299</v>
      </c>
      <c r="BE117" s="1056">
        <f t="shared" si="60"/>
        <v>364.5297667830859</v>
      </c>
      <c r="BF117" s="167">
        <v>0</v>
      </c>
      <c r="BG117" s="1075">
        <f t="shared" si="88"/>
        <v>364.5297667830859</v>
      </c>
      <c r="BI117" s="1055">
        <f t="shared" si="89"/>
        <v>217.82882547621617</v>
      </c>
      <c r="BJ117" s="1056">
        <f t="shared" si="90"/>
        <v>135.51694055405144</v>
      </c>
      <c r="BK117" s="1082">
        <f t="shared" si="91"/>
        <v>11.184000752818299</v>
      </c>
      <c r="BL117" s="1056">
        <f t="shared" si="61"/>
        <v>364.5297667830859</v>
      </c>
      <c r="BM117" s="167">
        <v>0</v>
      </c>
      <c r="BN117" s="1075">
        <f t="shared" si="92"/>
        <v>364.5297667830859</v>
      </c>
    </row>
    <row r="118" spans="1:66">
      <c r="A118" s="927">
        <f>'Input data'!A148</f>
        <v>2048</v>
      </c>
      <c r="B118" s="824">
        <f>'Input data'!B148</f>
        <v>80.059278886956378</v>
      </c>
      <c r="C118" s="824">
        <f>'Recycling - Case 1'!AK128/B118</f>
        <v>233.55511619550506</v>
      </c>
      <c r="D118" s="826">
        <f>'Recycling - Case 1'!AM128</f>
        <v>0.1191986307696009</v>
      </c>
      <c r="E118" s="826">
        <f>'Recycling - Case 1'!BE128</f>
        <v>0.19223092468132016</v>
      </c>
      <c r="F118" s="826">
        <f>'Recycling - Case 1'!BF128</f>
        <v>0.24380081799941306</v>
      </c>
      <c r="G118" s="826">
        <f>'Recycling - Case 1'!BG128</f>
        <v>7.3033768318348069E-2</v>
      </c>
      <c r="H118" s="826">
        <f>'Recycling - Case 1'!BH128</f>
        <v>0</v>
      </c>
      <c r="I118" s="826">
        <f>'Recycling - Case 1'!BI128</f>
        <v>0</v>
      </c>
      <c r="J118" s="826">
        <f>'Recycling - Case 1'!BJ128</f>
        <v>0</v>
      </c>
      <c r="K118" s="826">
        <f>'Recycling - Case 1'!BK128</f>
        <v>0.49093448900091885</v>
      </c>
      <c r="L118" s="827">
        <f t="shared" si="100"/>
        <v>1</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0.10680830962941985</v>
      </c>
      <c r="Q118" s="832">
        <f t="shared" si="62"/>
        <v>117.42064503171599</v>
      </c>
      <c r="R118" s="832">
        <f t="shared" si="63"/>
        <v>117.42064503171599</v>
      </c>
      <c r="S118" s="835">
        <f t="shared" si="64"/>
        <v>0</v>
      </c>
      <c r="T118" s="832">
        <f t="shared" si="102"/>
        <v>6290.2811667900796</v>
      </c>
      <c r="U118" s="832">
        <f t="shared" si="66"/>
        <v>316.48932672682707</v>
      </c>
      <c r="V118" s="839">
        <f t="shared" si="67"/>
        <v>210.99288448455138</v>
      </c>
      <c r="W118" s="1447"/>
      <c r="X118" s="1025">
        <f>'Recycling - Case 1'!AM168</f>
        <v>852.9745901085679</v>
      </c>
      <c r="Y118" s="1026">
        <f>Parameters!S219</f>
        <v>0.71500000000000008</v>
      </c>
      <c r="Z118" s="1027">
        <f t="shared" si="68"/>
        <v>0.4</v>
      </c>
      <c r="AA118" s="1028">
        <f t="shared" si="69"/>
        <v>121.97536638552523</v>
      </c>
      <c r="AB118" s="1028">
        <f t="shared" si="70"/>
        <v>121.97536638552523</v>
      </c>
      <c r="AC118" s="1029">
        <f t="shared" si="71"/>
        <v>0</v>
      </c>
      <c r="AD118" s="1028">
        <f t="shared" si="72"/>
        <v>4014.5836968677972</v>
      </c>
      <c r="AE118" s="1028">
        <f t="shared" si="73"/>
        <v>199.57829686627056</v>
      </c>
      <c r="AF118" s="1030">
        <f t="shared" si="74"/>
        <v>133.05219791084704</v>
      </c>
      <c r="AG118" s="104"/>
      <c r="AH118" s="1025">
        <f>'Recycling - Case 1'!AM208</f>
        <v>852.9745901085679</v>
      </c>
      <c r="AI118" s="1026">
        <f>Parameters!S219</f>
        <v>0.71500000000000008</v>
      </c>
      <c r="AJ118" s="1027">
        <f t="shared" si="75"/>
        <v>0.4</v>
      </c>
      <c r="AK118" s="1028">
        <f t="shared" si="76"/>
        <v>121.97536638552523</v>
      </c>
      <c r="AL118" s="1028">
        <f t="shared" si="77"/>
        <v>121.97536638552523</v>
      </c>
      <c r="AM118" s="1029">
        <f t="shared" si="78"/>
        <v>0</v>
      </c>
      <c r="AN118" s="1028">
        <f t="shared" si="79"/>
        <v>4014.5836968677972</v>
      </c>
      <c r="AO118" s="1028">
        <f t="shared" si="80"/>
        <v>199.57829686627056</v>
      </c>
      <c r="AP118" s="1030">
        <f t="shared" si="81"/>
        <v>133.05219791084704</v>
      </c>
      <c r="AQ118" s="104"/>
      <c r="AR118" s="1064">
        <f>'Recycling - Case 1'!G128</f>
        <v>888.37099452840403</v>
      </c>
      <c r="AS118" s="1065">
        <v>1</v>
      </c>
      <c r="AT118" s="1066">
        <f t="shared" si="82"/>
        <v>0.05</v>
      </c>
      <c r="AU118" s="1044">
        <f t="shared" si="83"/>
        <v>22.209274863210101</v>
      </c>
      <c r="AV118" s="1044">
        <f t="shared" si="84"/>
        <v>22.209274863210101</v>
      </c>
      <c r="AW118" s="1045">
        <f t="shared" si="85"/>
        <v>0</v>
      </c>
      <c r="AX118" s="1044">
        <f t="shared" si="51"/>
        <v>298.35034520003717</v>
      </c>
      <c r="AY118" s="1044">
        <f t="shared" si="54"/>
        <v>17.075610148968629</v>
      </c>
      <c r="AZ118" s="1067">
        <f t="shared" si="52"/>
        <v>11.383740099312419</v>
      </c>
      <c r="BB118" s="1055">
        <f t="shared" si="86"/>
        <v>210.99288448455138</v>
      </c>
      <c r="BC118" s="1056">
        <f t="shared" si="87"/>
        <v>133.05219791084704</v>
      </c>
      <c r="BD118" s="1082">
        <f t="shared" si="101"/>
        <v>11.383740099312419</v>
      </c>
      <c r="BE118" s="1056">
        <f t="shared" si="60"/>
        <v>355.42882249471086</v>
      </c>
      <c r="BF118" s="167">
        <v>0</v>
      </c>
      <c r="BG118" s="1075">
        <f t="shared" si="88"/>
        <v>355.42882249471086</v>
      </c>
      <c r="BI118" s="1055">
        <f t="shared" si="89"/>
        <v>210.99288448455138</v>
      </c>
      <c r="BJ118" s="1056">
        <f t="shared" si="90"/>
        <v>133.05219791084704</v>
      </c>
      <c r="BK118" s="1082">
        <f t="shared" si="91"/>
        <v>11.383740099312419</v>
      </c>
      <c r="BL118" s="1056">
        <f t="shared" si="61"/>
        <v>355.42882249471086</v>
      </c>
      <c r="BM118" s="167">
        <v>0</v>
      </c>
      <c r="BN118" s="1075">
        <f t="shared" si="92"/>
        <v>355.42882249471086</v>
      </c>
    </row>
    <row r="119" spans="1:66">
      <c r="A119" s="927">
        <f>'Input data'!A149</f>
        <v>2049</v>
      </c>
      <c r="B119" s="824">
        <f>'Input data'!B149</f>
        <v>80.568670564877792</v>
      </c>
      <c r="C119" s="824">
        <f>'Recycling - Case 1'!AK129/B119</f>
        <v>232.80031263145941</v>
      </c>
      <c r="D119" s="826">
        <f>'Recycling - Case 1'!AM129</f>
        <v>0.11882903470767239</v>
      </c>
      <c r="E119" s="826">
        <f>'Recycling - Case 1'!BE129</f>
        <v>0.19260433164468097</v>
      </c>
      <c r="F119" s="826">
        <f>'Recycling - Case 1'!BF129</f>
        <v>0.24427439904921019</v>
      </c>
      <c r="G119" s="826">
        <f>'Recycling - Case 1'!BG129</f>
        <v>7.2924083552373037E-2</v>
      </c>
      <c r="H119" s="826">
        <f>'Recycling - Case 1'!BH129</f>
        <v>0</v>
      </c>
      <c r="I119" s="826">
        <f>'Recycling - Case 1'!BI129</f>
        <v>0</v>
      </c>
      <c r="J119" s="826">
        <f>'Recycling - Case 1'!BJ129</f>
        <v>0</v>
      </c>
      <c r="K119" s="826">
        <f>'Recycling - Case 1'!BK129</f>
        <v>0.49019718575373583</v>
      </c>
      <c r="L119" s="827">
        <f t="shared" si="100"/>
        <v>1</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0.1069151629774934</v>
      </c>
      <c r="Q119" s="832">
        <f t="shared" si="62"/>
        <v>118.34235470108445</v>
      </c>
      <c r="R119" s="832">
        <f t="shared" si="63"/>
        <v>118.34235470108445</v>
      </c>
      <c r="S119" s="835">
        <f t="shared" si="64"/>
        <v>0</v>
      </c>
      <c r="T119" s="832">
        <f t="shared" si="102"/>
        <v>6101.8428889344914</v>
      </c>
      <c r="U119" s="832">
        <f t="shared" si="66"/>
        <v>306.78063255667229</v>
      </c>
      <c r="V119" s="839">
        <f t="shared" si="67"/>
        <v>204.52042170444818</v>
      </c>
      <c r="W119" s="1447"/>
      <c r="X119" s="1025">
        <f>'Recycling - Case 1'!AM169</f>
        <v>816.92226286851167</v>
      </c>
      <c r="Y119" s="1026">
        <f>Parameters!S220</f>
        <v>0.71500000000000008</v>
      </c>
      <c r="Z119" s="1027">
        <f t="shared" si="68"/>
        <v>0.4</v>
      </c>
      <c r="AA119" s="1028">
        <f t="shared" si="69"/>
        <v>116.81988359019718</v>
      </c>
      <c r="AB119" s="1028">
        <f t="shared" si="70"/>
        <v>116.81988359019718</v>
      </c>
      <c r="AC119" s="1029">
        <f t="shared" si="71"/>
        <v>0</v>
      </c>
      <c r="AD119" s="1028">
        <f t="shared" si="72"/>
        <v>3935.610023171701</v>
      </c>
      <c r="AE119" s="1028">
        <f t="shared" si="73"/>
        <v>195.79355728629355</v>
      </c>
      <c r="AF119" s="1030">
        <f t="shared" si="74"/>
        <v>130.52903819086237</v>
      </c>
      <c r="AG119" s="104"/>
      <c r="AH119" s="1025">
        <f>'Recycling - Case 1'!AM209</f>
        <v>816.92226286851167</v>
      </c>
      <c r="AI119" s="1026">
        <f>Parameters!S220</f>
        <v>0.71500000000000008</v>
      </c>
      <c r="AJ119" s="1027">
        <f t="shared" si="75"/>
        <v>0.4</v>
      </c>
      <c r="AK119" s="1028">
        <f t="shared" si="76"/>
        <v>116.81988359019718</v>
      </c>
      <c r="AL119" s="1028">
        <f t="shared" si="77"/>
        <v>116.81988359019718</v>
      </c>
      <c r="AM119" s="1029">
        <f t="shared" si="78"/>
        <v>0</v>
      </c>
      <c r="AN119" s="1028">
        <f t="shared" si="79"/>
        <v>3935.610023171701</v>
      </c>
      <c r="AO119" s="1028">
        <f t="shared" si="80"/>
        <v>195.79355728629355</v>
      </c>
      <c r="AP119" s="1030">
        <f t="shared" si="81"/>
        <v>130.52903819086237</v>
      </c>
      <c r="AQ119" s="104"/>
      <c r="AR119" s="1064">
        <f>'Recycling - Case 1'!G129</f>
        <v>899.82592427987549</v>
      </c>
      <c r="AS119" s="1065">
        <v>1</v>
      </c>
      <c r="AT119" s="1066">
        <f t="shared" si="82"/>
        <v>0.05</v>
      </c>
      <c r="AU119" s="1044">
        <f t="shared" si="83"/>
        <v>22.495648106996889</v>
      </c>
      <c r="AV119" s="1044">
        <f t="shared" si="84"/>
        <v>22.495648106996889</v>
      </c>
      <c r="AW119" s="1045">
        <f t="shared" si="85"/>
        <v>0</v>
      </c>
      <c r="AX119" s="1044">
        <f t="shared" si="51"/>
        <v>303.47142179900948</v>
      </c>
      <c r="AY119" s="1044">
        <f t="shared" si="54"/>
        <v>17.374571508024566</v>
      </c>
      <c r="AZ119" s="1067">
        <f t="shared" si="52"/>
        <v>11.583047672016377</v>
      </c>
      <c r="BB119" s="1055">
        <f t="shared" si="86"/>
        <v>204.52042170444818</v>
      </c>
      <c r="BC119" s="1056">
        <f t="shared" si="87"/>
        <v>130.52903819086237</v>
      </c>
      <c r="BD119" s="1082">
        <f t="shared" si="101"/>
        <v>11.583047672016377</v>
      </c>
      <c r="BE119" s="1056">
        <f t="shared" si="60"/>
        <v>346.63250756732691</v>
      </c>
      <c r="BF119" s="167">
        <v>0</v>
      </c>
      <c r="BG119" s="1075">
        <f t="shared" si="88"/>
        <v>346.63250756732691</v>
      </c>
      <c r="BI119" s="1055">
        <f t="shared" si="89"/>
        <v>204.52042170444818</v>
      </c>
      <c r="BJ119" s="1056">
        <f t="shared" si="90"/>
        <v>130.52903819086237</v>
      </c>
      <c r="BK119" s="1082">
        <f t="shared" si="91"/>
        <v>11.583047672016377</v>
      </c>
      <c r="BL119" s="1056">
        <f t="shared" si="61"/>
        <v>346.63250756732691</v>
      </c>
      <c r="BM119" s="167">
        <v>0</v>
      </c>
      <c r="BN119" s="1075">
        <f t="shared" si="92"/>
        <v>346.63250756732691</v>
      </c>
    </row>
    <row r="120" spans="1:66" ht="15.75" thickBot="1">
      <c r="A120" s="928">
        <f>'Input data'!A150</f>
        <v>2050</v>
      </c>
      <c r="B120" s="828">
        <f>'Input data'!B150</f>
        <v>81.063414687793369</v>
      </c>
      <c r="C120" s="828">
        <f>'Recycling - Case 1'!AK130/B120</f>
        <v>232.07649276429416</v>
      </c>
      <c r="D120" s="830">
        <f>'Recycling - Case 1'!AM130</f>
        <v>0.11847215259438386</v>
      </c>
      <c r="E120" s="830">
        <f>'Recycling - Case 1'!BE130</f>
        <v>0.19296145649770011</v>
      </c>
      <c r="F120" s="830">
        <f>'Recycling - Case 1'!BF130</f>
        <v>0.24472732997818697</v>
      </c>
      <c r="G120" s="830">
        <f>'Recycling - Case 1'!BG130</f>
        <v>7.2819181502409375E-2</v>
      </c>
      <c r="H120" s="830">
        <f>'Recycling - Case 1'!BH130</f>
        <v>0</v>
      </c>
      <c r="I120" s="830">
        <f>'Recycling - Case 1'!BI130</f>
        <v>0</v>
      </c>
      <c r="J120" s="830">
        <f>'Recycling - Case 1'!BJ130</f>
        <v>0</v>
      </c>
      <c r="K120" s="830">
        <f>'Recycling - Case 1'!BK130</f>
        <v>0.48949203202170366</v>
      </c>
      <c r="L120" s="831">
        <f t="shared" si="100"/>
        <v>1</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0.10701735707125618</v>
      </c>
      <c r="Q120" s="843">
        <f t="shared" si="62"/>
        <v>119.26047963183181</v>
      </c>
      <c r="R120" s="843">
        <f t="shared" si="63"/>
        <v>119.26047963183181</v>
      </c>
      <c r="S120" s="844">
        <f t="shared" si="64"/>
        <v>0</v>
      </c>
      <c r="T120" s="843">
        <f t="shared" si="102"/>
        <v>5923.5129792667622</v>
      </c>
      <c r="U120" s="843">
        <f t="shared" si="66"/>
        <v>297.59038929956091</v>
      </c>
      <c r="V120" s="845">
        <f t="shared" si="67"/>
        <v>198.39359286637395</v>
      </c>
      <c r="W120" s="1447"/>
      <c r="X120" s="1031">
        <f>'Recycling - Case 1'!AM170</f>
        <v>783.08570372799659</v>
      </c>
      <c r="Y120" s="1032">
        <f>Parameters!S221</f>
        <v>0.71500000000000008</v>
      </c>
      <c r="Z120" s="1033">
        <f t="shared" si="68"/>
        <v>0.4</v>
      </c>
      <c r="AA120" s="1034">
        <f t="shared" si="69"/>
        <v>111.98125563310353</v>
      </c>
      <c r="AB120" s="1034">
        <f t="shared" si="70"/>
        <v>111.98125563310353</v>
      </c>
      <c r="AC120" s="1035">
        <f t="shared" si="71"/>
        <v>0</v>
      </c>
      <c r="AD120" s="1034">
        <f t="shared" si="72"/>
        <v>3855.6493130339622</v>
      </c>
      <c r="AE120" s="1034">
        <f t="shared" si="73"/>
        <v>191.9419657708421</v>
      </c>
      <c r="AF120" s="1036">
        <f t="shared" si="74"/>
        <v>127.96131051389473</v>
      </c>
      <c r="AG120" s="104"/>
      <c r="AH120" s="1031">
        <f>'Recycling - Case 1'!AM210</f>
        <v>783.08570372799659</v>
      </c>
      <c r="AI120" s="1032">
        <f>Parameters!S221</f>
        <v>0.71500000000000008</v>
      </c>
      <c r="AJ120" s="1033">
        <f t="shared" si="75"/>
        <v>0.4</v>
      </c>
      <c r="AK120" s="1034">
        <f t="shared" si="76"/>
        <v>111.98125563310353</v>
      </c>
      <c r="AL120" s="1034">
        <f t="shared" si="77"/>
        <v>111.98125563310353</v>
      </c>
      <c r="AM120" s="1035">
        <f t="shared" si="78"/>
        <v>0</v>
      </c>
      <c r="AN120" s="1034">
        <f t="shared" si="79"/>
        <v>3855.6493130339622</v>
      </c>
      <c r="AO120" s="1034">
        <f t="shared" si="80"/>
        <v>191.9419657708421</v>
      </c>
      <c r="AP120" s="1036">
        <f t="shared" si="81"/>
        <v>127.96131051389473</v>
      </c>
      <c r="AQ120" s="104"/>
      <c r="AR120" s="1068">
        <f>'Recycling - Case 1'!G130</f>
        <v>911.18958104113335</v>
      </c>
      <c r="AS120" s="1069">
        <f>Parameters!R221</f>
        <v>1</v>
      </c>
      <c r="AT120" s="1070">
        <f t="shared" si="82"/>
        <v>0.05</v>
      </c>
      <c r="AU120" s="1049">
        <f t="shared" si="83"/>
        <v>22.779739526028337</v>
      </c>
      <c r="AV120" s="1049">
        <f t="shared" si="84"/>
        <v>22.779739526028337</v>
      </c>
      <c r="AW120" s="1050">
        <f t="shared" si="85"/>
        <v>0</v>
      </c>
      <c r="AX120" s="1049">
        <f t="shared" si="51"/>
        <v>308.57836153272132</v>
      </c>
      <c r="AY120" s="1049">
        <f t="shared" si="54"/>
        <v>17.672799792316507</v>
      </c>
      <c r="AZ120" s="1071">
        <f t="shared" si="52"/>
        <v>11.781866528211005</v>
      </c>
      <c r="BB120" s="1057">
        <f t="shared" si="86"/>
        <v>198.39359286637395</v>
      </c>
      <c r="BC120" s="1058">
        <f t="shared" si="87"/>
        <v>127.96131051389473</v>
      </c>
      <c r="BD120" s="1083">
        <f t="shared" si="101"/>
        <v>11.781866528211005</v>
      </c>
      <c r="BE120" s="1058">
        <f t="shared" si="60"/>
        <v>338.13676990847972</v>
      </c>
      <c r="BF120" s="1059">
        <v>0</v>
      </c>
      <c r="BG120" s="1076">
        <f t="shared" si="88"/>
        <v>338.13676990847972</v>
      </c>
      <c r="BI120" s="1057">
        <f t="shared" si="89"/>
        <v>198.39359286637395</v>
      </c>
      <c r="BJ120" s="1058">
        <f t="shared" si="90"/>
        <v>127.96131051389473</v>
      </c>
      <c r="BK120" s="1083">
        <f t="shared" si="91"/>
        <v>11.781866528211005</v>
      </c>
      <c r="BL120" s="1058">
        <f t="shared" si="61"/>
        <v>338.13676990847972</v>
      </c>
      <c r="BM120" s="1059">
        <v>0</v>
      </c>
      <c r="BN120" s="1076">
        <f t="shared" si="92"/>
        <v>338.13676990847972</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39" t="s">
        <v>315</v>
      </c>
      <c r="E1" s="1172" t="s">
        <v>320</v>
      </c>
      <c r="F1" s="104"/>
      <c r="G1" s="104"/>
    </row>
    <row r="2" spans="1:66">
      <c r="A2" s="150"/>
      <c r="B2" s="99"/>
      <c r="C2" s="99"/>
      <c r="D2" s="104"/>
      <c r="E2" s="130"/>
      <c r="F2" s="104"/>
      <c r="G2" s="104"/>
    </row>
    <row r="3" spans="1:66">
      <c r="A3" s="150" t="s">
        <v>316</v>
      </c>
      <c r="B3" s="99"/>
      <c r="C3" s="99" t="str">
        <f>Parameters!D94</f>
        <v>varies</v>
      </c>
      <c r="D3" s="941">
        <v>0.4</v>
      </c>
      <c r="E3" s="1173">
        <f>Parameters!F94</f>
        <v>0.05</v>
      </c>
      <c r="F3" s="104"/>
      <c r="G3" s="104"/>
    </row>
    <row r="4" spans="1:66">
      <c r="A4" s="150" t="s">
        <v>260</v>
      </c>
      <c r="B4" s="99"/>
      <c r="C4" s="99">
        <f>Parameters!D95</f>
        <v>0.5</v>
      </c>
      <c r="D4" s="99">
        <f>Parameters!E95</f>
        <v>0.5</v>
      </c>
      <c r="E4" s="1173">
        <f>Parameters!F95</f>
        <v>0.5</v>
      </c>
      <c r="F4" s="104"/>
      <c r="G4" s="104"/>
    </row>
    <row r="5" spans="1:66">
      <c r="A5" s="174" t="s">
        <v>257</v>
      </c>
      <c r="B5" s="175"/>
      <c r="C5" s="175">
        <f>Parameters!D96</f>
        <v>0.05</v>
      </c>
      <c r="D5" s="99">
        <f>Parameters!E96</f>
        <v>0.05</v>
      </c>
      <c r="E5" s="1173">
        <f>Parameters!F96</f>
        <v>0.06</v>
      </c>
      <c r="F5" s="104"/>
      <c r="G5" s="104"/>
    </row>
    <row r="6" spans="1:66">
      <c r="A6" s="150" t="s">
        <v>258</v>
      </c>
      <c r="B6" s="107" t="s">
        <v>211</v>
      </c>
      <c r="C6" s="107">
        <f>Parameters!D97</f>
        <v>13.862943611198904</v>
      </c>
      <c r="D6" s="106">
        <f>Parameters!E97</f>
        <v>13.862943611198904</v>
      </c>
      <c r="E6" s="1174">
        <f>Parameters!F97</f>
        <v>11.552453009332423</v>
      </c>
      <c r="F6" s="104"/>
      <c r="G6" s="104"/>
    </row>
    <row r="7" spans="1:66">
      <c r="A7" s="150" t="s">
        <v>255</v>
      </c>
      <c r="B7" s="107" t="s">
        <v>256</v>
      </c>
      <c r="C7" s="107">
        <f>Parameters!D98</f>
        <v>6</v>
      </c>
      <c r="D7" s="99">
        <f>Parameters!E98</f>
        <v>6</v>
      </c>
      <c r="E7" s="1173">
        <f>Parameters!F98</f>
        <v>6</v>
      </c>
      <c r="F7" s="104"/>
      <c r="G7" s="104"/>
    </row>
    <row r="8" spans="1:66">
      <c r="A8" s="151" t="s">
        <v>248</v>
      </c>
      <c r="B8" s="108" t="s">
        <v>249</v>
      </c>
      <c r="C8" s="108">
        <f>Parameters!D99</f>
        <v>0.95122942450071402</v>
      </c>
      <c r="D8" s="158">
        <f>Parameters!E99</f>
        <v>0.95122942450071402</v>
      </c>
      <c r="E8" s="1175">
        <f>Parameters!F99</f>
        <v>0.94176453358424872</v>
      </c>
      <c r="F8" s="104"/>
      <c r="G8" s="104"/>
    </row>
    <row r="9" spans="1:66">
      <c r="A9" s="151" t="s">
        <v>250</v>
      </c>
      <c r="B9" s="108" t="s">
        <v>251</v>
      </c>
      <c r="C9" s="108">
        <f>Parameters!D100</f>
        <v>13</v>
      </c>
      <c r="D9" s="99">
        <f>Parameters!E100</f>
        <v>13</v>
      </c>
      <c r="E9" s="1173">
        <f>Parameters!F100</f>
        <v>13</v>
      </c>
      <c r="F9" s="104"/>
      <c r="G9" s="104"/>
      <c r="H9" s="561"/>
    </row>
    <row r="10" spans="1:66">
      <c r="A10" s="151" t="s">
        <v>252</v>
      </c>
      <c r="B10" s="108" t="s">
        <v>253</v>
      </c>
      <c r="C10" s="108">
        <f>Parameters!D101</f>
        <v>1</v>
      </c>
      <c r="D10" s="99">
        <f>Parameters!E101</f>
        <v>1</v>
      </c>
      <c r="E10" s="1173">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3">
        <f>Parameters!F102</f>
        <v>0.5</v>
      </c>
      <c r="F11" s="104"/>
      <c r="G11" s="104"/>
      <c r="X11" s="2"/>
      <c r="Y11" s="2"/>
      <c r="Z11" s="2"/>
      <c r="AA11" s="2"/>
      <c r="AB11" s="2"/>
      <c r="AC11" s="2"/>
      <c r="AD11" s="2"/>
      <c r="AE11" s="2"/>
      <c r="AF11" s="2"/>
      <c r="AG11" s="2"/>
      <c r="AH11" s="2"/>
      <c r="AI11" s="2"/>
    </row>
    <row r="12" spans="1:66" ht="15.75" thickBot="1">
      <c r="A12" s="151" t="s">
        <v>722</v>
      </c>
      <c r="B12" s="108">
        <v>2002</v>
      </c>
      <c r="C12" s="108"/>
      <c r="D12" s="1444">
        <f>'Waste Summary 2017 SASOW'!L29</f>
        <v>0.13527885904981399</v>
      </c>
      <c r="E12" s="1173"/>
      <c r="F12" s="104"/>
      <c r="G12" s="104"/>
      <c r="X12" s="2" t="s">
        <v>645</v>
      </c>
      <c r="Y12" s="2"/>
      <c r="Z12" s="2"/>
      <c r="AA12" s="2"/>
      <c r="AB12" s="2"/>
      <c r="AC12" s="2"/>
      <c r="AD12" s="2"/>
      <c r="AE12" s="2"/>
      <c r="AF12" s="2"/>
      <c r="AG12" s="2"/>
      <c r="AH12" s="2" t="s">
        <v>649</v>
      </c>
      <c r="AI12" s="2"/>
      <c r="BB12" s="314" t="s">
        <v>645</v>
      </c>
      <c r="BI12" t="s">
        <v>649</v>
      </c>
    </row>
    <row r="13" spans="1:66" ht="15.75" thickBot="1">
      <c r="A13" s="151" t="s">
        <v>722</v>
      </c>
      <c r="B13" s="108">
        <v>2017</v>
      </c>
      <c r="C13" s="108"/>
      <c r="D13" s="1444">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36" t="s">
        <v>319</v>
      </c>
      <c r="BC13" s="1737"/>
      <c r="BD13" s="1737"/>
      <c r="BE13" s="1737"/>
      <c r="BF13" s="1737"/>
      <c r="BG13" s="1738"/>
      <c r="BI13" s="1736" t="s">
        <v>319</v>
      </c>
      <c r="BJ13" s="1737"/>
      <c r="BK13" s="1737"/>
      <c r="BL13" s="1737"/>
      <c r="BM13" s="1737"/>
      <c r="BN13" s="1738"/>
    </row>
    <row r="14" spans="1:66" ht="15.75" thickBot="1">
      <c r="A14" s="152" t="s">
        <v>721</v>
      </c>
      <c r="B14" s="163"/>
      <c r="C14" s="163"/>
      <c r="D14" s="683">
        <f>'Waste Summary 2017 SASOW'!$L$26</f>
        <v>6.9875113374971584E-2</v>
      </c>
      <c r="E14" s="1445"/>
      <c r="F14" s="10"/>
      <c r="G14" s="10"/>
      <c r="H14" s="10"/>
      <c r="I14" s="10"/>
      <c r="J14" s="10"/>
      <c r="K14" s="10"/>
      <c r="L14" s="10"/>
      <c r="M14" s="10"/>
      <c r="N14" s="231"/>
      <c r="O14" s="10"/>
      <c r="P14" s="10"/>
      <c r="Q14" s="10"/>
      <c r="R14" s="10"/>
      <c r="S14" s="10"/>
      <c r="T14" s="10"/>
      <c r="U14" s="10"/>
      <c r="V14" s="10"/>
      <c r="W14" s="10"/>
      <c r="X14" s="2"/>
      <c r="AG14" s="10"/>
      <c r="AH14" s="2"/>
      <c r="AR14" s="2"/>
      <c r="BB14" s="1186"/>
      <c r="BC14" s="168"/>
      <c r="BD14" s="168"/>
      <c r="BE14" s="168"/>
      <c r="BF14" s="168"/>
      <c r="BG14" s="1187"/>
      <c r="BI14" s="1186"/>
      <c r="BJ14" s="168"/>
      <c r="BK14" s="168"/>
      <c r="BL14" s="168"/>
      <c r="BM14" s="168"/>
      <c r="BN14" s="1187"/>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6"/>
      <c r="BC15" s="168"/>
      <c r="BD15" s="168"/>
      <c r="BE15" s="168"/>
      <c r="BF15" s="168"/>
      <c r="BG15" s="1187"/>
      <c r="BI15" s="1186"/>
      <c r="BJ15" s="168"/>
      <c r="BK15" s="168"/>
      <c r="BL15" s="168"/>
      <c r="BM15" s="168"/>
      <c r="BN15" s="1187"/>
    </row>
    <row r="16" spans="1:66" ht="115.15" customHeight="1">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973" t="s">
        <v>722</v>
      </c>
      <c r="X16" s="213" t="s">
        <v>719</v>
      </c>
      <c r="Y16" s="214" t="s">
        <v>22</v>
      </c>
      <c r="Z16" s="214" t="s">
        <v>236</v>
      </c>
      <c r="AA16" s="215" t="s">
        <v>237</v>
      </c>
      <c r="AB16" s="215" t="s">
        <v>238</v>
      </c>
      <c r="AC16" s="215" t="s">
        <v>239</v>
      </c>
      <c r="AD16" s="215" t="s">
        <v>240</v>
      </c>
      <c r="AE16" s="215" t="s">
        <v>241</v>
      </c>
      <c r="AF16" s="221" t="s">
        <v>300</v>
      </c>
      <c r="AG16" s="1747" t="s">
        <v>722</v>
      </c>
      <c r="AH16" s="1450" t="s">
        <v>719</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70"/>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54"/>
      <c r="AH17" s="1451"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55"/>
      <c r="AH18" s="1452"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915">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915">
        <f t="shared" si="15"/>
        <v>9.3640777725485727</v>
      </c>
      <c r="AG32" s="1448">
        <f t="shared" si="16"/>
        <v>0.13527885904981399</v>
      </c>
      <c r="AH32" s="914">
        <f>'Baseline data (from input)'!AS18*AG32</f>
        <v>2138.4367811445532</v>
      </c>
      <c r="AI32" s="907">
        <f>Parameters!S133</f>
        <v>0.71500000000000008</v>
      </c>
      <c r="AJ32" s="907">
        <f t="shared" si="17"/>
        <v>0.4</v>
      </c>
      <c r="AK32" s="906">
        <f t="shared" si="18"/>
        <v>305.79645970367113</v>
      </c>
      <c r="AL32" s="906">
        <f t="shared" si="19"/>
        <v>305.79645970367113</v>
      </c>
      <c r="AM32" s="286">
        <f t="shared" si="20"/>
        <v>0</v>
      </c>
      <c r="AN32" s="906">
        <f t="shared" si="21"/>
        <v>579.75425759837856</v>
      </c>
      <c r="AO32" s="906">
        <f t="shared" si="22"/>
        <v>14.046116658822859</v>
      </c>
      <c r="AP32" s="915">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48">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915">
        <f t="shared" si="15"/>
        <v>18.84996586082281</v>
      </c>
      <c r="AG33" s="1448">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 t="shared" si="20"/>
        <v>0</v>
      </c>
      <c r="AN33" s="906">
        <f t="shared" si="21"/>
        <v>879.82401535960275</v>
      </c>
      <c r="AO33" s="906">
        <f t="shared" si="22"/>
        <v>28.274948791234216</v>
      </c>
      <c r="AP33" s="915">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48">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915">
        <f t="shared" si="15"/>
        <v>28.60634904478697</v>
      </c>
      <c r="AG34" s="1448">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915">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48">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915">
        <f t="shared" si="15"/>
        <v>38.734535622950872</v>
      </c>
      <c r="AG35" s="1448">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915">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48">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915">
        <f t="shared" si="15"/>
        <v>49.074310934930338</v>
      </c>
      <c r="AG36" s="1448">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915">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48">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915">
        <f t="shared" si="15"/>
        <v>59.452564886624224</v>
      </c>
      <c r="AG37" s="1448">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915">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48">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915">
        <f t="shared" si="15"/>
        <v>70.243785928404691</v>
      </c>
      <c r="AG38" s="1448">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915">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48">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915">
        <f t="shared" si="15"/>
        <v>81.077350939863791</v>
      </c>
      <c r="AG39" s="1448">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915">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48">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915">
        <f t="shared" si="15"/>
        <v>92.055005659246248</v>
      </c>
      <c r="AG40" s="1448">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915">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48">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915">
        <f t="shared" si="15"/>
        <v>103.28099766293691</v>
      </c>
      <c r="AG41" s="1448">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915">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48">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915">
        <f t="shared" si="15"/>
        <v>114.63195606672234</v>
      </c>
      <c r="AG42" s="1448">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915">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48">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915">
        <f t="shared" si="15"/>
        <v>125.70050463111039</v>
      </c>
      <c r="AG43" s="1448">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915">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48">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915">
        <f t="shared" si="15"/>
        <v>136.99089265868122</v>
      </c>
      <c r="AG44" s="1448">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915">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48">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915">
        <f t="shared" si="15"/>
        <v>148.79524106097486</v>
      </c>
      <c r="AG45" s="1448">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915">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48">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915">
        <f t="shared" si="15"/>
        <v>160.3372962145616</v>
      </c>
      <c r="AG46" s="1448">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915">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48">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915">
        <f t="shared" si="15"/>
        <v>171.73939556464839</v>
      </c>
      <c r="AG47" s="1448">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915">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48">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915">
        <f t="shared" si="15"/>
        <v>182.56733222173861</v>
      </c>
      <c r="AG48" s="1448">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915">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48">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915">
        <f t="shared" si="15"/>
        <v>193.44609110039212</v>
      </c>
      <c r="AG49" s="1448">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915">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48">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915">
        <f t="shared" si="15"/>
        <v>204.54414961208317</v>
      </c>
      <c r="AG50" s="1448">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915">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48">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915">
        <f t="shared" si="15"/>
        <v>216.46032341872123</v>
      </c>
      <c r="AG51" s="1448">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915">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48">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915">
        <f t="shared" si="15"/>
        <v>228.96890636598684</v>
      </c>
      <c r="AG52" s="1448">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915">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48">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915">
        <f t="shared" si="15"/>
        <v>240.77900761269916</v>
      </c>
      <c r="AG53" s="1448">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915">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48">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915">
        <f t="shared" si="15"/>
        <v>251.58884204027379</v>
      </c>
      <c r="AG54" s="1448">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915">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48">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915">
        <f t="shared" si="15"/>
        <v>263.02146603454077</v>
      </c>
      <c r="AG55" s="1448">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915">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48">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915">
        <f t="shared" si="15"/>
        <v>273.60935933985888</v>
      </c>
      <c r="AG56" s="1448">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915">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48">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915">
        <f t="shared" si="15"/>
        <v>283.6850511159094</v>
      </c>
      <c r="AG57" s="1448">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915">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48">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915">
        <f t="shared" si="15"/>
        <v>293.76133312416624</v>
      </c>
      <c r="AG58" s="1448">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915">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48">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915">
        <f t="shared" si="15"/>
        <v>304.35051489368533</v>
      </c>
      <c r="AG59" s="1448">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915">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48">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915">
        <f t="shared" si="15"/>
        <v>315.0199427756362</v>
      </c>
      <c r="AG60" s="1448">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915">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48">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915">
        <f t="shared" si="15"/>
        <v>325.08794056662492</v>
      </c>
      <c r="AG61" s="1448">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915">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48">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915">
        <f t="shared" si="15"/>
        <v>334.40596567053211</v>
      </c>
      <c r="AG62" s="1448">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915">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48">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915">
        <f t="shared" si="15"/>
        <v>342.73158931707127</v>
      </c>
      <c r="AG63" s="1448">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915">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48">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915">
        <f t="shared" si="15"/>
        <v>350.95504260935667</v>
      </c>
      <c r="AG64" s="1448">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915">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48">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915">
        <f t="shared" si="15"/>
        <v>359.57547105823437</v>
      </c>
      <c r="AG65" s="1448">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915">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48">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915">
        <f t="shared" si="15"/>
        <v>368.57331301474466</v>
      </c>
      <c r="AG66" s="1448">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915">
        <f t="shared" si="23"/>
        <v>368.57331301474466</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48">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915">
        <f t="shared" si="15"/>
        <v>378.27331018355466</v>
      </c>
      <c r="AG67" s="1448">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915">
        <f t="shared" si="23"/>
        <v>378.27331018355466</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48">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915">
        <f t="shared" si="15"/>
        <v>388.21979726742819</v>
      </c>
      <c r="AG68" s="1448">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915">
        <f t="shared" si="23"/>
        <v>388.21979726742819</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48">
        <f t="shared" si="8"/>
        <v>0.13527885904981399</v>
      </c>
      <c r="X69" s="914">
        <f>'Baseline data (from input)'!AS55*W69</f>
        <v>6285.0199437970532</v>
      </c>
      <c r="Y69" s="908">
        <f>Parameters!S170</f>
        <v>0.71500000000000008</v>
      </c>
      <c r="Z69" s="908">
        <f t="shared" si="9"/>
        <v>0.4</v>
      </c>
      <c r="AA69" s="906">
        <f t="shared" si="10"/>
        <v>898.75785196297875</v>
      </c>
      <c r="AB69" s="906">
        <f t="shared" si="11"/>
        <v>898.75785196297875</v>
      </c>
      <c r="AC69" s="286">
        <f t="shared" si="12"/>
        <v>0</v>
      </c>
      <c r="AD69" s="906">
        <f t="shared" si="13"/>
        <v>12537.571695398445</v>
      </c>
      <c r="AE69" s="906">
        <f t="shared" si="14"/>
        <v>596.73474626938241</v>
      </c>
      <c r="AF69" s="915">
        <f t="shared" si="15"/>
        <v>397.82316417958828</v>
      </c>
      <c r="AG69" s="1448">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920">
        <f t="shared" si="23"/>
        <v>397.82316417958828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3">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57">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4">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58">
        <f t="shared" si="16"/>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3">
        <f t="shared" si="31"/>
        <v>352.50382234400405</v>
      </c>
      <c r="BC71" s="1604">
        <f t="shared" si="32"/>
        <v>418.2113531506368</v>
      </c>
      <c r="BD71" s="1605">
        <f t="shared" ref="BD71:BD87" si="48">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4">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5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3">
        <f t="shared" si="31"/>
        <v>365.04160146921089</v>
      </c>
      <c r="BC72" s="1604">
        <f t="shared" si="32"/>
        <v>429.08635544976073</v>
      </c>
      <c r="BD72" s="1605">
        <f t="shared" si="48"/>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4">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5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3">
        <f t="shared" si="31"/>
        <v>377.380320424339</v>
      </c>
      <c r="BC73" s="1604">
        <f t="shared" si="32"/>
        <v>440.58813938995121</v>
      </c>
      <c r="BD73" s="1605">
        <f t="shared" si="48"/>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4">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58">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3">
        <f t="shared" si="31"/>
        <v>389.50320822466421</v>
      </c>
      <c r="BC74" s="1604">
        <f t="shared" si="32"/>
        <v>449.33471885423859</v>
      </c>
      <c r="BD74" s="1605">
        <f t="shared" si="48"/>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4">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58">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3">
        <f t="shared" si="31"/>
        <v>401.39828370560582</v>
      </c>
      <c r="BC75" s="1604">
        <f t="shared" si="32"/>
        <v>455.80540481488362</v>
      </c>
      <c r="BD75" s="1605">
        <f t="shared" si="48"/>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4">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58">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3">
        <f t="shared" si="31"/>
        <v>413.06606569957484</v>
      </c>
      <c r="BC76" s="1604">
        <f t="shared" si="32"/>
        <v>460.13310664023578</v>
      </c>
      <c r="BD76" s="1605">
        <f t="shared" si="48"/>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4">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58">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3">
        <f t="shared" si="31"/>
        <v>424.51763944073804</v>
      </c>
      <c r="BC77" s="1604">
        <f t="shared" si="32"/>
        <v>462.30164861039526</v>
      </c>
      <c r="BD77" s="1605">
        <f t="shared" si="48"/>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4">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58">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3">
        <f t="shared" si="31"/>
        <v>435.75891565885144</v>
      </c>
      <c r="BC78" s="1604">
        <f t="shared" si="32"/>
        <v>462.14243125415283</v>
      </c>
      <c r="BD78" s="1605">
        <f t="shared" si="48"/>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4">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58">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3">
        <f t="shared" si="31"/>
        <v>446.80677050108471</v>
      </c>
      <c r="BC79" s="1604">
        <f t="shared" si="32"/>
        <v>459.13306952818652</v>
      </c>
      <c r="BD79" s="1605">
        <f t="shared" si="48"/>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4">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58">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3">
        <f t="shared" si="31"/>
        <v>457.66467940490338</v>
      </c>
      <c r="BC80" s="1604">
        <f t="shared" si="32"/>
        <v>452.53335460608736</v>
      </c>
      <c r="BD80" s="1605">
        <f t="shared" si="48"/>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4">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58">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3">
        <f t="shared" si="31"/>
        <v>465.58393089502232</v>
      </c>
      <c r="BC81" s="1604">
        <f t="shared" si="32"/>
        <v>443.27742511609495</v>
      </c>
      <c r="BD81" s="1605">
        <f t="shared" si="48"/>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5">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5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3">
        <f t="shared" si="31"/>
        <v>471.51055951772577</v>
      </c>
      <c r="BC82" s="1604">
        <f t="shared" si="32"/>
        <v>431.40785228448499</v>
      </c>
      <c r="BD82" s="1605">
        <f t="shared" si="48"/>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5">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5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3">
        <f t="shared" si="31"/>
        <v>474.78721249604229</v>
      </c>
      <c r="BC83" s="1604">
        <f t="shared" si="32"/>
        <v>416.85758956150511</v>
      </c>
      <c r="BD83" s="1605">
        <f t="shared" si="48"/>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5">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59">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3">
        <f t="shared" si="31"/>
        <v>475.71077220994249</v>
      </c>
      <c r="BC84" s="1604">
        <f t="shared" si="32"/>
        <v>403.18657895653814</v>
      </c>
      <c r="BD84" s="1605">
        <f t="shared" si="48"/>
        <v>4.7452171293671848</v>
      </c>
      <c r="BE84" s="1604">
        <f t="shared" ref="BE84:BE120" si="54">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55">SUM(BI84:BK84)</f>
        <v>883.64256829584781</v>
      </c>
      <c r="BM84" s="1606">
        <v>0</v>
      </c>
      <c r="BN84" s="1607">
        <f t="shared" si="40"/>
        <v>883.64256829584781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5">
        <f t="shared" si="52"/>
        <v>2.197312110627072E-2</v>
      </c>
      <c r="X85" s="891">
        <f>'Baseline data (from input)'!AS71*W85</f>
        <v>1476.20316835363</v>
      </c>
      <c r="Y85" s="885">
        <f>Parameters!S186</f>
        <v>0.71500000000000008</v>
      </c>
      <c r="Z85" s="885">
        <f t="shared" ref="Z85:Z120" si="63">$D$3</f>
        <v>0.4</v>
      </c>
      <c r="AA85" s="884">
        <f t="shared" ref="AA85:AA120"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59">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3">
        <f t="shared" ref="BB85:BB120" si="81">V85</f>
        <v>474.45668773704853</v>
      </c>
      <c r="BC85" s="1604">
        <f t="shared" ref="BC85:BC120" si="82">AF85</f>
        <v>390.3012281152715</v>
      </c>
      <c r="BD85" s="1605">
        <f t="shared" si="48"/>
        <v>4.9551433411659982</v>
      </c>
      <c r="BE85" s="1604">
        <f t="shared" si="54"/>
        <v>869.71305919348606</v>
      </c>
      <c r="BF85" s="1606">
        <v>0</v>
      </c>
      <c r="BG85" s="1607">
        <f t="shared" ref="BG85:BG120" si="83">BE85-BF85</f>
        <v>869.71305919348606</v>
      </c>
      <c r="BI85" s="1603">
        <f t="shared" ref="BI85:BI120" si="84">V85</f>
        <v>474.45668773704853</v>
      </c>
      <c r="BJ85" s="1604">
        <f t="shared" ref="BJ85:BJ120" si="85">AP85</f>
        <v>390.3012281152715</v>
      </c>
      <c r="BK85" s="1605">
        <f t="shared" ref="BK85:BK120" si="86">AZ85</f>
        <v>4.9551433411659982</v>
      </c>
      <c r="BL85" s="1604">
        <f t="shared" si="55"/>
        <v>869.71305919348606</v>
      </c>
      <c r="BM85" s="1606">
        <v>0</v>
      </c>
      <c r="BN85" s="1607">
        <f t="shared" ref="BN85:BN120" si="87">BL85-BM85</f>
        <v>869.71305919348606</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5">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59">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3">
        <f t="shared" si="81"/>
        <v>471.19383124565587</v>
      </c>
      <c r="BC86" s="1604">
        <f t="shared" si="82"/>
        <v>378.12956244511162</v>
      </c>
      <c r="BD86" s="1605">
        <f t="shared" si="48"/>
        <v>5.1528444021078155</v>
      </c>
      <c r="BE86" s="1604">
        <f t="shared" si="54"/>
        <v>854.47623809287529</v>
      </c>
      <c r="BF86" s="1606">
        <v>0</v>
      </c>
      <c r="BG86" s="1607">
        <f t="shared" si="83"/>
        <v>854.47623809287529</v>
      </c>
      <c r="BI86" s="1603">
        <f t="shared" si="84"/>
        <v>471.19383124565587</v>
      </c>
      <c r="BJ86" s="1604">
        <f t="shared" si="85"/>
        <v>378.12956244511162</v>
      </c>
      <c r="BK86" s="1605">
        <f t="shared" si="86"/>
        <v>5.1528444021078155</v>
      </c>
      <c r="BL86" s="1604">
        <f t="shared" si="55"/>
        <v>854.47623809287529</v>
      </c>
      <c r="BM86" s="1606">
        <v>0</v>
      </c>
      <c r="BN86" s="1607">
        <f t="shared" si="87"/>
        <v>854.47623809287529</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6">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10940.456135133396</v>
      </c>
      <c r="AE87" s="894">
        <f t="shared" si="68"/>
        <v>549.90342073558929</v>
      </c>
      <c r="AF87" s="898">
        <f t="shared" si="69"/>
        <v>366.60228049039284</v>
      </c>
      <c r="AG87" s="1460">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10940.456135133396</v>
      </c>
      <c r="AO87" s="894">
        <f t="shared" si="75"/>
        <v>549.90342073558929</v>
      </c>
      <c r="AP87" s="898">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08">
        <f t="shared" si="81"/>
        <v>466.08505262809604</v>
      </c>
      <c r="BC87" s="1609">
        <f t="shared" si="82"/>
        <v>366.60228049039284</v>
      </c>
      <c r="BD87" s="1610">
        <f t="shared" si="48"/>
        <v>5.3390322495547968</v>
      </c>
      <c r="BE87" s="1609">
        <f t="shared" si="54"/>
        <v>838.02636536804357</v>
      </c>
      <c r="BF87" s="1611">
        <v>0</v>
      </c>
      <c r="BG87" s="1612">
        <f t="shared" si="83"/>
        <v>838.02636536804357</v>
      </c>
      <c r="BI87" s="1608">
        <f t="shared" si="84"/>
        <v>466.08505262809604</v>
      </c>
      <c r="BJ87" s="1609">
        <f t="shared" si="85"/>
        <v>366.60228049039284</v>
      </c>
      <c r="BK87" s="1610">
        <f t="shared" si="86"/>
        <v>5.3390322495547968</v>
      </c>
      <c r="BL87" s="1609">
        <f t="shared" si="55"/>
        <v>838.02636536804357</v>
      </c>
      <c r="BM87" s="1611">
        <v>0</v>
      </c>
      <c r="BN87" s="1612">
        <f t="shared" si="87"/>
        <v>838.02636536804357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1225.3415122615597</v>
      </c>
      <c r="Y88" s="853">
        <f>Parameters!S223</f>
        <v>0.71500000000000008</v>
      </c>
      <c r="Z88" s="853">
        <f t="shared" si="63"/>
        <v>0.4</v>
      </c>
      <c r="AA88" s="854">
        <f t="shared" si="64"/>
        <v>175.22383625340308</v>
      </c>
      <c r="AB88" s="854">
        <f t="shared" si="65"/>
        <v>175.22383625340308</v>
      </c>
      <c r="AC88" s="855">
        <f t="shared" si="66"/>
        <v>0</v>
      </c>
      <c r="AD88" s="854">
        <f t="shared" si="67"/>
        <v>10582.107629451648</v>
      </c>
      <c r="AE88" s="854">
        <f t="shared" si="68"/>
        <v>533.57234193514978</v>
      </c>
      <c r="AF88" s="856">
        <f t="shared" si="69"/>
        <v>355.71489462343317</v>
      </c>
      <c r="AH88" s="852">
        <f>'Recycling - Case 2'!AM178</f>
        <v>1225.3415122615597</v>
      </c>
      <c r="AI88" s="853">
        <f>Parameters!S223</f>
        <v>0.71500000000000008</v>
      </c>
      <c r="AJ88" s="853">
        <f t="shared" si="70"/>
        <v>0.4</v>
      </c>
      <c r="AK88" s="854">
        <f t="shared" si="71"/>
        <v>175.22383625340308</v>
      </c>
      <c r="AL88" s="854">
        <f t="shared" si="72"/>
        <v>175.22383625340308</v>
      </c>
      <c r="AM88" s="855">
        <f t="shared" si="73"/>
        <v>0</v>
      </c>
      <c r="AN88" s="854">
        <f t="shared" si="74"/>
        <v>10582.107629451648</v>
      </c>
      <c r="AO88" s="854">
        <f t="shared" si="75"/>
        <v>533.57234193514978</v>
      </c>
      <c r="AP88" s="856">
        <f t="shared" si="76"/>
        <v>355.71489462343317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AP88</f>
        <v>355.71489462343317</v>
      </c>
      <c r="BK88" s="1081">
        <f t="shared" si="86"/>
        <v>5.514377360864759</v>
      </c>
      <c r="BL88" s="1053">
        <f t="shared" si="55"/>
        <v>820.5169947820342</v>
      </c>
      <c r="BM88" s="1054">
        <v>0</v>
      </c>
      <c r="BN88" s="1074">
        <f t="shared" si="87"/>
        <v>820.5169947820342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882.77074787194999</v>
      </c>
      <c r="Y89" s="853">
        <f>Parameters!S224</f>
        <v>0.71500000000000008</v>
      </c>
      <c r="Z89" s="853">
        <f t="shared" si="63"/>
        <v>0.4</v>
      </c>
      <c r="AA89" s="854">
        <f t="shared" si="64"/>
        <v>126.23621694568887</v>
      </c>
      <c r="AB89" s="854">
        <f t="shared" si="65"/>
        <v>126.23621694568887</v>
      </c>
      <c r="AC89" s="855">
        <f t="shared" si="66"/>
        <v>0</v>
      </c>
      <c r="AD89" s="854">
        <f t="shared" si="67"/>
        <v>10192.248367313594</v>
      </c>
      <c r="AE89" s="854">
        <f t="shared" si="68"/>
        <v>516.09547908374179</v>
      </c>
      <c r="AF89" s="856">
        <f t="shared" si="69"/>
        <v>344.06365272249451</v>
      </c>
      <c r="AH89" s="852">
        <f>'Recycling - Case 2'!AM179</f>
        <v>882.77074787194999</v>
      </c>
      <c r="AI89" s="853">
        <f>Parameters!S224</f>
        <v>0.71500000000000008</v>
      </c>
      <c r="AJ89" s="853">
        <f t="shared" si="70"/>
        <v>0.4</v>
      </c>
      <c r="AK89" s="854">
        <f t="shared" si="71"/>
        <v>126.23621694568887</v>
      </c>
      <c r="AL89" s="854">
        <f t="shared" si="72"/>
        <v>126.23621694568887</v>
      </c>
      <c r="AM89" s="855">
        <f t="shared" si="73"/>
        <v>0</v>
      </c>
      <c r="AN89" s="854">
        <f t="shared" si="74"/>
        <v>10192.248367313594</v>
      </c>
      <c r="AO89" s="854">
        <f t="shared" si="75"/>
        <v>516.09547908374179</v>
      </c>
      <c r="AP89" s="856">
        <f t="shared" si="76"/>
        <v>344.06365272249451</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344.06365272249451</v>
      </c>
      <c r="BD89" s="1082">
        <f t="shared" ref="BD89:BD120" si="90">AZ89</f>
        <v>5.6975664484189794</v>
      </c>
      <c r="BE89" s="1056">
        <f t="shared" si="54"/>
        <v>801.89995091572371</v>
      </c>
      <c r="BF89" s="167">
        <v>0</v>
      </c>
      <c r="BG89" s="1075">
        <f t="shared" si="83"/>
        <v>801.89995091572371</v>
      </c>
      <c r="BI89" s="1055">
        <f t="shared" si="84"/>
        <v>452.13873174481023</v>
      </c>
      <c r="BJ89" s="1056">
        <f t="shared" si="85"/>
        <v>344.06365272249451</v>
      </c>
      <c r="BK89" s="1082">
        <f t="shared" si="86"/>
        <v>5.6975664484189794</v>
      </c>
      <c r="BL89" s="1056">
        <f t="shared" si="55"/>
        <v>801.89995091572371</v>
      </c>
      <c r="BM89" s="167">
        <v>0</v>
      </c>
      <c r="BN89" s="1075">
        <f t="shared" si="87"/>
        <v>801.89995091572371</v>
      </c>
    </row>
    <row r="90" spans="1:66">
      <c r="A90" s="927">
        <f>'Input data'!A120</f>
        <v>2020</v>
      </c>
      <c r="B90" s="824">
        <f>'Input data'!B120</f>
        <v>59.233695328537607</v>
      </c>
      <c r="C90" s="824">
        <f>'Recycling - Case 2'!AK100/B90</f>
        <v>397.8493879866673</v>
      </c>
      <c r="D90" s="825">
        <f>'Recycling - Case 2'!AM100</f>
        <v>0.38303620655521381</v>
      </c>
      <c r="E90" s="826">
        <f>'Recycling - Case 2'!BE100</f>
        <v>0.22351206103010779</v>
      </c>
      <c r="F90" s="826">
        <f>'Recycling - Case 2'!BF100</f>
        <v>0.28347376158239057</v>
      </c>
      <c r="G90" s="826">
        <f>'Recycling - Case 2'!BG100</f>
        <v>6.1781157599113887E-2</v>
      </c>
      <c r="H90" s="826">
        <f>'Recycling - Case 2'!BH100</f>
        <v>0</v>
      </c>
      <c r="I90" s="826">
        <f>'Recycling - Case 2'!BI100</f>
        <v>0</v>
      </c>
      <c r="J90" s="826">
        <f>'Recycling - Case 2'!BJ100</f>
        <v>0</v>
      </c>
      <c r="K90" s="826">
        <f>'Recycling - Case 2'!BK100</f>
        <v>0.43123301978838763</v>
      </c>
      <c r="L90" s="827">
        <f t="shared" si="89"/>
        <v>0.99999999999999978</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0.11493402451063983</v>
      </c>
      <c r="Q90" s="832">
        <f t="shared" si="57"/>
        <v>410.99812449503787</v>
      </c>
      <c r="R90" s="832">
        <f t="shared" si="58"/>
        <v>410.99812449503787</v>
      </c>
      <c r="S90" s="835">
        <f t="shared" si="59"/>
        <v>0</v>
      </c>
      <c r="T90" s="832">
        <f t="shared" si="60"/>
        <v>13423.383296353275</v>
      </c>
      <c r="U90" s="832">
        <f t="shared" si="61"/>
        <v>667.15925422828968</v>
      </c>
      <c r="V90" s="839">
        <f t="shared" si="62"/>
        <v>444.77283615219312</v>
      </c>
      <c r="X90" s="852">
        <f>'Recycling - Case 2'!AM140</f>
        <v>681.01604227970654</v>
      </c>
      <c r="Y90" s="853">
        <f>Parameters!S225</f>
        <v>0.71500000000000008</v>
      </c>
      <c r="Z90" s="853">
        <f t="shared" si="63"/>
        <v>0.4</v>
      </c>
      <c r="AA90" s="854">
        <f t="shared" si="64"/>
        <v>97.385294045998052</v>
      </c>
      <c r="AB90" s="854">
        <f t="shared" si="65"/>
        <v>97.385294045998052</v>
      </c>
      <c r="AC90" s="855">
        <f t="shared" si="66"/>
        <v>0</v>
      </c>
      <c r="AD90" s="854">
        <f t="shared" si="67"/>
        <v>9792.5518428540508</v>
      </c>
      <c r="AE90" s="854">
        <f t="shared" si="68"/>
        <v>497.08181850554195</v>
      </c>
      <c r="AF90" s="856">
        <f t="shared" si="69"/>
        <v>331.38787900369465</v>
      </c>
      <c r="AH90" s="852">
        <f>'Recycling - Case 2'!AM180</f>
        <v>681.01604227970654</v>
      </c>
      <c r="AI90" s="853">
        <f>Parameters!S225</f>
        <v>0.71500000000000008</v>
      </c>
      <c r="AJ90" s="853">
        <f t="shared" si="70"/>
        <v>0.4</v>
      </c>
      <c r="AK90" s="854">
        <f t="shared" si="71"/>
        <v>97.385294045998052</v>
      </c>
      <c r="AL90" s="854">
        <f t="shared" si="72"/>
        <v>97.385294045998052</v>
      </c>
      <c r="AM90" s="855">
        <f t="shared" si="73"/>
        <v>0</v>
      </c>
      <c r="AN90" s="854">
        <f t="shared" si="74"/>
        <v>9792.5518428540508</v>
      </c>
      <c r="AO90" s="854">
        <f t="shared" si="75"/>
        <v>497.08181850554195</v>
      </c>
      <c r="AP90" s="856">
        <f t="shared" si="76"/>
        <v>331.38787900369465</v>
      </c>
      <c r="AR90" s="1042">
        <f>'Recycling - Case 2'!G100</f>
        <v>557.52346890165177</v>
      </c>
      <c r="AS90" s="1043">
        <v>1</v>
      </c>
      <c r="AT90" s="1043">
        <f t="shared" si="77"/>
        <v>0.05</v>
      </c>
      <c r="AU90" s="1044">
        <f t="shared" si="78"/>
        <v>13.938086722541295</v>
      </c>
      <c r="AV90" s="1044">
        <f t="shared" si="79"/>
        <v>13.938086722541295</v>
      </c>
      <c r="AW90" s="1045">
        <f t="shared" si="80"/>
        <v>0</v>
      </c>
      <c r="AX90" s="1044">
        <f t="shared" si="44"/>
        <v>156.78078674311908</v>
      </c>
      <c r="AY90" s="1044">
        <f t="shared" si="49"/>
        <v>8.8328992684872976</v>
      </c>
      <c r="AZ90" s="1046">
        <f t="shared" si="47"/>
        <v>5.8885995123248653</v>
      </c>
      <c r="BA90" s="4"/>
      <c r="BB90" s="1055">
        <f t="shared" si="81"/>
        <v>444.77283615219312</v>
      </c>
      <c r="BC90" s="1056">
        <f t="shared" si="82"/>
        <v>331.38787900369465</v>
      </c>
      <c r="BD90" s="1082">
        <f t="shared" si="90"/>
        <v>5.8885995123248653</v>
      </c>
      <c r="BE90" s="1056">
        <f t="shared" si="54"/>
        <v>782.04931466821267</v>
      </c>
      <c r="BF90" s="167">
        <v>0</v>
      </c>
      <c r="BG90" s="1075">
        <f t="shared" si="83"/>
        <v>782.04931466821267</v>
      </c>
      <c r="BI90" s="1055">
        <f t="shared" si="84"/>
        <v>444.77283615219312</v>
      </c>
      <c r="BJ90" s="1056">
        <f t="shared" si="85"/>
        <v>331.38787900369465</v>
      </c>
      <c r="BK90" s="1082">
        <f t="shared" si="86"/>
        <v>5.8885995123248653</v>
      </c>
      <c r="BL90" s="1056">
        <f t="shared" si="55"/>
        <v>782.04931466821267</v>
      </c>
      <c r="BM90" s="167">
        <v>0</v>
      </c>
      <c r="BN90" s="1075">
        <f t="shared" si="87"/>
        <v>782.04931466821267</v>
      </c>
    </row>
    <row r="91" spans="1:66">
      <c r="A91" s="927">
        <f>'Input data'!A121</f>
        <v>2021</v>
      </c>
      <c r="B91" s="824">
        <f>'Input data'!B121</f>
        <v>60.170135702880636</v>
      </c>
      <c r="C91" s="824">
        <f>'Recycling - Case 2'!AK101/B91</f>
        <v>382.19225958949846</v>
      </c>
      <c r="D91" s="825">
        <f>'Recycling - Case 2'!AM101</f>
        <v>0.31498712956144492</v>
      </c>
      <c r="E91" s="826">
        <f>'Recycling - Case 2'!BE101</f>
        <v>0.19736152043486341</v>
      </c>
      <c r="F91" s="826">
        <f>'Recycling - Case 2'!BF101</f>
        <v>0.25030780142890974</v>
      </c>
      <c r="G91" s="826">
        <f>'Recycling - Case 2'!BG101</f>
        <v>6.8376800756689768E-2</v>
      </c>
      <c r="H91" s="826">
        <f>'Recycling - Case 2'!BH101</f>
        <v>0</v>
      </c>
      <c r="I91" s="826">
        <f>'Recycling - Case 2'!BI101</f>
        <v>0</v>
      </c>
      <c r="J91" s="826">
        <f>'Recycling - Case 2'!BJ101</f>
        <v>0</v>
      </c>
      <c r="K91" s="826">
        <f>'Recycling - Case 2'!BK101</f>
        <v>0.48395387737953699</v>
      </c>
      <c r="L91" s="827">
        <f t="shared" si="89"/>
        <v>0.99999999999999989</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0.10701650865368736</v>
      </c>
      <c r="Q91" s="832">
        <f t="shared" si="57"/>
        <v>315.1433189983041</v>
      </c>
      <c r="R91" s="832">
        <f t="shared" si="58"/>
        <v>315.1433189983041</v>
      </c>
      <c r="S91" s="835">
        <f t="shared" si="59"/>
        <v>0</v>
      </c>
      <c r="T91" s="832">
        <f t="shared" si="60"/>
        <v>13083.860486840927</v>
      </c>
      <c r="U91" s="832">
        <f t="shared" si="61"/>
        <v>654.66612851065179</v>
      </c>
      <c r="V91" s="839">
        <f t="shared" si="62"/>
        <v>436.44408567376786</v>
      </c>
      <c r="W91" s="4"/>
      <c r="X91" s="852">
        <f>'Recycling - Case 2'!AM141</f>
        <v>109.8246379386195</v>
      </c>
      <c r="Y91" s="853">
        <f>Parameters!S226</f>
        <v>0.71500000000000008</v>
      </c>
      <c r="Z91" s="853">
        <f t="shared" si="63"/>
        <v>0.4</v>
      </c>
      <c r="AA91" s="854">
        <f t="shared" si="64"/>
        <v>15.704923225222592</v>
      </c>
      <c r="AB91" s="854">
        <f t="shared" si="65"/>
        <v>15.704923225222592</v>
      </c>
      <c r="AC91" s="855">
        <f t="shared" si="66"/>
        <v>0</v>
      </c>
      <c r="AD91" s="854">
        <f t="shared" si="67"/>
        <v>9330.6683770966883</v>
      </c>
      <c r="AE91" s="854">
        <f t="shared" si="68"/>
        <v>477.58838898258557</v>
      </c>
      <c r="AF91" s="856">
        <f t="shared" si="69"/>
        <v>318.39225932172371</v>
      </c>
      <c r="AG91" s="4"/>
      <c r="AH91" s="852">
        <f>'Recycling - Case 2'!AM181</f>
        <v>109.8246379386195</v>
      </c>
      <c r="AI91" s="853">
        <f>Parameters!S226</f>
        <v>0.71500000000000008</v>
      </c>
      <c r="AJ91" s="853">
        <f t="shared" si="70"/>
        <v>0.4</v>
      </c>
      <c r="AK91" s="854">
        <f t="shared" si="71"/>
        <v>15.704923225222592</v>
      </c>
      <c r="AL91" s="854">
        <f t="shared" si="72"/>
        <v>15.704923225222592</v>
      </c>
      <c r="AM91" s="855">
        <f t="shared" si="73"/>
        <v>0</v>
      </c>
      <c r="AN91" s="854">
        <f t="shared" si="74"/>
        <v>9330.6683770966883</v>
      </c>
      <c r="AO91" s="854">
        <f t="shared" si="75"/>
        <v>477.58838898258557</v>
      </c>
      <c r="AP91" s="856">
        <f t="shared" si="76"/>
        <v>318.39225932172371</v>
      </c>
      <c r="AR91" s="1042">
        <f>'Recycling - Case 2'!G101</f>
        <v>577.33771181333202</v>
      </c>
      <c r="AS91" s="1043">
        <v>1</v>
      </c>
      <c r="AT91" s="1043">
        <f t="shared" si="77"/>
        <v>0.05</v>
      </c>
      <c r="AU91" s="1044">
        <f t="shared" si="78"/>
        <v>14.433442795333301</v>
      </c>
      <c r="AV91" s="1044">
        <f t="shared" si="79"/>
        <v>14.433442795333301</v>
      </c>
      <c r="AW91" s="1045">
        <f t="shared" si="80"/>
        <v>0</v>
      </c>
      <c r="AX91" s="1044">
        <f t="shared" si="44"/>
        <v>162.08402729743841</v>
      </c>
      <c r="AY91" s="1044">
        <f t="shared" si="49"/>
        <v>9.1302022410139756</v>
      </c>
      <c r="AZ91" s="1046">
        <f t="shared" si="47"/>
        <v>6.0868014940093174</v>
      </c>
      <c r="BA91" s="4"/>
      <c r="BB91" s="1055">
        <f t="shared" si="81"/>
        <v>436.44408567376786</v>
      </c>
      <c r="BC91" s="1056">
        <f t="shared" si="82"/>
        <v>318.39225932172371</v>
      </c>
      <c r="BD91" s="1082">
        <f t="shared" si="90"/>
        <v>6.0868014940093174</v>
      </c>
      <c r="BE91" s="1056">
        <f t="shared" si="54"/>
        <v>760.92314648950094</v>
      </c>
      <c r="BF91" s="167">
        <v>0</v>
      </c>
      <c r="BG91" s="1075">
        <f t="shared" si="83"/>
        <v>760.92314648950094</v>
      </c>
      <c r="BI91" s="1055">
        <f t="shared" si="84"/>
        <v>436.44408567376786</v>
      </c>
      <c r="BJ91" s="1056">
        <f t="shared" si="85"/>
        <v>318.39225932172371</v>
      </c>
      <c r="BK91" s="1082">
        <f t="shared" si="86"/>
        <v>6.0868014940093174</v>
      </c>
      <c r="BL91" s="1056">
        <f t="shared" si="55"/>
        <v>760.92314648950094</v>
      </c>
      <c r="BM91" s="167">
        <v>0</v>
      </c>
      <c r="BN91" s="1075">
        <f t="shared" si="87"/>
        <v>760.92314648950094</v>
      </c>
    </row>
    <row r="92" spans="1:66">
      <c r="A92" s="927">
        <f>'Input data'!A122</f>
        <v>2022</v>
      </c>
      <c r="B92" s="824">
        <f>'Input data'!B122</f>
        <v>61.14166465104848</v>
      </c>
      <c r="C92" s="824">
        <f>'Recycling - Case 2'!AK102/B92</f>
        <v>355.54487188414544</v>
      </c>
      <c r="D92" s="825">
        <f>'Recycling - Case 2'!AM102</f>
        <v>0.25631891547966201</v>
      </c>
      <c r="E92" s="826">
        <f>'Recycling - Case 2'!BE102</f>
        <v>0.18360143536827264</v>
      </c>
      <c r="F92" s="826">
        <f>'Recycling - Case 2'!BF102</f>
        <v>0.23285629095764823</v>
      </c>
      <c r="G92" s="826">
        <f>'Recycling - Case 2'!BG102</f>
        <v>7.1316753843621669E-2</v>
      </c>
      <c r="H92" s="826">
        <f>'Recycling - Case 2'!BH102</f>
        <v>0</v>
      </c>
      <c r="I92" s="826">
        <f>'Recycling - Case 2'!BI102</f>
        <v>0</v>
      </c>
      <c r="J92" s="826">
        <f>'Recycling - Case 2'!BJ102</f>
        <v>0</v>
      </c>
      <c r="K92" s="826">
        <f>'Recycling - Case 2'!BK102</f>
        <v>0.51222551983045739</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0.10263817503421922</v>
      </c>
      <c r="Q92" s="832">
        <f t="shared" si="57"/>
        <v>238.43894429889573</v>
      </c>
      <c r="R92" s="832">
        <f t="shared" si="58"/>
        <v>238.43894429889573</v>
      </c>
      <c r="S92" s="835">
        <f t="shared" si="59"/>
        <v>0</v>
      </c>
      <c r="T92" s="832">
        <f t="shared" si="60"/>
        <v>12684.192025444223</v>
      </c>
      <c r="U92" s="832">
        <f t="shared" si="61"/>
        <v>638.10740569560016</v>
      </c>
      <c r="V92" s="839">
        <f t="shared" si="62"/>
        <v>425.40493713040013</v>
      </c>
      <c r="W92" s="4"/>
      <c r="X92" s="852">
        <f>'Recycling - Case 2'!AM142</f>
        <v>0</v>
      </c>
      <c r="Y92" s="853">
        <f>Parameters!S227</f>
        <v>0.71500000000000008</v>
      </c>
      <c r="Z92" s="853">
        <f t="shared" si="63"/>
        <v>0.4</v>
      </c>
      <c r="AA92" s="854">
        <f t="shared" si="64"/>
        <v>0</v>
      </c>
      <c r="AB92" s="854">
        <f t="shared" si="65"/>
        <v>0</v>
      </c>
      <c r="AC92" s="855">
        <f t="shared" si="66"/>
        <v>0</v>
      </c>
      <c r="AD92" s="854">
        <f t="shared" si="67"/>
        <v>8875.6063105526937</v>
      </c>
      <c r="AE92" s="854">
        <f t="shared" si="68"/>
        <v>455.06206654399426</v>
      </c>
      <c r="AF92" s="856">
        <f t="shared" si="69"/>
        <v>303.37471102932949</v>
      </c>
      <c r="AG92" s="4"/>
      <c r="AH92" s="852">
        <f>'Recycling - Case 2'!AM182</f>
        <v>0</v>
      </c>
      <c r="AI92" s="853">
        <f>Parameters!S227</f>
        <v>0.71500000000000008</v>
      </c>
      <c r="AJ92" s="853">
        <f t="shared" si="70"/>
        <v>0.4</v>
      </c>
      <c r="AK92" s="854">
        <f t="shared" si="71"/>
        <v>0</v>
      </c>
      <c r="AL92" s="854">
        <f t="shared" si="72"/>
        <v>0</v>
      </c>
      <c r="AM92" s="855">
        <f t="shared" si="73"/>
        <v>0</v>
      </c>
      <c r="AN92" s="854">
        <f t="shared" si="74"/>
        <v>8875.6063105526937</v>
      </c>
      <c r="AO92" s="854">
        <f t="shared" si="75"/>
        <v>455.06206654399426</v>
      </c>
      <c r="AP92" s="856">
        <f t="shared" si="76"/>
        <v>303.37471102932949</v>
      </c>
      <c r="AR92" s="1042">
        <f>'Recycling - Case 2'!G102</f>
        <v>597.83744475839228</v>
      </c>
      <c r="AS92" s="1043">
        <v>1</v>
      </c>
      <c r="AT92" s="1043">
        <f t="shared" si="77"/>
        <v>0.05</v>
      </c>
      <c r="AU92" s="1044">
        <f t="shared" si="78"/>
        <v>14.945936118959807</v>
      </c>
      <c r="AV92" s="1044">
        <f t="shared" si="79"/>
        <v>14.945936118959807</v>
      </c>
      <c r="AW92" s="1045">
        <f t="shared" si="80"/>
        <v>0</v>
      </c>
      <c r="AX92" s="1044">
        <f t="shared" si="44"/>
        <v>167.59092448818853</v>
      </c>
      <c r="AY92" s="1044">
        <f t="shared" si="49"/>
        <v>9.4390389282096887</v>
      </c>
      <c r="AZ92" s="1046">
        <f t="shared" si="47"/>
        <v>6.2926926188064591</v>
      </c>
      <c r="BA92" s="4"/>
      <c r="BB92" s="1055">
        <f t="shared" si="81"/>
        <v>425.40493713040013</v>
      </c>
      <c r="BC92" s="1056">
        <f t="shared" si="82"/>
        <v>303.37471102932949</v>
      </c>
      <c r="BD92" s="1082">
        <f t="shared" si="90"/>
        <v>6.2926926188064591</v>
      </c>
      <c r="BE92" s="1056">
        <f t="shared" si="54"/>
        <v>735.07234077853605</v>
      </c>
      <c r="BF92" s="167">
        <v>0</v>
      </c>
      <c r="BG92" s="1075">
        <f t="shared" si="83"/>
        <v>735.07234077853605</v>
      </c>
      <c r="BI92" s="1055">
        <f t="shared" si="84"/>
        <v>425.40493713040013</v>
      </c>
      <c r="BJ92" s="1056">
        <f t="shared" si="85"/>
        <v>303.37471102932949</v>
      </c>
      <c r="BK92" s="1082">
        <f t="shared" si="86"/>
        <v>6.2926926188064591</v>
      </c>
      <c r="BL92" s="1056">
        <f t="shared" si="55"/>
        <v>735.07234077853605</v>
      </c>
      <c r="BM92" s="167">
        <v>0</v>
      </c>
      <c r="BN92" s="1075">
        <f t="shared" si="87"/>
        <v>735.07234077853605</v>
      </c>
    </row>
    <row r="93" spans="1:66">
      <c r="A93" s="927">
        <f>'Input data'!A123</f>
        <v>2023</v>
      </c>
      <c r="B93" s="824">
        <f>'Input data'!B123</f>
        <v>62.126086164056694</v>
      </c>
      <c r="C93" s="824">
        <f>'Recycling - Case 2'!AK103/B93</f>
        <v>346.52989939277177</v>
      </c>
      <c r="D93" s="825">
        <f>'Recycling - Case 2'!AM103</f>
        <v>0.24329068493994582</v>
      </c>
      <c r="E93" s="826">
        <f>'Recycling - Case 2'!BE103</f>
        <v>0.18745716246972946</v>
      </c>
      <c r="F93" s="826">
        <f>'Recycling - Case 2'!BF103</f>
        <v>0.2377463960376506</v>
      </c>
      <c r="G93" s="826">
        <f>'Recycling - Case 2'!BG103</f>
        <v>6.9296646547789428E-2</v>
      </c>
      <c r="H93" s="826">
        <f>'Recycling - Case 2'!BH103</f>
        <v>0</v>
      </c>
      <c r="I93" s="826">
        <f>'Recycling - Case 2'!BI103</f>
        <v>0</v>
      </c>
      <c r="J93" s="826">
        <f>'Recycling - Case 2'!BJ103</f>
        <v>0</v>
      </c>
      <c r="K93" s="826">
        <f>'Recycling - Case 2'!BK103</f>
        <v>0.50549979494483033</v>
      </c>
      <c r="L93" s="827">
        <f t="shared" si="89"/>
        <v>0.99999999999999978</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0.10338651219710532</v>
      </c>
      <c r="Q93" s="832">
        <f t="shared" si="57"/>
        <v>231.39010524170777</v>
      </c>
      <c r="R93" s="832">
        <f t="shared" si="58"/>
        <v>231.39010524170777</v>
      </c>
      <c r="S93" s="835">
        <f t="shared" si="59"/>
        <v>0</v>
      </c>
      <c r="T93" s="832">
        <f t="shared" si="60"/>
        <v>12296.966785861561</v>
      </c>
      <c r="U93" s="832">
        <f t="shared" si="61"/>
        <v>618.61534482436866</v>
      </c>
      <c r="V93" s="839">
        <f t="shared" si="62"/>
        <v>412.41022988291246</v>
      </c>
      <c r="W93" s="4"/>
      <c r="X93" s="852">
        <f>'Recycling - Case 2'!AM143</f>
        <v>0</v>
      </c>
      <c r="Y93" s="853">
        <f>Parameters!S228</f>
        <v>0.71500000000000008</v>
      </c>
      <c r="Z93" s="853">
        <f t="shared" si="63"/>
        <v>0.4</v>
      </c>
      <c r="AA93" s="854">
        <f t="shared" si="64"/>
        <v>0</v>
      </c>
      <c r="AB93" s="854">
        <f t="shared" si="65"/>
        <v>0</v>
      </c>
      <c r="AC93" s="855">
        <f t="shared" si="66"/>
        <v>0</v>
      </c>
      <c r="AD93" s="854">
        <f t="shared" si="67"/>
        <v>8442.7378828819437</v>
      </c>
      <c r="AE93" s="854">
        <f t="shared" si="68"/>
        <v>432.86842767074927</v>
      </c>
      <c r="AF93" s="856">
        <f t="shared" si="69"/>
        <v>288.57895178049949</v>
      </c>
      <c r="AG93" s="4"/>
      <c r="AH93" s="852">
        <f>'Recycling - Case 2'!AM183</f>
        <v>0</v>
      </c>
      <c r="AI93" s="853">
        <f>Parameters!S228</f>
        <v>0.71500000000000008</v>
      </c>
      <c r="AJ93" s="853">
        <f t="shared" si="70"/>
        <v>0.4</v>
      </c>
      <c r="AK93" s="854">
        <f t="shared" si="71"/>
        <v>0</v>
      </c>
      <c r="AL93" s="854">
        <f t="shared" si="72"/>
        <v>0</v>
      </c>
      <c r="AM93" s="855">
        <f t="shared" si="73"/>
        <v>0</v>
      </c>
      <c r="AN93" s="854">
        <f t="shared" si="74"/>
        <v>8442.7378828819437</v>
      </c>
      <c r="AO93" s="854">
        <f t="shared" si="75"/>
        <v>432.86842767074927</v>
      </c>
      <c r="AP93" s="856">
        <f t="shared" si="76"/>
        <v>288.57895178049949</v>
      </c>
      <c r="AQ93" s="4"/>
      <c r="AR93" s="1042">
        <f>'Recycling - Case 2'!G103</f>
        <v>618.82082392987854</v>
      </c>
      <c r="AS93" s="1043">
        <v>1</v>
      </c>
      <c r="AT93" s="1043">
        <f t="shared" si="77"/>
        <v>0.05</v>
      </c>
      <c r="AU93" s="1044">
        <f t="shared" si="78"/>
        <v>15.470520598246964</v>
      </c>
      <c r="AV93" s="1044">
        <f t="shared" si="79"/>
        <v>15.470520598246964</v>
      </c>
      <c r="AW93" s="1045">
        <f t="shared" si="80"/>
        <v>0</v>
      </c>
      <c r="AX93" s="1044">
        <f t="shared" si="44"/>
        <v>173.30170943181889</v>
      </c>
      <c r="AY93" s="1044">
        <f t="shared" si="49"/>
        <v>9.7597356546166125</v>
      </c>
      <c r="AZ93" s="1046">
        <f t="shared" si="47"/>
        <v>6.5064904364110747</v>
      </c>
      <c r="BA93" s="4"/>
      <c r="BB93" s="1055">
        <f t="shared" si="81"/>
        <v>412.41022988291246</v>
      </c>
      <c r="BC93" s="1056">
        <f t="shared" si="82"/>
        <v>288.57895178049949</v>
      </c>
      <c r="BD93" s="1082">
        <f t="shared" si="90"/>
        <v>6.5064904364110747</v>
      </c>
      <c r="BE93" s="1056">
        <f t="shared" si="54"/>
        <v>707.49567209982308</v>
      </c>
      <c r="BF93" s="167">
        <v>0</v>
      </c>
      <c r="BG93" s="1075">
        <f t="shared" si="83"/>
        <v>707.49567209982308</v>
      </c>
      <c r="BI93" s="1055">
        <f t="shared" si="84"/>
        <v>412.41022988291246</v>
      </c>
      <c r="BJ93" s="1056">
        <f t="shared" si="85"/>
        <v>288.57895178049949</v>
      </c>
      <c r="BK93" s="1082">
        <f t="shared" si="86"/>
        <v>6.5064904364110747</v>
      </c>
      <c r="BL93" s="1056">
        <f t="shared" si="55"/>
        <v>707.49567209982308</v>
      </c>
      <c r="BM93" s="167">
        <v>0</v>
      </c>
      <c r="BN93" s="1075">
        <f t="shared" si="87"/>
        <v>707.49567209982308</v>
      </c>
    </row>
    <row r="94" spans="1:66">
      <c r="A94" s="927">
        <f>'Input data'!A124</f>
        <v>2024</v>
      </c>
      <c r="B94" s="824">
        <f>'Input data'!B124</f>
        <v>63.126357518916684</v>
      </c>
      <c r="C94" s="824">
        <f>'Recycling - Case 2'!AK104/B94</f>
        <v>337.77654581786828</v>
      </c>
      <c r="D94" s="825">
        <f>'Recycling - Case 2'!AM104</f>
        <v>0.2299613163419901</v>
      </c>
      <c r="E94" s="826">
        <f>'Recycling - Case 2'!BE104</f>
        <v>0.19134670304670273</v>
      </c>
      <c r="F94" s="826">
        <f>'Recycling - Case 2'!BF104</f>
        <v>0.24267938575239112</v>
      </c>
      <c r="G94" s="826">
        <f>'Recycling - Case 2'!BG104</f>
        <v>6.7253035129584013E-2</v>
      </c>
      <c r="H94" s="826">
        <f>'Recycling - Case 2'!BH104</f>
        <v>0</v>
      </c>
      <c r="I94" s="826">
        <f>'Recycling - Case 2'!BI104</f>
        <v>0</v>
      </c>
      <c r="J94" s="826">
        <f>'Recycling - Case 2'!BJ104</f>
        <v>0</v>
      </c>
      <c r="K94" s="826">
        <f>'Recycling - Case 2'!BK104</f>
        <v>0.49872087607132221</v>
      </c>
      <c r="L94" s="827">
        <f t="shared" si="89"/>
        <v>1</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0.10413909665931723</v>
      </c>
      <c r="Q94" s="832">
        <f t="shared" si="57"/>
        <v>223.50010268646156</v>
      </c>
      <c r="R94" s="832">
        <f t="shared" si="58"/>
        <v>223.50010268646156</v>
      </c>
      <c r="S94" s="835">
        <f t="shared" si="59"/>
        <v>0</v>
      </c>
      <c r="T94" s="832">
        <f t="shared" si="60"/>
        <v>11920.736741505949</v>
      </c>
      <c r="U94" s="832">
        <f t="shared" si="61"/>
        <v>599.73014704207333</v>
      </c>
      <c r="V94" s="839">
        <f t="shared" si="62"/>
        <v>399.8200980280489</v>
      </c>
      <c r="W94" s="4"/>
      <c r="X94" s="852">
        <f>'Recycling - Case 2'!AM144</f>
        <v>0</v>
      </c>
      <c r="Y94" s="853">
        <f>Parameters!S229</f>
        <v>0.71500000000000008</v>
      </c>
      <c r="Z94" s="853">
        <f t="shared" si="63"/>
        <v>0.4</v>
      </c>
      <c r="AA94" s="854">
        <f t="shared" si="64"/>
        <v>0</v>
      </c>
      <c r="AB94" s="854">
        <f t="shared" si="65"/>
        <v>0</v>
      </c>
      <c r="AC94" s="855">
        <f t="shared" si="66"/>
        <v>0</v>
      </c>
      <c r="AD94" s="854">
        <f t="shared" si="67"/>
        <v>8030.9806975441679</v>
      </c>
      <c r="AE94" s="854">
        <f t="shared" si="68"/>
        <v>411.75718533777575</v>
      </c>
      <c r="AF94" s="856">
        <f t="shared" si="69"/>
        <v>274.50479022518385</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8030.9806975441679</v>
      </c>
      <c r="AO94" s="854">
        <f t="shared" si="75"/>
        <v>411.75718533777575</v>
      </c>
      <c r="AP94" s="856">
        <f t="shared" si="76"/>
        <v>274.50479022518385</v>
      </c>
      <c r="AQ94" s="4"/>
      <c r="AR94" s="1042">
        <f>'Recycling - Case 2'!G104</f>
        <v>640.32491759242828</v>
      </c>
      <c r="AS94" s="1043">
        <v>1</v>
      </c>
      <c r="AT94" s="1043">
        <f t="shared" si="77"/>
        <v>0.05</v>
      </c>
      <c r="AU94" s="1044">
        <f t="shared" si="78"/>
        <v>16.008122939810708</v>
      </c>
      <c r="AV94" s="1044">
        <f t="shared" si="79"/>
        <v>16.008122939810708</v>
      </c>
      <c r="AW94" s="1045">
        <f t="shared" si="80"/>
        <v>0</v>
      </c>
      <c r="AX94" s="1044">
        <f t="shared" si="44"/>
        <v>179.21752649222063</v>
      </c>
      <c r="AY94" s="1044">
        <f t="shared" si="49"/>
        <v>10.092305879408975</v>
      </c>
      <c r="AZ94" s="1046">
        <f t="shared" si="47"/>
        <v>6.728203919605984</v>
      </c>
      <c r="BA94" s="4"/>
      <c r="BB94" s="1055">
        <f t="shared" si="81"/>
        <v>399.8200980280489</v>
      </c>
      <c r="BC94" s="1056">
        <f t="shared" si="82"/>
        <v>274.50479022518385</v>
      </c>
      <c r="BD94" s="1082">
        <f t="shared" si="90"/>
        <v>6.728203919605984</v>
      </c>
      <c r="BE94" s="1056">
        <f t="shared" si="54"/>
        <v>681.05309217283877</v>
      </c>
      <c r="BF94" s="167">
        <v>0</v>
      </c>
      <c r="BG94" s="1075">
        <f t="shared" si="83"/>
        <v>681.05309217283877</v>
      </c>
      <c r="BI94" s="1055">
        <f t="shared" si="84"/>
        <v>399.8200980280489</v>
      </c>
      <c r="BJ94" s="1056">
        <f t="shared" si="85"/>
        <v>274.50479022518385</v>
      </c>
      <c r="BK94" s="1082">
        <f t="shared" si="86"/>
        <v>6.728203919605984</v>
      </c>
      <c r="BL94" s="1056">
        <f t="shared" si="55"/>
        <v>681.05309217283877</v>
      </c>
      <c r="BM94" s="167">
        <v>0</v>
      </c>
      <c r="BN94" s="1075">
        <f t="shared" si="87"/>
        <v>681.05309217283877</v>
      </c>
    </row>
    <row r="95" spans="1:66">
      <c r="A95" s="927">
        <f>'Input data'!A125</f>
        <v>2025</v>
      </c>
      <c r="B95" s="824">
        <f>'Input data'!B125</f>
        <v>64.142733908636146</v>
      </c>
      <c r="C95" s="824">
        <f>'Recycling - Case 2'!AK105/B95</f>
        <v>329.2785704856388</v>
      </c>
      <c r="D95" s="825">
        <f>'Recycling - Case 2'!AM105</f>
        <v>0.21632925405871489</v>
      </c>
      <c r="E95" s="826">
        <f>'Recycling - Case 2'!BE105</f>
        <v>0.19527224608582083</v>
      </c>
      <c r="F95" s="826">
        <f>'Recycling - Case 2'!BF105</f>
        <v>0.24765803632911534</v>
      </c>
      <c r="G95" s="826">
        <f>'Recycling - Case 2'!BG105</f>
        <v>6.5184733616196297E-2</v>
      </c>
      <c r="H95" s="826">
        <f>'Recycling - Case 2'!BH105</f>
        <v>0</v>
      </c>
      <c r="I95" s="826">
        <f>'Recycling - Case 2'!BI105</f>
        <v>0</v>
      </c>
      <c r="J95" s="826">
        <f>'Recycling - Case 2'!BJ105</f>
        <v>0</v>
      </c>
      <c r="K95" s="826">
        <f>'Recycling - Case 2'!BK105</f>
        <v>0.49188498396886748</v>
      </c>
      <c r="L95" s="827">
        <f t="shared" si="89"/>
        <v>0.99999999999999989</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0.10489633762517471</v>
      </c>
      <c r="Q95" s="832">
        <f t="shared" si="57"/>
        <v>214.7529260127512</v>
      </c>
      <c r="R95" s="832">
        <f t="shared" si="58"/>
        <v>214.7529260127512</v>
      </c>
      <c r="S95" s="835">
        <f t="shared" si="59"/>
        <v>0</v>
      </c>
      <c r="T95" s="832">
        <f t="shared" si="60"/>
        <v>11554.108476259971</v>
      </c>
      <c r="U95" s="832">
        <f t="shared" si="61"/>
        <v>581.38119125872822</v>
      </c>
      <c r="V95" s="839">
        <f t="shared" si="62"/>
        <v>387.58746083915213</v>
      </c>
      <c r="W95" s="4"/>
      <c r="X95" s="852">
        <f>'Recycling - Case 2'!AM145</f>
        <v>0</v>
      </c>
      <c r="Y95" s="853">
        <f>Parameters!S230</f>
        <v>0.71500000000000008</v>
      </c>
      <c r="Z95" s="853">
        <f t="shared" si="63"/>
        <v>0.4</v>
      </c>
      <c r="AA95" s="854">
        <f t="shared" si="64"/>
        <v>0</v>
      </c>
      <c r="AB95" s="854">
        <f t="shared" si="65"/>
        <v>0</v>
      </c>
      <c r="AC95" s="855">
        <f t="shared" si="66"/>
        <v>0</v>
      </c>
      <c r="AD95" s="854">
        <f t="shared" si="67"/>
        <v>7639.3051471012814</v>
      </c>
      <c r="AE95" s="854">
        <f t="shared" si="68"/>
        <v>391.67555044288628</v>
      </c>
      <c r="AF95" s="856">
        <f t="shared" si="69"/>
        <v>261.11703362859083</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7639.3051471012814</v>
      </c>
      <c r="AO95" s="854">
        <f t="shared" si="75"/>
        <v>391.67555044288628</v>
      </c>
      <c r="AP95" s="856">
        <f t="shared" si="76"/>
        <v>261.11703362859083</v>
      </c>
      <c r="AQ95" s="4"/>
      <c r="AR95" s="1042">
        <f>'Recycling - Case 2'!G105</f>
        <v>662.36105389447937</v>
      </c>
      <c r="AS95" s="1043">
        <v>1</v>
      </c>
      <c r="AT95" s="1043">
        <f t="shared" si="77"/>
        <v>0.05</v>
      </c>
      <c r="AU95" s="1044">
        <f t="shared" si="78"/>
        <v>16.559026347361986</v>
      </c>
      <c r="AV95" s="1044">
        <f t="shared" si="79"/>
        <v>16.559026347361986</v>
      </c>
      <c r="AW95" s="1045">
        <f t="shared" si="80"/>
        <v>0</v>
      </c>
      <c r="AX95" s="1044">
        <f t="shared" si="44"/>
        <v>185.33973659443089</v>
      </c>
      <c r="AY95" s="1044">
        <f t="shared" si="49"/>
        <v>10.43681624515173</v>
      </c>
      <c r="AZ95" s="1046">
        <f t="shared" si="47"/>
        <v>6.9578774967678205</v>
      </c>
      <c r="BA95" s="4"/>
      <c r="BB95" s="1055">
        <f t="shared" si="81"/>
        <v>387.58746083915213</v>
      </c>
      <c r="BC95" s="1056">
        <f t="shared" si="82"/>
        <v>261.11703362859083</v>
      </c>
      <c r="BD95" s="1082">
        <f t="shared" si="90"/>
        <v>6.9578774967678205</v>
      </c>
      <c r="BE95" s="1056">
        <f t="shared" si="54"/>
        <v>655.66237196451073</v>
      </c>
      <c r="BF95" s="167">
        <v>0</v>
      </c>
      <c r="BG95" s="1075">
        <f t="shared" si="83"/>
        <v>655.66237196451073</v>
      </c>
      <c r="BI95" s="1055">
        <f t="shared" si="84"/>
        <v>387.58746083915213</v>
      </c>
      <c r="BJ95" s="1056">
        <f t="shared" si="85"/>
        <v>261.11703362859083</v>
      </c>
      <c r="BK95" s="1082">
        <f t="shared" si="86"/>
        <v>6.9578774967678205</v>
      </c>
      <c r="BL95" s="1056">
        <f t="shared" si="55"/>
        <v>655.66237196451073</v>
      </c>
      <c r="BM95" s="167">
        <v>0</v>
      </c>
      <c r="BN95" s="1075">
        <f t="shared" si="87"/>
        <v>655.66237196451073</v>
      </c>
    </row>
    <row r="96" spans="1:66">
      <c r="A96" s="927">
        <f>'Input data'!A126</f>
        <v>2026</v>
      </c>
      <c r="B96" s="824">
        <f>'Input data'!B126</f>
        <v>65.115730264701668</v>
      </c>
      <c r="C96" s="824">
        <f>'Recycling - Case 2'!AK106/B96</f>
        <v>321.21084843774435</v>
      </c>
      <c r="D96" s="825">
        <f>'Recycling - Case 2'!AM106</f>
        <v>0.20246492964688823</v>
      </c>
      <c r="E96" s="826">
        <f>'Recycling - Case 2'!BE106</f>
        <v>0.19915931082501204</v>
      </c>
      <c r="F96" s="826">
        <f>'Recycling - Case 2'!BF106</f>
        <v>0.25258788601174337</v>
      </c>
      <c r="G96" s="826">
        <f>'Recycling - Case 2'!BG106</f>
        <v>6.3110553999927738E-2</v>
      </c>
      <c r="H96" s="826">
        <f>'Recycling - Case 2'!BH106</f>
        <v>0</v>
      </c>
      <c r="I96" s="826">
        <f>'Recycling - Case 2'!BI106</f>
        <v>0</v>
      </c>
      <c r="J96" s="826">
        <f>'Recycling - Case 2'!BJ106</f>
        <v>0</v>
      </c>
      <c r="K96" s="826">
        <f>'Recycling - Case 2'!BK106</f>
        <v>0.48514224916331672</v>
      </c>
      <c r="L96" s="827">
        <f t="shared" si="89"/>
        <v>0.99999999999999989</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0.10563569542607158</v>
      </c>
      <c r="Q96" s="832">
        <f t="shared" si="57"/>
        <v>205.08766007571401</v>
      </c>
      <c r="R96" s="832">
        <f t="shared" si="58"/>
        <v>205.08766007571401</v>
      </c>
      <c r="S96" s="835">
        <f t="shared" si="59"/>
        <v>0</v>
      </c>
      <c r="T96" s="832">
        <f t="shared" si="60"/>
        <v>11195.695616567309</v>
      </c>
      <c r="U96" s="832">
        <f t="shared" si="61"/>
        <v>563.5005197683771</v>
      </c>
      <c r="V96" s="839">
        <f t="shared" si="62"/>
        <v>375.66701317891807</v>
      </c>
      <c r="W96" s="4"/>
      <c r="X96" s="852">
        <f>'Recycling - Case 2'!AM146</f>
        <v>0</v>
      </c>
      <c r="Y96" s="853">
        <f>Parameters!S231</f>
        <v>0.71500000000000008</v>
      </c>
      <c r="Z96" s="853">
        <f t="shared" si="63"/>
        <v>0.4</v>
      </c>
      <c r="AA96" s="854">
        <f t="shared" si="64"/>
        <v>0</v>
      </c>
      <c r="AB96" s="854">
        <f t="shared" si="65"/>
        <v>0</v>
      </c>
      <c r="AC96" s="855">
        <f t="shared" si="66"/>
        <v>0</v>
      </c>
      <c r="AD96" s="854">
        <f t="shared" si="67"/>
        <v>7266.7318386624947</v>
      </c>
      <c r="AE96" s="854">
        <f t="shared" si="68"/>
        <v>372.57330843878708</v>
      </c>
      <c r="AF96" s="856">
        <f t="shared" si="69"/>
        <v>248.38220562585806</v>
      </c>
      <c r="AG96" s="4"/>
      <c r="AH96" s="852">
        <f>'Recycling - Case 2'!AM186</f>
        <v>0</v>
      </c>
      <c r="AI96" s="853">
        <f>Parameters!S231</f>
        <v>0.71500000000000008</v>
      </c>
      <c r="AJ96" s="853">
        <f t="shared" si="70"/>
        <v>0.4</v>
      </c>
      <c r="AK96" s="854">
        <f t="shared" si="71"/>
        <v>0</v>
      </c>
      <c r="AL96" s="854">
        <f t="shared" si="72"/>
        <v>0</v>
      </c>
      <c r="AM96" s="855">
        <f t="shared" si="73"/>
        <v>0</v>
      </c>
      <c r="AN96" s="854">
        <f t="shared" si="74"/>
        <v>7266.7318386624947</v>
      </c>
      <c r="AO96" s="854">
        <f t="shared" si="75"/>
        <v>372.57330843878708</v>
      </c>
      <c r="AP96" s="856">
        <f t="shared" si="76"/>
        <v>248.38220562585806</v>
      </c>
      <c r="AQ96" s="4"/>
      <c r="AR96" s="1042">
        <f>'Recycling - Case 2'!G106</f>
        <v>684.31292644234668</v>
      </c>
      <c r="AS96" s="1043">
        <v>1</v>
      </c>
      <c r="AT96" s="1043">
        <f t="shared" si="77"/>
        <v>0.05</v>
      </c>
      <c r="AU96" s="1044">
        <f t="shared" si="78"/>
        <v>17.107823161058668</v>
      </c>
      <c r="AV96" s="1044">
        <f t="shared" si="79"/>
        <v>17.107823161058668</v>
      </c>
      <c r="AW96" s="1045">
        <f t="shared" si="80"/>
        <v>0</v>
      </c>
      <c r="AX96" s="1044">
        <f t="shared" si="44"/>
        <v>191.65421374954039</v>
      </c>
      <c r="AY96" s="1044">
        <f t="shared" si="49"/>
        <v>10.793346005949168</v>
      </c>
      <c r="AZ96" s="1046">
        <f t="shared" si="47"/>
        <v>7.195564003966112</v>
      </c>
      <c r="BA96" s="4"/>
      <c r="BB96" s="1055">
        <f t="shared" si="81"/>
        <v>375.66701317891807</v>
      </c>
      <c r="BC96" s="1056">
        <f t="shared" si="82"/>
        <v>248.38220562585806</v>
      </c>
      <c r="BD96" s="1082">
        <f t="shared" si="90"/>
        <v>7.195564003966112</v>
      </c>
      <c r="BE96" s="1056">
        <f t="shared" si="54"/>
        <v>631.24478280874223</v>
      </c>
      <c r="BF96" s="167">
        <v>0</v>
      </c>
      <c r="BG96" s="1075">
        <f t="shared" si="83"/>
        <v>631.24478280874223</v>
      </c>
      <c r="BI96" s="1055">
        <f t="shared" si="84"/>
        <v>375.66701317891807</v>
      </c>
      <c r="BJ96" s="1056">
        <f t="shared" si="85"/>
        <v>248.38220562585806</v>
      </c>
      <c r="BK96" s="1082">
        <f t="shared" si="86"/>
        <v>7.195564003966112</v>
      </c>
      <c r="BL96" s="1056">
        <f t="shared" si="55"/>
        <v>631.24478280874223</v>
      </c>
      <c r="BM96" s="167">
        <v>0</v>
      </c>
      <c r="BN96" s="1075">
        <f t="shared" si="87"/>
        <v>631.24478280874223</v>
      </c>
    </row>
    <row r="97" spans="1:66">
      <c r="A97" s="927">
        <f>'Input data'!A127</f>
        <v>2027</v>
      </c>
      <c r="B97" s="824">
        <f>'Input data'!B127</f>
        <v>66.042835586617315</v>
      </c>
      <c r="C97" s="824">
        <f>'Recycling - Case 2'!AK107/B97</f>
        <v>313.53888640026133</v>
      </c>
      <c r="D97" s="825">
        <f>'Recycling - Case 2'!AM107</f>
        <v>0.18836198195358839</v>
      </c>
      <c r="E97" s="826">
        <f>'Recycling - Case 2'!BE107</f>
        <v>0.20301543715123427</v>
      </c>
      <c r="F97" s="826">
        <f>'Recycling - Case 2'!BF107</f>
        <v>0.25747849741675316</v>
      </c>
      <c r="G97" s="826">
        <f>'Recycling - Case 2'!BG107</f>
        <v>6.1026851578819673E-2</v>
      </c>
      <c r="H97" s="826">
        <f>'Recycling - Case 2'!BH107</f>
        <v>0</v>
      </c>
      <c r="I97" s="826">
        <f>'Recycling - Case 2'!BI107</f>
        <v>0</v>
      </c>
      <c r="J97" s="826">
        <f>'Recycling - Case 2'!BJ107</f>
        <v>0</v>
      </c>
      <c r="K97" s="826">
        <f>'Recycling - Case 2'!BK107</f>
        <v>0.47847921385319281</v>
      </c>
      <c r="L97" s="827">
        <f t="shared" si="89"/>
        <v>0.99999999999999989</v>
      </c>
      <c r="M97" s="4"/>
      <c r="N97" s="838">
        <f t="shared" si="56"/>
        <v>3900.4110186862777</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0.10635875568756364</v>
      </c>
      <c r="Q97" s="832">
        <f t="shared" si="57"/>
        <v>194.4974805887596</v>
      </c>
      <c r="R97" s="832">
        <f t="shared" si="58"/>
        <v>194.4974805887596</v>
      </c>
      <c r="S97" s="835">
        <f t="shared" si="59"/>
        <v>0</v>
      </c>
      <c r="T97" s="832">
        <f t="shared" si="60"/>
        <v>10844.172578821248</v>
      </c>
      <c r="U97" s="832">
        <f t="shared" si="61"/>
        <v>546.02051833482108</v>
      </c>
      <c r="V97" s="839">
        <f t="shared" si="62"/>
        <v>364.01367888988074</v>
      </c>
      <c r="W97" s="4"/>
      <c r="X97" s="852">
        <f>'Recycling - Case 2'!AM147</f>
        <v>10.092499105524491</v>
      </c>
      <c r="Y97" s="853">
        <f>Parameters!S232</f>
        <v>0.71500000000000008</v>
      </c>
      <c r="Z97" s="853">
        <f t="shared" si="63"/>
        <v>0.4</v>
      </c>
      <c r="AA97" s="854">
        <f t="shared" si="64"/>
        <v>1.4432273720900024</v>
      </c>
      <c r="AB97" s="854">
        <f t="shared" si="65"/>
        <v>1.4432273720900024</v>
      </c>
      <c r="AC97" s="855">
        <f t="shared" si="66"/>
        <v>0</v>
      </c>
      <c r="AD97" s="854">
        <f t="shared" si="67"/>
        <v>6913.7723722640303</v>
      </c>
      <c r="AE97" s="854">
        <f t="shared" si="68"/>
        <v>354.40269377055444</v>
      </c>
      <c r="AF97" s="856">
        <f t="shared" si="69"/>
        <v>236.26846251370296</v>
      </c>
      <c r="AG97" s="4"/>
      <c r="AH97" s="852">
        <f>'Recycling - Case 2'!AM187</f>
        <v>10.092499105524491</v>
      </c>
      <c r="AI97" s="853">
        <f>Parameters!S232</f>
        <v>0.71500000000000008</v>
      </c>
      <c r="AJ97" s="853">
        <f t="shared" si="70"/>
        <v>0.4</v>
      </c>
      <c r="AK97" s="854">
        <f t="shared" si="71"/>
        <v>1.4432273720900024</v>
      </c>
      <c r="AL97" s="854">
        <f t="shared" si="72"/>
        <v>1.4432273720900024</v>
      </c>
      <c r="AM97" s="855">
        <f t="shared" si="73"/>
        <v>0</v>
      </c>
      <c r="AN97" s="854">
        <f t="shared" si="74"/>
        <v>6913.7723722640303</v>
      </c>
      <c r="AO97" s="854">
        <f t="shared" si="75"/>
        <v>354.40269377055444</v>
      </c>
      <c r="AP97" s="856">
        <f t="shared" si="76"/>
        <v>236.26846251370296</v>
      </c>
      <c r="AQ97" s="4"/>
      <c r="AR97" s="1042">
        <f>'Recycling - Case 2'!G107</f>
        <v>706.12989560384722</v>
      </c>
      <c r="AS97" s="1043">
        <v>1</v>
      </c>
      <c r="AT97" s="1043">
        <f t="shared" si="77"/>
        <v>0.05</v>
      </c>
      <c r="AU97" s="1044">
        <f t="shared" si="78"/>
        <v>17.65324739009618</v>
      </c>
      <c r="AV97" s="1044">
        <f t="shared" si="79"/>
        <v>17.65324739009618</v>
      </c>
      <c r="AW97" s="1045">
        <f t="shared" si="80"/>
        <v>0</v>
      </c>
      <c r="AX97" s="1044">
        <f t="shared" si="44"/>
        <v>198.14638861138798</v>
      </c>
      <c r="AY97" s="1044">
        <f t="shared" si="49"/>
        <v>11.161072528248576</v>
      </c>
      <c r="AZ97" s="1046">
        <f t="shared" si="47"/>
        <v>7.4407150188323845</v>
      </c>
      <c r="BA97" s="4"/>
      <c r="BB97" s="1055">
        <f t="shared" si="81"/>
        <v>364.01367888988074</v>
      </c>
      <c r="BC97" s="1056">
        <f t="shared" si="82"/>
        <v>236.26846251370296</v>
      </c>
      <c r="BD97" s="1082">
        <f t="shared" si="90"/>
        <v>7.4407150188323845</v>
      </c>
      <c r="BE97" s="1056">
        <f t="shared" si="54"/>
        <v>607.72285642241604</v>
      </c>
      <c r="BF97" s="167">
        <v>0</v>
      </c>
      <c r="BG97" s="1075">
        <f t="shared" si="83"/>
        <v>607.72285642241604</v>
      </c>
      <c r="BI97" s="1055">
        <f t="shared" si="84"/>
        <v>364.01367888988074</v>
      </c>
      <c r="BJ97" s="1056">
        <f t="shared" si="85"/>
        <v>236.26846251370296</v>
      </c>
      <c r="BK97" s="1082">
        <f t="shared" si="86"/>
        <v>7.4407150188323845</v>
      </c>
      <c r="BL97" s="1056">
        <f t="shared" si="55"/>
        <v>607.72285642241604</v>
      </c>
      <c r="BM97" s="167">
        <v>0</v>
      </c>
      <c r="BN97" s="1075">
        <f t="shared" si="87"/>
        <v>607.72285642241604</v>
      </c>
    </row>
    <row r="98" spans="1:66">
      <c r="A98" s="927">
        <f>'Input data'!A128</f>
        <v>2028</v>
      </c>
      <c r="B98" s="824">
        <f>'Input data'!B128</f>
        <v>66.921626677758155</v>
      </c>
      <c r="C98" s="824">
        <f>'Recycling - Case 2'!AK108/B98</f>
        <v>306.23009708624147</v>
      </c>
      <c r="D98" s="825">
        <f>'Recycling - Case 2'!AM108</f>
        <v>0.17401149878512756</v>
      </c>
      <c r="E98" s="826">
        <f>'Recycling - Case 2'!BE108</f>
        <v>0.20684779594173608</v>
      </c>
      <c r="F98" s="826">
        <f>'Recycling - Case 2'!BF108</f>
        <v>0.26233896515648086</v>
      </c>
      <c r="G98" s="826">
        <f>'Recycling - Case 2'!BG108</f>
        <v>5.8930043717229444E-2</v>
      </c>
      <c r="H98" s="826">
        <f>'Recycling - Case 2'!BH108</f>
        <v>0</v>
      </c>
      <c r="I98" s="826">
        <f>'Recycling - Case 2'!BI108</f>
        <v>0</v>
      </c>
      <c r="J98" s="826">
        <f>'Recycling - Case 2'!BJ108</f>
        <v>0</v>
      </c>
      <c r="K98" s="826">
        <f>'Recycling - Case 2'!BK108</f>
        <v>0.47188319518455357</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0.10706697990944836</v>
      </c>
      <c r="Q98" s="832">
        <f t="shared" si="57"/>
        <v>182.97533689938922</v>
      </c>
      <c r="R98" s="832">
        <f t="shared" si="58"/>
        <v>182.97533689938922</v>
      </c>
      <c r="S98" s="835">
        <f t="shared" si="59"/>
        <v>0</v>
      </c>
      <c r="T98" s="832">
        <f t="shared" si="60"/>
        <v>10498.271378237949</v>
      </c>
      <c r="U98" s="832">
        <f t="shared" si="61"/>
        <v>528.87653748268849</v>
      </c>
      <c r="V98" s="839">
        <f t="shared" si="62"/>
        <v>352.58435832179231</v>
      </c>
      <c r="W98" s="4"/>
      <c r="X98" s="852">
        <f>'Recycling - Case 2'!AM148</f>
        <v>22.103850830406991</v>
      </c>
      <c r="Y98" s="853">
        <f>Parameters!S233</f>
        <v>0.71500000000000008</v>
      </c>
      <c r="Z98" s="853">
        <f t="shared" si="63"/>
        <v>0.4</v>
      </c>
      <c r="AA98" s="854">
        <f t="shared" si="64"/>
        <v>3.1608506687482003</v>
      </c>
      <c r="AB98" s="854">
        <f t="shared" si="65"/>
        <v>3.1608506687482003</v>
      </c>
      <c r="AC98" s="855">
        <f t="shared" si="66"/>
        <v>0</v>
      </c>
      <c r="AD98" s="854">
        <f t="shared" si="67"/>
        <v>6579.7445654663979</v>
      </c>
      <c r="AE98" s="854">
        <f t="shared" si="68"/>
        <v>337.18865746638045</v>
      </c>
      <c r="AF98" s="856">
        <f t="shared" si="69"/>
        <v>224.79243831092029</v>
      </c>
      <c r="AG98" s="4"/>
      <c r="AH98" s="852">
        <f>'Recycling - Case 2'!AM188</f>
        <v>22.103850830406991</v>
      </c>
      <c r="AI98" s="853">
        <f>Parameters!S233</f>
        <v>0.71500000000000008</v>
      </c>
      <c r="AJ98" s="853">
        <f t="shared" si="70"/>
        <v>0.4</v>
      </c>
      <c r="AK98" s="854">
        <f t="shared" si="71"/>
        <v>3.1608506687482003</v>
      </c>
      <c r="AL98" s="854">
        <f t="shared" si="72"/>
        <v>3.1608506687482003</v>
      </c>
      <c r="AM98" s="855">
        <f t="shared" si="73"/>
        <v>0</v>
      </c>
      <c r="AN98" s="854">
        <f t="shared" si="74"/>
        <v>6579.7445654663979</v>
      </c>
      <c r="AO98" s="854">
        <f t="shared" si="75"/>
        <v>337.18865746638045</v>
      </c>
      <c r="AP98" s="856">
        <f t="shared" si="76"/>
        <v>224.79243831092029</v>
      </c>
      <c r="AQ98" s="4"/>
      <c r="AR98" s="1042">
        <f>'Recycling - Case 2'!G108</f>
        <v>727.76044036839039</v>
      </c>
      <c r="AS98" s="1043">
        <v>1</v>
      </c>
      <c r="AT98" s="1043">
        <f t="shared" si="77"/>
        <v>0.05</v>
      </c>
      <c r="AU98" s="1044">
        <f t="shared" si="78"/>
        <v>18.19401100920976</v>
      </c>
      <c r="AV98" s="1044">
        <f t="shared" si="79"/>
        <v>18.19401100920976</v>
      </c>
      <c r="AW98" s="1045">
        <f t="shared" si="80"/>
        <v>0</v>
      </c>
      <c r="AX98" s="1044">
        <f t="shared" si="44"/>
        <v>204.80125226121686</v>
      </c>
      <c r="AY98" s="1044">
        <f t="shared" si="49"/>
        <v>11.539147359380886</v>
      </c>
      <c r="AZ98" s="1046">
        <f t="shared" si="47"/>
        <v>7.6927649062539238</v>
      </c>
      <c r="BA98" s="4"/>
      <c r="BB98" s="1055">
        <f t="shared" si="81"/>
        <v>352.58435832179231</v>
      </c>
      <c r="BC98" s="1056">
        <f t="shared" si="82"/>
        <v>224.79243831092029</v>
      </c>
      <c r="BD98" s="1082">
        <f t="shared" si="90"/>
        <v>7.6927649062539238</v>
      </c>
      <c r="BE98" s="1056">
        <f t="shared" si="54"/>
        <v>585.06956153896658</v>
      </c>
      <c r="BF98" s="167">
        <v>0</v>
      </c>
      <c r="BG98" s="1075">
        <f t="shared" si="83"/>
        <v>585.06956153896658</v>
      </c>
      <c r="BI98" s="1055">
        <f t="shared" si="84"/>
        <v>352.58435832179231</v>
      </c>
      <c r="BJ98" s="1056">
        <f t="shared" si="85"/>
        <v>224.79243831092029</v>
      </c>
      <c r="BK98" s="1082">
        <f t="shared" si="86"/>
        <v>7.6927649062539238</v>
      </c>
      <c r="BL98" s="1056">
        <f t="shared" si="55"/>
        <v>585.06956153896658</v>
      </c>
      <c r="BM98" s="167">
        <v>0</v>
      </c>
      <c r="BN98" s="1075">
        <f t="shared" si="87"/>
        <v>585.06956153896658</v>
      </c>
    </row>
    <row r="99" spans="1:66">
      <c r="A99" s="927">
        <f>'Input data'!A129</f>
        <v>2029</v>
      </c>
      <c r="B99" s="824">
        <f>'Input data'!B129</f>
        <v>67.749778587208695</v>
      </c>
      <c r="C99" s="824">
        <f>'Recycling - Case 2'!AK109/B99</f>
        <v>299.25359391420528</v>
      </c>
      <c r="D99" s="825">
        <f>'Recycling - Case 2'!AM109</f>
        <v>0.15940174565015239</v>
      </c>
      <c r="E99" s="826">
        <f>'Recycling - Case 2'!BE109</f>
        <v>0.21066324682019139</v>
      </c>
      <c r="F99" s="826">
        <f>'Recycling - Case 2'!BF109</f>
        <v>0.26717798908952428</v>
      </c>
      <c r="G99" s="826">
        <f>'Recycling - Case 2'!BG109</f>
        <v>5.6816582316776408E-2</v>
      </c>
      <c r="H99" s="826">
        <f>'Recycling - Case 2'!BH109</f>
        <v>0</v>
      </c>
      <c r="I99" s="826">
        <f>'Recycling - Case 2'!BI109</f>
        <v>0</v>
      </c>
      <c r="J99" s="826">
        <f>'Recycling - Case 2'!BJ109</f>
        <v>0</v>
      </c>
      <c r="K99" s="826">
        <f>'Recycling - Case 2'!BK109</f>
        <v>0.46534218177350806</v>
      </c>
      <c r="L99" s="827">
        <f t="shared" si="89"/>
        <v>1</v>
      </c>
      <c r="M99" s="4"/>
      <c r="N99" s="838">
        <f t="shared" si="56"/>
        <v>3231.7691297686297</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0.10776171776764412</v>
      </c>
      <c r="Q99" s="832">
        <f t="shared" si="57"/>
        <v>170.51393996192033</v>
      </c>
      <c r="R99" s="832">
        <f t="shared" si="58"/>
        <v>170.51393996192033</v>
      </c>
      <c r="S99" s="835">
        <f t="shared" si="59"/>
        <v>0</v>
      </c>
      <c r="T99" s="832">
        <f t="shared" si="60"/>
        <v>10156.778581335522</v>
      </c>
      <c r="U99" s="832">
        <f t="shared" si="61"/>
        <v>512.00673686434698</v>
      </c>
      <c r="V99" s="839">
        <f t="shared" si="62"/>
        <v>341.3378245762313</v>
      </c>
      <c r="W99" s="4"/>
      <c r="X99" s="852">
        <f>'Recycling - Case 2'!AM149</f>
        <v>0</v>
      </c>
      <c r="Y99" s="853">
        <f>Parameters!S234</f>
        <v>0.71500000000000008</v>
      </c>
      <c r="Z99" s="853">
        <f t="shared" si="63"/>
        <v>0.4</v>
      </c>
      <c r="AA99" s="854">
        <f t="shared" si="64"/>
        <v>0</v>
      </c>
      <c r="AB99" s="854">
        <f t="shared" si="65"/>
        <v>0</v>
      </c>
      <c r="AC99" s="855">
        <f t="shared" si="66"/>
        <v>0</v>
      </c>
      <c r="AD99" s="854">
        <f t="shared" si="67"/>
        <v>6258.8466363703019</v>
      </c>
      <c r="AE99" s="854">
        <f t="shared" si="68"/>
        <v>320.8979290960956</v>
      </c>
      <c r="AF99" s="856">
        <f t="shared" si="69"/>
        <v>213.93195273073039</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6258.8466363703019</v>
      </c>
      <c r="AO99" s="854">
        <f t="shared" si="75"/>
        <v>320.8979290960956</v>
      </c>
      <c r="AP99" s="856">
        <f t="shared" si="76"/>
        <v>213.93195273073039</v>
      </c>
      <c r="AQ99" s="4"/>
      <c r="AR99" s="1042">
        <f>'Recycling - Case 2'!G109</f>
        <v>749.15235406988256</v>
      </c>
      <c r="AS99" s="1043">
        <v>1</v>
      </c>
      <c r="AT99" s="1043">
        <f t="shared" si="77"/>
        <v>0.05</v>
      </c>
      <c r="AU99" s="1044">
        <f t="shared" si="78"/>
        <v>18.728808851747065</v>
      </c>
      <c r="AV99" s="1044">
        <f t="shared" si="79"/>
        <v>18.728808851747065</v>
      </c>
      <c r="AW99" s="1045">
        <f t="shared" si="80"/>
        <v>0</v>
      </c>
      <c r="AX99" s="1044">
        <f t="shared" si="44"/>
        <v>211.60336466500203</v>
      </c>
      <c r="AY99" s="1044">
        <f t="shared" si="49"/>
        <v>11.9266964479619</v>
      </c>
      <c r="AZ99" s="1046">
        <f t="shared" si="47"/>
        <v>7.9511309653079332</v>
      </c>
      <c r="BA99" s="4"/>
      <c r="BB99" s="1055">
        <f t="shared" si="81"/>
        <v>341.3378245762313</v>
      </c>
      <c r="BC99" s="1056">
        <f t="shared" si="82"/>
        <v>213.93195273073039</v>
      </c>
      <c r="BD99" s="1082">
        <f t="shared" si="90"/>
        <v>7.9511309653079332</v>
      </c>
      <c r="BE99" s="1056">
        <f t="shared" si="54"/>
        <v>563.22090827226964</v>
      </c>
      <c r="BF99" s="167">
        <v>0</v>
      </c>
      <c r="BG99" s="1075">
        <f t="shared" si="83"/>
        <v>563.22090827226964</v>
      </c>
      <c r="BI99" s="1055">
        <f t="shared" si="84"/>
        <v>341.3378245762313</v>
      </c>
      <c r="BJ99" s="1056">
        <f t="shared" si="85"/>
        <v>213.93195273073039</v>
      </c>
      <c r="BK99" s="1082">
        <f t="shared" si="86"/>
        <v>7.9511309653079332</v>
      </c>
      <c r="BL99" s="1056">
        <f t="shared" si="55"/>
        <v>563.22090827226964</v>
      </c>
      <c r="BM99" s="167">
        <v>0</v>
      </c>
      <c r="BN99" s="1075">
        <f t="shared" si="87"/>
        <v>563.22090827226964</v>
      </c>
    </row>
    <row r="100" spans="1:66">
      <c r="A100" s="927">
        <f>'Input data'!A130</f>
        <v>2030</v>
      </c>
      <c r="B100" s="824">
        <f>'Input data'!B130</f>
        <v>68.525074762177482</v>
      </c>
      <c r="C100" s="824">
        <f>'Recycling - Case 2'!AK110/B100</f>
        <v>292.57999915644166</v>
      </c>
      <c r="D100" s="825">
        <f>'Recycling - Case 2'!AM110</f>
        <v>0.14451786131213459</v>
      </c>
      <c r="E100" s="826">
        <f>'Recycling - Case 2'!BE110</f>
        <v>0.21446839164705514</v>
      </c>
      <c r="F100" s="826">
        <f>'Recycling - Case 2'!BF110</f>
        <v>0.27200394216098545</v>
      </c>
      <c r="G100" s="826">
        <f>'Recycling - Case 2'!BG110</f>
        <v>5.4682927006819364E-2</v>
      </c>
      <c r="H100" s="826">
        <f>'Recycling - Case 2'!BH110</f>
        <v>0</v>
      </c>
      <c r="I100" s="826">
        <f>'Recycling - Case 2'!BI110</f>
        <v>0</v>
      </c>
      <c r="J100" s="826">
        <f>'Recycling - Case 2'!BJ110</f>
        <v>0</v>
      </c>
      <c r="K100" s="826">
        <f>'Recycling - Case 2'!BK110</f>
        <v>0.45884473918514029</v>
      </c>
      <c r="L100" s="827">
        <f t="shared" si="89"/>
        <v>1.0000000000000002</v>
      </c>
      <c r="M100" s="4"/>
      <c r="N100" s="838">
        <f t="shared" si="56"/>
        <v>2897.4481853098059</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0.1084442179819831</v>
      </c>
      <c r="Q100" s="832">
        <f t="shared" si="57"/>
        <v>157.10575129961899</v>
      </c>
      <c r="R100" s="832">
        <f t="shared" si="58"/>
        <v>157.10575129961899</v>
      </c>
      <c r="S100" s="835">
        <f t="shared" si="59"/>
        <v>0</v>
      </c>
      <c r="T100" s="832">
        <f t="shared" si="60"/>
        <v>9818.5323960045862</v>
      </c>
      <c r="U100" s="832">
        <f t="shared" si="61"/>
        <v>495.35193663055486</v>
      </c>
      <c r="V100" s="839">
        <f t="shared" si="62"/>
        <v>330.23462442036993</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5953.5990839527522</v>
      </c>
      <c r="AE100" s="854">
        <f t="shared" si="68"/>
        <v>305.24755241754991</v>
      </c>
      <c r="AF100" s="856">
        <f t="shared" si="69"/>
        <v>203.4983682783666</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5953.5990839527522</v>
      </c>
      <c r="AO100" s="854">
        <f t="shared" si="75"/>
        <v>305.24755241754991</v>
      </c>
      <c r="AP100" s="856">
        <f t="shared" si="76"/>
        <v>203.4983682783666</v>
      </c>
      <c r="AQ100" s="4"/>
      <c r="AR100" s="1042">
        <f>'Recycling - Case 2'!G110</f>
        <v>770.25294831014605</v>
      </c>
      <c r="AS100" s="1043">
        <v>1</v>
      </c>
      <c r="AT100" s="1043">
        <f t="shared" si="77"/>
        <v>0.05</v>
      </c>
      <c r="AU100" s="1044">
        <f t="shared" si="78"/>
        <v>19.256323707753651</v>
      </c>
      <c r="AV100" s="1044">
        <f t="shared" si="79"/>
        <v>19.256323707753651</v>
      </c>
      <c r="AW100" s="1045">
        <f t="shared" si="80"/>
        <v>0</v>
      </c>
      <c r="AX100" s="1044">
        <f t="shared" si="44"/>
        <v>218.53686773634701</v>
      </c>
      <c r="AY100" s="1044">
        <f t="shared" si="49"/>
        <v>12.322820636408697</v>
      </c>
      <c r="AZ100" s="1046">
        <f t="shared" si="47"/>
        <v>8.2152137576057971</v>
      </c>
      <c r="BA100" s="4"/>
      <c r="BB100" s="1055">
        <f t="shared" si="81"/>
        <v>330.23462442036993</v>
      </c>
      <c r="BC100" s="1056">
        <f t="shared" si="82"/>
        <v>203.4983682783666</v>
      </c>
      <c r="BD100" s="1082">
        <f t="shared" si="90"/>
        <v>8.2152137576057971</v>
      </c>
      <c r="BE100" s="1056">
        <f t="shared" si="54"/>
        <v>541.9482064563424</v>
      </c>
      <c r="BF100" s="167">
        <v>0</v>
      </c>
      <c r="BG100" s="1075">
        <f t="shared" si="83"/>
        <v>541.9482064563424</v>
      </c>
      <c r="BI100" s="1055">
        <f t="shared" si="84"/>
        <v>330.23462442036993</v>
      </c>
      <c r="BJ100" s="1056">
        <f t="shared" si="85"/>
        <v>203.4983682783666</v>
      </c>
      <c r="BK100" s="1082">
        <f t="shared" si="86"/>
        <v>8.2152137576057971</v>
      </c>
      <c r="BL100" s="1056">
        <f t="shared" si="55"/>
        <v>541.9482064563424</v>
      </c>
      <c r="BM100" s="167">
        <v>0</v>
      </c>
      <c r="BN100" s="1075">
        <f t="shared" si="87"/>
        <v>541.9482064563424</v>
      </c>
    </row>
    <row r="101" spans="1:66">
      <c r="A101" s="927">
        <f>'Input data'!A131</f>
        <v>2031</v>
      </c>
      <c r="B101" s="824">
        <f>'Input data'!B131</f>
        <v>69.286388472916428</v>
      </c>
      <c r="C101" s="824">
        <f>'Recycling - Case 2'!AK111/B101</f>
        <v>284.10027862909033</v>
      </c>
      <c r="D101" s="825">
        <f>'Recycling - Case 2'!AM111</f>
        <v>0.13021187187051261</v>
      </c>
      <c r="E101" s="826">
        <f>'Recycling - Case 2'!BE111</f>
        <v>0.21531461623499432</v>
      </c>
      <c r="F101" s="826">
        <f>'Recycling - Case 2'!BF111</f>
        <v>0.27307718387322705</v>
      </c>
      <c r="G101" s="826">
        <f>'Recycling - Case 2'!BG111</f>
        <v>5.4478532886511909E-2</v>
      </c>
      <c r="H101" s="826">
        <f>'Recycling - Case 2'!BH111</f>
        <v>0</v>
      </c>
      <c r="I101" s="826">
        <f>'Recycling - Case 2'!BI111</f>
        <v>0</v>
      </c>
      <c r="J101" s="826">
        <f>'Recycling - Case 2'!BJ111</f>
        <v>0</v>
      </c>
      <c r="K101" s="826">
        <f>'Recycling - Case 2'!BK111</f>
        <v>0.45712966700526658</v>
      </c>
      <c r="L101" s="827">
        <f t="shared" si="89"/>
        <v>0.99999999999999989</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0.10870404236449933</v>
      </c>
      <c r="Q101" s="832">
        <f t="shared" si="57"/>
        <v>139.31114608753376</v>
      </c>
      <c r="R101" s="832">
        <f t="shared" si="58"/>
        <v>139.31114608753376</v>
      </c>
      <c r="S101" s="835">
        <f t="shared" si="59"/>
        <v>0</v>
      </c>
      <c r="T101" s="832">
        <f t="shared" si="60"/>
        <v>9478.9880665805922</v>
      </c>
      <c r="U101" s="832">
        <f t="shared" si="61"/>
        <v>478.855475511527</v>
      </c>
      <c r="V101" s="839">
        <f t="shared" si="62"/>
        <v>319.23698367435134</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5663.2386303363546</v>
      </c>
      <c r="AE101" s="854">
        <f t="shared" si="68"/>
        <v>290.36045361639759</v>
      </c>
      <c r="AF101" s="856">
        <f t="shared" si="69"/>
        <v>193.57363574426506</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5663.2386303363546</v>
      </c>
      <c r="AO101" s="854">
        <f t="shared" si="75"/>
        <v>290.36045361639759</v>
      </c>
      <c r="AP101" s="856">
        <f t="shared" si="76"/>
        <v>193.57363574426506</v>
      </c>
      <c r="AQ101" s="4"/>
      <c r="AR101" s="1042">
        <f>'Recycling - Case 2'!G111</f>
        <v>778.81046002860501</v>
      </c>
      <c r="AS101" s="1043">
        <v>1</v>
      </c>
      <c r="AT101" s="1043">
        <f t="shared" si="77"/>
        <v>0.05</v>
      </c>
      <c r="AU101" s="1044">
        <f t="shared" si="78"/>
        <v>19.470261500715125</v>
      </c>
      <c r="AV101" s="1044">
        <f t="shared" si="79"/>
        <v>19.470261500715125</v>
      </c>
      <c r="AW101" s="1045">
        <f t="shared" si="80"/>
        <v>0</v>
      </c>
      <c r="AX101" s="1044">
        <f t="shared" si="44"/>
        <v>225.2805328153986</v>
      </c>
      <c r="AY101" s="1044">
        <f t="shared" si="49"/>
        <v>12.726596421663515</v>
      </c>
      <c r="AZ101" s="1046">
        <f t="shared" si="47"/>
        <v>8.4843976144423436</v>
      </c>
      <c r="BA101" s="4"/>
      <c r="BB101" s="1055">
        <f t="shared" si="81"/>
        <v>319.23698367435134</v>
      </c>
      <c r="BC101" s="1056">
        <f t="shared" si="82"/>
        <v>193.57363574426506</v>
      </c>
      <c r="BD101" s="1082">
        <f t="shared" si="90"/>
        <v>8.4843976144423436</v>
      </c>
      <c r="BE101" s="1056">
        <f t="shared" si="54"/>
        <v>521.29501703305868</v>
      </c>
      <c r="BF101" s="167">
        <v>0</v>
      </c>
      <c r="BG101" s="1075">
        <f t="shared" si="83"/>
        <v>521.29501703305868</v>
      </c>
      <c r="BI101" s="1055">
        <f t="shared" si="84"/>
        <v>319.23698367435134</v>
      </c>
      <c r="BJ101" s="1056">
        <f t="shared" si="85"/>
        <v>193.57363574426506</v>
      </c>
      <c r="BK101" s="1082">
        <f t="shared" si="86"/>
        <v>8.4843976144423436</v>
      </c>
      <c r="BL101" s="1056">
        <f t="shared" si="55"/>
        <v>521.29501703305868</v>
      </c>
      <c r="BM101" s="167">
        <v>0</v>
      </c>
      <c r="BN101" s="1075">
        <f t="shared" si="87"/>
        <v>521.29501703305868</v>
      </c>
    </row>
    <row r="102" spans="1:66">
      <c r="A102" s="927">
        <f>'Input data'!A132</f>
        <v>2032</v>
      </c>
      <c r="B102" s="824">
        <f>'Input data'!B132</f>
        <v>70.033051881823098</v>
      </c>
      <c r="C102" s="824">
        <f>'Recycling - Case 2'!AK112/B102</f>
        <v>275.84981153389936</v>
      </c>
      <c r="D102" s="825">
        <f>'Recycling - Case 2'!AM112</f>
        <v>0.1153709800985694</v>
      </c>
      <c r="E102" s="826">
        <f>'Recycling - Case 2'!BE112</f>
        <v>0.21612075902108119</v>
      </c>
      <c r="F102" s="826">
        <f>'Recycling - Case 2'!BF112</f>
        <v>0.27409959101712511</v>
      </c>
      <c r="G102" s="826">
        <f>'Recycling - Case 2'!BG112</f>
        <v>5.428381998410655E-2</v>
      </c>
      <c r="H102" s="826">
        <f>'Recycling - Case 2'!BH112</f>
        <v>0</v>
      </c>
      <c r="I102" s="826">
        <f>'Recycling - Case 2'!BI112</f>
        <v>0</v>
      </c>
      <c r="J102" s="826">
        <f>'Recycling - Case 2'!BJ112</f>
        <v>0</v>
      </c>
      <c r="K102" s="826">
        <f>'Recycling - Case 2'!BK112</f>
        <v>0.45549582997768717</v>
      </c>
      <c r="L102" s="827">
        <f t="shared" si="89"/>
        <v>1</v>
      </c>
      <c r="M102" s="4"/>
      <c r="N102" s="838">
        <f t="shared" si="56"/>
        <v>2228.8062963921584</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0.10895156005022982</v>
      </c>
      <c r="Q102" s="832">
        <f t="shared" si="57"/>
        <v>121.41596152085029</v>
      </c>
      <c r="R102" s="832">
        <f t="shared" si="58"/>
        <v>121.41596152085029</v>
      </c>
      <c r="S102" s="835">
        <f t="shared" si="59"/>
        <v>0</v>
      </c>
      <c r="T102" s="832">
        <f t="shared" si="60"/>
        <v>9138.1083249434432</v>
      </c>
      <c r="U102" s="832">
        <f t="shared" si="61"/>
        <v>462.29570315799964</v>
      </c>
      <c r="V102" s="839">
        <f t="shared" si="62"/>
        <v>308.19713543866641</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5387.0392231450624</v>
      </c>
      <c r="AE102" s="854">
        <f t="shared" si="68"/>
        <v>276.19940719129215</v>
      </c>
      <c r="AF102" s="856">
        <f t="shared" si="69"/>
        <v>184.13293812752809</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5387.0392231450624</v>
      </c>
      <c r="AO102" s="854">
        <f t="shared" si="75"/>
        <v>276.19940719129215</v>
      </c>
      <c r="AP102" s="856">
        <f t="shared" si="76"/>
        <v>184.13293812752809</v>
      </c>
      <c r="AQ102" s="4"/>
      <c r="AR102" s="1042">
        <f>'Recycling - Case 2'!G112</f>
        <v>787.20329570374543</v>
      </c>
      <c r="AS102" s="1043">
        <v>1</v>
      </c>
      <c r="AT102" s="1043">
        <f t="shared" si="77"/>
        <v>0.05</v>
      </c>
      <c r="AU102" s="1044">
        <f t="shared" si="78"/>
        <v>19.680082392593636</v>
      </c>
      <c r="AV102" s="1044">
        <f t="shared" si="79"/>
        <v>19.680082392593636</v>
      </c>
      <c r="AW102" s="1045">
        <f t="shared" si="80"/>
        <v>0</v>
      </c>
      <c r="AX102" s="1044">
        <f t="shared" si="44"/>
        <v>231.84129830509855</v>
      </c>
      <c r="AY102" s="1044">
        <f t="shared" si="49"/>
        <v>13.119316902893699</v>
      </c>
      <c r="AZ102" s="1046">
        <f t="shared" si="47"/>
        <v>8.7462112685957987</v>
      </c>
      <c r="BA102" s="4"/>
      <c r="BB102" s="1055">
        <f t="shared" si="81"/>
        <v>308.19713543866641</v>
      </c>
      <c r="BC102" s="1056">
        <f t="shared" si="82"/>
        <v>184.13293812752809</v>
      </c>
      <c r="BD102" s="1082">
        <f t="shared" si="90"/>
        <v>8.7462112685957987</v>
      </c>
      <c r="BE102" s="1056">
        <f t="shared" si="54"/>
        <v>501.07628483479033</v>
      </c>
      <c r="BF102" s="167">
        <v>0</v>
      </c>
      <c r="BG102" s="1075">
        <f t="shared" si="83"/>
        <v>501.07628483479033</v>
      </c>
      <c r="BI102" s="1055">
        <f t="shared" si="84"/>
        <v>308.19713543866641</v>
      </c>
      <c r="BJ102" s="1056">
        <f t="shared" si="85"/>
        <v>184.13293812752809</v>
      </c>
      <c r="BK102" s="1082">
        <f t="shared" si="86"/>
        <v>8.7462112685957987</v>
      </c>
      <c r="BL102" s="1056">
        <f t="shared" si="55"/>
        <v>501.07628483479033</v>
      </c>
      <c r="BM102" s="167">
        <v>0</v>
      </c>
      <c r="BN102" s="1075">
        <f t="shared" si="87"/>
        <v>501.07628483479033</v>
      </c>
    </row>
    <row r="103" spans="1:66">
      <c r="A103" s="927">
        <f>'Input data'!A133</f>
        <v>2033</v>
      </c>
      <c r="B103" s="824">
        <f>'Input data'!B133</f>
        <v>70.764404167450692</v>
      </c>
      <c r="C103" s="824">
        <f>'Recycling - Case 2'!AK113/B103</f>
        <v>274.39862739969521</v>
      </c>
      <c r="D103" s="825">
        <f>'Recycling - Case 2'!AM113</f>
        <v>0.11478246233430292</v>
      </c>
      <c r="E103" s="826">
        <f>'Recycling - Case 2'!BE113</f>
        <v>0.2168884840584919</v>
      </c>
      <c r="F103" s="826">
        <f>'Recycling - Case 2'!BF113</f>
        <v>0.27507327406229415</v>
      </c>
      <c r="G103" s="826">
        <f>'Recycling - Case 2'!BG113</f>
        <v>5.4098386370032885E-2</v>
      </c>
      <c r="H103" s="826">
        <f>'Recycling - Case 2'!BH113</f>
        <v>0</v>
      </c>
      <c r="I103" s="826">
        <f>'Recycling - Case 2'!BI113</f>
        <v>0</v>
      </c>
      <c r="J103" s="826">
        <f>'Recycling - Case 2'!BJ113</f>
        <v>0</v>
      </c>
      <c r="K103" s="826">
        <f>'Recycling - Case 2'!BK113</f>
        <v>0.4539398555091812</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0.10918728196924576</v>
      </c>
      <c r="Q103" s="832">
        <f t="shared" si="57"/>
        <v>121.67865076950048</v>
      </c>
      <c r="R103" s="832">
        <f t="shared" si="58"/>
        <v>121.67865076950048</v>
      </c>
      <c r="S103" s="835">
        <f t="shared" si="59"/>
        <v>0</v>
      </c>
      <c r="T103" s="832">
        <f t="shared" si="60"/>
        <v>8814.1161737306356</v>
      </c>
      <c r="U103" s="832">
        <f t="shared" si="61"/>
        <v>445.67080198230798</v>
      </c>
      <c r="V103" s="839">
        <f t="shared" si="62"/>
        <v>297.1138679882053</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5124.3102199950508</v>
      </c>
      <c r="AE103" s="854">
        <f t="shared" si="68"/>
        <v>262.72900315001118</v>
      </c>
      <c r="AF103" s="856">
        <f t="shared" si="69"/>
        <v>175.15266876667411</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5124.3102199950508</v>
      </c>
      <c r="AO103" s="854">
        <f t="shared" si="75"/>
        <v>262.72900315001118</v>
      </c>
      <c r="AP103" s="856">
        <f t="shared" si="76"/>
        <v>175.15266876667411</v>
      </c>
      <c r="AQ103" s="4"/>
      <c r="AR103" s="1042">
        <f>'Recycling - Case 2'!G113</f>
        <v>795.42402740251555</v>
      </c>
      <c r="AS103" s="1043">
        <v>1</v>
      </c>
      <c r="AT103" s="1043">
        <f t="shared" si="77"/>
        <v>0.05</v>
      </c>
      <c r="AU103" s="1044">
        <f t="shared" si="78"/>
        <v>19.88560068506289</v>
      </c>
      <c r="AV103" s="1044">
        <f t="shared" si="79"/>
        <v>19.88560068506289</v>
      </c>
      <c r="AW103" s="1045">
        <f t="shared" si="80"/>
        <v>0</v>
      </c>
      <c r="AX103" s="1044">
        <f t="shared" si="44"/>
        <v>238.22551284893069</v>
      </c>
      <c r="AY103" s="1044">
        <f t="shared" si="49"/>
        <v>13.501386141230741</v>
      </c>
      <c r="AZ103" s="1046">
        <f t="shared" si="47"/>
        <v>9.0009240941538273</v>
      </c>
      <c r="BA103" s="4"/>
      <c r="BB103" s="1055">
        <f t="shared" si="81"/>
        <v>297.1138679882053</v>
      </c>
      <c r="BC103" s="1056">
        <f t="shared" si="82"/>
        <v>175.15266876667411</v>
      </c>
      <c r="BD103" s="1082">
        <f t="shared" si="90"/>
        <v>9.0009240941538273</v>
      </c>
      <c r="BE103" s="1056">
        <f t="shared" si="54"/>
        <v>481.26746084903328</v>
      </c>
      <c r="BF103" s="167">
        <v>0</v>
      </c>
      <c r="BG103" s="1075">
        <f t="shared" si="83"/>
        <v>481.26746084903328</v>
      </c>
      <c r="BI103" s="1055">
        <f t="shared" si="84"/>
        <v>297.1138679882053</v>
      </c>
      <c r="BJ103" s="1056">
        <f t="shared" si="85"/>
        <v>175.15266876667411</v>
      </c>
      <c r="BK103" s="1082">
        <f t="shared" si="86"/>
        <v>9.0009240941538273</v>
      </c>
      <c r="BL103" s="1056">
        <f t="shared" si="55"/>
        <v>481.26746084903328</v>
      </c>
      <c r="BM103" s="167">
        <v>0</v>
      </c>
      <c r="BN103" s="1075">
        <f t="shared" si="87"/>
        <v>481.26746084903328</v>
      </c>
    </row>
    <row r="104" spans="1:66">
      <c r="A104" s="927">
        <f>'Input data'!A134</f>
        <v>2034</v>
      </c>
      <c r="B104" s="824">
        <f>'Input data'!B134</f>
        <v>71.479792486390252</v>
      </c>
      <c r="C104" s="824">
        <f>'Recycling - Case 2'!AK114/B104</f>
        <v>273.0089510595493</v>
      </c>
      <c r="D104" s="825">
        <f>'Recycling - Case 2'!AM114</f>
        <v>0.11421211043271122</v>
      </c>
      <c r="E104" s="826">
        <f>'Recycling - Case 2'!BE114</f>
        <v>0.21761934563581498</v>
      </c>
      <c r="F104" s="826">
        <f>'Recycling - Case 2'!BF114</f>
        <v>0.27600020426715638</v>
      </c>
      <c r="G104" s="826">
        <f>'Recycling - Case 2'!BG114</f>
        <v>5.3921856626874161E-2</v>
      </c>
      <c r="H104" s="826">
        <f>'Recycling - Case 2'!BH114</f>
        <v>0</v>
      </c>
      <c r="I104" s="826">
        <f>'Recycling - Case 2'!BI114</f>
        <v>0</v>
      </c>
      <c r="J104" s="826">
        <f>'Recycling - Case 2'!BJ114</f>
        <v>0</v>
      </c>
      <c r="K104" s="826">
        <f>'Recycling - Case 2'!BK114</f>
        <v>0.45245859347015432</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0.10941168534955319</v>
      </c>
      <c r="Q104" s="832">
        <f t="shared" si="57"/>
        <v>121.9287266029809</v>
      </c>
      <c r="R104" s="832">
        <f t="shared" si="58"/>
        <v>121.9287266029809</v>
      </c>
      <c r="S104" s="835">
        <f t="shared" si="59"/>
        <v>0</v>
      </c>
      <c r="T104" s="832">
        <f t="shared" si="60"/>
        <v>8506.1753820232079</v>
      </c>
      <c r="U104" s="832">
        <f t="shared" si="61"/>
        <v>429.86951831040767</v>
      </c>
      <c r="V104" s="839">
        <f t="shared" si="62"/>
        <v>286.57967887360513</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4874.3946615290197</v>
      </c>
      <c r="AE104" s="854">
        <f t="shared" si="68"/>
        <v>249.9155584660314</v>
      </c>
      <c r="AF104" s="856">
        <f t="shared" si="69"/>
        <v>166.61037231068761</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4874.3946615290197</v>
      </c>
      <c r="AO104" s="854">
        <f t="shared" si="75"/>
        <v>249.9155584660314</v>
      </c>
      <c r="AP104" s="856">
        <f t="shared" si="76"/>
        <v>166.61037231068761</v>
      </c>
      <c r="AQ104" s="4"/>
      <c r="AR104" s="1042">
        <f>'Recycling - Case 2'!G114</f>
        <v>803.46531686863034</v>
      </c>
      <c r="AS104" s="1043">
        <v>1</v>
      </c>
      <c r="AT104" s="1043">
        <f t="shared" si="77"/>
        <v>0.05</v>
      </c>
      <c r="AU104" s="1044">
        <f t="shared" si="78"/>
        <v>20.086632921715761</v>
      </c>
      <c r="AV104" s="1044">
        <f t="shared" si="79"/>
        <v>20.086632921715761</v>
      </c>
      <c r="AW104" s="1045">
        <f t="shared" si="80"/>
        <v>0</v>
      </c>
      <c r="AX104" s="1044">
        <f t="shared" si="44"/>
        <v>244.43897191775741</v>
      </c>
      <c r="AY104" s="1044">
        <f t="shared" si="49"/>
        <v>13.873173852889028</v>
      </c>
      <c r="AZ104" s="1046">
        <f t="shared" si="47"/>
        <v>9.2487825685926861</v>
      </c>
      <c r="BA104" s="4"/>
      <c r="BB104" s="1055">
        <f t="shared" si="81"/>
        <v>286.57967887360513</v>
      </c>
      <c r="BC104" s="1056">
        <f t="shared" si="82"/>
        <v>166.61037231068761</v>
      </c>
      <c r="BD104" s="1082">
        <f t="shared" si="90"/>
        <v>9.2487825685926861</v>
      </c>
      <c r="BE104" s="1056">
        <f t="shared" si="54"/>
        <v>462.43883375288544</v>
      </c>
      <c r="BF104" s="167">
        <v>0</v>
      </c>
      <c r="BG104" s="1075">
        <f t="shared" si="83"/>
        <v>462.43883375288544</v>
      </c>
      <c r="BI104" s="1055">
        <f t="shared" si="84"/>
        <v>286.57967887360513</v>
      </c>
      <c r="BJ104" s="1056">
        <f t="shared" si="85"/>
        <v>166.61037231068761</v>
      </c>
      <c r="BK104" s="1082">
        <f t="shared" si="86"/>
        <v>9.2487825685926861</v>
      </c>
      <c r="BL104" s="1056">
        <f t="shared" si="55"/>
        <v>462.43883375288544</v>
      </c>
      <c r="BM104" s="167">
        <v>0</v>
      </c>
      <c r="BN104" s="1075">
        <f t="shared" si="87"/>
        <v>462.43883375288544</v>
      </c>
    </row>
    <row r="105" spans="1:66">
      <c r="A105" s="927">
        <f>'Input data'!A135</f>
        <v>2035</v>
      </c>
      <c r="B105" s="824">
        <f>'Input data'!B135</f>
        <v>72.178572932855872</v>
      </c>
      <c r="C105" s="824">
        <f>'Recycling - Case 2'!AK115/B105</f>
        <v>271.67913162280007</v>
      </c>
      <c r="D105" s="825">
        <f>'Recycling - Case 2'!AM115</f>
        <v>0.11366002685619216</v>
      </c>
      <c r="E105" s="826">
        <f>'Recycling - Case 2'!BE115</f>
        <v>0.2183147959367317</v>
      </c>
      <c r="F105" s="826">
        <f>'Recycling - Case 2'!BF115</f>
        <v>0.2768822233934885</v>
      </c>
      <c r="G105" s="826">
        <f>'Recycling - Case 2'!BG115</f>
        <v>5.3753879999275146E-2</v>
      </c>
      <c r="H105" s="826">
        <f>'Recycling - Case 2'!BH115</f>
        <v>0</v>
      </c>
      <c r="I105" s="826">
        <f>'Recycling - Case 2'!BI115</f>
        <v>0</v>
      </c>
      <c r="J105" s="826">
        <f>'Recycling - Case 2'!BJ115</f>
        <v>0</v>
      </c>
      <c r="K105" s="826">
        <f>'Recycling - Case 2'!BK115</f>
        <v>0.45104910067050474</v>
      </c>
      <c r="L105" s="827">
        <f t="shared" si="89"/>
        <v>1</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0.10962521606891752</v>
      </c>
      <c r="Q105" s="832">
        <f t="shared" si="57"/>
        <v>122.1666859088771</v>
      </c>
      <c r="R105" s="832">
        <f t="shared" si="58"/>
        <v>122.1666859088771</v>
      </c>
      <c r="S105" s="835">
        <f t="shared" si="59"/>
        <v>0</v>
      </c>
      <c r="T105" s="832">
        <f t="shared" si="60"/>
        <v>8213.4909992529538</v>
      </c>
      <c r="U105" s="832">
        <f t="shared" si="61"/>
        <v>414.85106867913066</v>
      </c>
      <c r="V105" s="839">
        <f t="shared" si="62"/>
        <v>276.56737911942042</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4636.6676286756019</v>
      </c>
      <c r="AE105" s="854">
        <f t="shared" si="68"/>
        <v>237.7270328534176</v>
      </c>
      <c r="AF105" s="856">
        <f t="shared" si="69"/>
        <v>158.48468856894507</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4636.6676286756019</v>
      </c>
      <c r="AO105" s="854">
        <f t="shared" si="75"/>
        <v>237.7270328534176</v>
      </c>
      <c r="AP105" s="856">
        <f t="shared" si="76"/>
        <v>158.48468856894507</v>
      </c>
      <c r="AQ105" s="4"/>
      <c r="AR105" s="1042">
        <f>'Recycling - Case 2'!G115</f>
        <v>811.31992630874595</v>
      </c>
      <c r="AS105" s="1043">
        <v>1</v>
      </c>
      <c r="AT105" s="1043">
        <f t="shared" si="77"/>
        <v>0.05</v>
      </c>
      <c r="AU105" s="1044">
        <f t="shared" si="78"/>
        <v>20.282998157718652</v>
      </c>
      <c r="AV105" s="1044">
        <f t="shared" si="79"/>
        <v>20.282998157718652</v>
      </c>
      <c r="AW105" s="1045">
        <f t="shared" si="80"/>
        <v>0</v>
      </c>
      <c r="AX105" s="1044">
        <f t="shared" si="44"/>
        <v>250.48695253565873</v>
      </c>
      <c r="AY105" s="1044">
        <f t="shared" si="49"/>
        <v>14.235017539817331</v>
      </c>
      <c r="AZ105" s="1046">
        <f t="shared" si="47"/>
        <v>9.4900116932115548</v>
      </c>
      <c r="BA105" s="4"/>
      <c r="BB105" s="1055">
        <f t="shared" si="81"/>
        <v>276.56737911942042</v>
      </c>
      <c r="BC105" s="1056">
        <f t="shared" si="82"/>
        <v>158.48468856894507</v>
      </c>
      <c r="BD105" s="1082">
        <f t="shared" si="90"/>
        <v>9.4900116932115548</v>
      </c>
      <c r="BE105" s="1056">
        <f t="shared" si="54"/>
        <v>444.54207938157703</v>
      </c>
      <c r="BF105" s="167">
        <v>0</v>
      </c>
      <c r="BG105" s="1075">
        <f t="shared" si="83"/>
        <v>444.54207938157703</v>
      </c>
      <c r="BI105" s="1055">
        <f t="shared" si="84"/>
        <v>276.56737911942042</v>
      </c>
      <c r="BJ105" s="1056">
        <f t="shared" si="85"/>
        <v>158.48468856894507</v>
      </c>
      <c r="BK105" s="1082">
        <f t="shared" si="86"/>
        <v>9.4900116932115548</v>
      </c>
      <c r="BL105" s="1056">
        <f t="shared" si="55"/>
        <v>444.54207938157703</v>
      </c>
      <c r="BM105" s="167">
        <v>0</v>
      </c>
      <c r="BN105" s="1075">
        <f t="shared" si="87"/>
        <v>444.54207938157703</v>
      </c>
    </row>
    <row r="106" spans="1:66">
      <c r="A106" s="927">
        <f>'Input data'!A136</f>
        <v>2036</v>
      </c>
      <c r="B106" s="824">
        <f>'Input data'!B136</f>
        <v>72.865243718484663</v>
      </c>
      <c r="C106" s="824">
        <f>'Recycling - Case 2'!AK116/B106</f>
        <v>270.39812188561598</v>
      </c>
      <c r="D106" s="825">
        <f>'Recycling - Case 2'!AM116</f>
        <v>0.11312230174838997</v>
      </c>
      <c r="E106" s="826">
        <f>'Recycling - Case 2'!BE116</f>
        <v>0.21898111085577324</v>
      </c>
      <c r="F106" s="826">
        <f>'Recycling - Case 2'!BF116</f>
        <v>0.27772729097341525</v>
      </c>
      <c r="G106" s="826">
        <f>'Recycling - Case 2'!BG116</f>
        <v>5.3592940629672452E-2</v>
      </c>
      <c r="H106" s="826">
        <f>'Recycling - Case 2'!BH116</f>
        <v>0</v>
      </c>
      <c r="I106" s="826">
        <f>'Recycling - Case 2'!BI116</f>
        <v>0</v>
      </c>
      <c r="J106" s="826">
        <f>'Recycling - Case 2'!BJ116</f>
        <v>0</v>
      </c>
      <c r="K106" s="826">
        <f>'Recycling - Case 2'!BK116</f>
        <v>0.44969865754113919</v>
      </c>
      <c r="L106" s="827">
        <f t="shared" si="89"/>
        <v>1.0000000000000002</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0.10982980107491802</v>
      </c>
      <c r="Q106" s="832">
        <f t="shared" si="57"/>
        <v>122.39467608363776</v>
      </c>
      <c r="R106" s="832">
        <f t="shared" si="58"/>
        <v>122.39467608363776</v>
      </c>
      <c r="S106" s="835">
        <f t="shared" si="59"/>
        <v>0</v>
      </c>
      <c r="T106" s="832">
        <f t="shared" si="60"/>
        <v>7935.3089924448195</v>
      </c>
      <c r="U106" s="832">
        <f t="shared" si="61"/>
        <v>400.57668289177207</v>
      </c>
      <c r="V106" s="839">
        <f t="shared" si="62"/>
        <v>267.05112192784804</v>
      </c>
      <c r="W106" s="4"/>
      <c r="X106" s="852">
        <f>'Recycling - Case 2'!AM156</f>
        <v>190.8394557816834</v>
      </c>
      <c r="Y106" s="853">
        <f>Parameters!S241</f>
        <v>0.71500000000000008</v>
      </c>
      <c r="Z106" s="853">
        <f t="shared" si="63"/>
        <v>0.4</v>
      </c>
      <c r="AA106" s="854">
        <f t="shared" si="64"/>
        <v>27.29004217678073</v>
      </c>
      <c r="AB106" s="854">
        <f t="shared" si="65"/>
        <v>27.29004217678073</v>
      </c>
      <c r="AC106" s="855">
        <f t="shared" si="66"/>
        <v>0</v>
      </c>
      <c r="AD106" s="854">
        <f t="shared" si="67"/>
        <v>4437.824722202964</v>
      </c>
      <c r="AE106" s="854">
        <f t="shared" si="68"/>
        <v>226.13294864941875</v>
      </c>
      <c r="AF106" s="856">
        <f t="shared" si="69"/>
        <v>150.7552990996125</v>
      </c>
      <c r="AG106" s="4"/>
      <c r="AH106" s="852">
        <f>'Recycling - Case 2'!AM196</f>
        <v>190.8394557816834</v>
      </c>
      <c r="AI106" s="853">
        <f>Parameters!S241</f>
        <v>0.71500000000000008</v>
      </c>
      <c r="AJ106" s="853">
        <f t="shared" si="70"/>
        <v>0.4</v>
      </c>
      <c r="AK106" s="854">
        <f t="shared" si="71"/>
        <v>27.29004217678073</v>
      </c>
      <c r="AL106" s="854">
        <f t="shared" si="72"/>
        <v>27.29004217678073</v>
      </c>
      <c r="AM106" s="855">
        <f t="shared" si="73"/>
        <v>0</v>
      </c>
      <c r="AN106" s="854">
        <f t="shared" si="74"/>
        <v>4437.824722202964</v>
      </c>
      <c r="AO106" s="854">
        <f t="shared" si="75"/>
        <v>226.13294864941875</v>
      </c>
      <c r="AP106" s="856">
        <f t="shared" si="76"/>
        <v>150.7552990996125</v>
      </c>
      <c r="AQ106" s="4"/>
      <c r="AR106" s="1042">
        <f>'Recycling - Case 2'!G116</f>
        <v>819.03841766369385</v>
      </c>
      <c r="AS106" s="1043">
        <v>1</v>
      </c>
      <c r="AT106" s="1043">
        <f t="shared" si="77"/>
        <v>0.05</v>
      </c>
      <c r="AU106" s="1044">
        <f t="shared" si="78"/>
        <v>20.475960441592349</v>
      </c>
      <c r="AV106" s="1044">
        <f t="shared" si="79"/>
        <v>20.475960441592349</v>
      </c>
      <c r="AW106" s="1045">
        <f t="shared" si="80"/>
        <v>0</v>
      </c>
      <c r="AX106" s="1044">
        <f t="shared" si="44"/>
        <v>256.37568846527688</v>
      </c>
      <c r="AY106" s="1044">
        <f t="shared" si="49"/>
        <v>14.58722451197424</v>
      </c>
      <c r="AZ106" s="1046">
        <f t="shared" si="47"/>
        <v>9.7248163413161599</v>
      </c>
      <c r="BA106" s="4"/>
      <c r="BB106" s="1055">
        <f t="shared" si="81"/>
        <v>267.05112192784804</v>
      </c>
      <c r="BC106" s="1056">
        <f t="shared" si="82"/>
        <v>150.7552990996125</v>
      </c>
      <c r="BD106" s="1082">
        <f t="shared" si="90"/>
        <v>9.7248163413161599</v>
      </c>
      <c r="BE106" s="1056">
        <f t="shared" si="54"/>
        <v>427.53123736877671</v>
      </c>
      <c r="BF106" s="167">
        <v>0</v>
      </c>
      <c r="BG106" s="1075">
        <f t="shared" si="83"/>
        <v>427.53123736877671</v>
      </c>
      <c r="BI106" s="1055">
        <f t="shared" si="84"/>
        <v>267.05112192784804</v>
      </c>
      <c r="BJ106" s="1056">
        <f t="shared" si="85"/>
        <v>150.7552990996125</v>
      </c>
      <c r="BK106" s="1082">
        <f t="shared" si="86"/>
        <v>9.7248163413161599</v>
      </c>
      <c r="BL106" s="1056">
        <f t="shared" si="55"/>
        <v>427.53123736877671</v>
      </c>
      <c r="BM106" s="167">
        <v>0</v>
      </c>
      <c r="BN106" s="1075">
        <f t="shared" si="87"/>
        <v>427.53123736877671</v>
      </c>
    </row>
    <row r="107" spans="1:66">
      <c r="A107" s="927">
        <f>'Input data'!A137</f>
        <v>2037</v>
      </c>
      <c r="B107" s="824">
        <f>'Input data'!B137</f>
        <v>73.539326072165721</v>
      </c>
      <c r="C107" s="824">
        <f>'Recycling - Case 2'!AK117/B107</f>
        <v>269.16470957489446</v>
      </c>
      <c r="D107" s="825">
        <f>'Recycling - Case 2'!AM117</f>
        <v>0.11259900733484896</v>
      </c>
      <c r="E107" s="826">
        <f>'Recycling - Case 2'!BE117</f>
        <v>0.21961934395107433</v>
      </c>
      <c r="F107" s="826">
        <f>'Recycling - Case 2'!BF117</f>
        <v>0.27853674320367777</v>
      </c>
      <c r="G107" s="826">
        <f>'Recycling - Case 2'!BG117</f>
        <v>5.34387840453278E-2</v>
      </c>
      <c r="H107" s="826">
        <f>'Recycling - Case 2'!BH117</f>
        <v>0</v>
      </c>
      <c r="I107" s="826">
        <f>'Recycling - Case 2'!BI117</f>
        <v>0</v>
      </c>
      <c r="J107" s="826">
        <f>'Recycling - Case 2'!BJ117</f>
        <v>0</v>
      </c>
      <c r="K107" s="826">
        <f>'Recycling - Case 2'!BK117</f>
        <v>0.44840512879992017</v>
      </c>
      <c r="L107" s="827">
        <f t="shared" si="89"/>
        <v>1</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0.11002576385152782</v>
      </c>
      <c r="Q107" s="832">
        <f t="shared" si="57"/>
        <v>122.61305761882097</v>
      </c>
      <c r="R107" s="832">
        <f t="shared" si="58"/>
        <v>122.61305761882097</v>
      </c>
      <c r="S107" s="835">
        <f t="shared" si="59"/>
        <v>0</v>
      </c>
      <c r="T107" s="832">
        <f t="shared" si="60"/>
        <v>7670.9124637374471</v>
      </c>
      <c r="U107" s="832">
        <f t="shared" si="61"/>
        <v>387.00958632619307</v>
      </c>
      <c r="V107" s="839">
        <f t="shared" si="62"/>
        <v>258.00639088412873</v>
      </c>
      <c r="W107" s="4"/>
      <c r="X107" s="852">
        <f>'Recycling - Case 2'!AM157</f>
        <v>169.09268550280007</v>
      </c>
      <c r="Y107" s="853">
        <f>Parameters!S242</f>
        <v>0.71500000000000008</v>
      </c>
      <c r="Z107" s="853">
        <f t="shared" si="63"/>
        <v>0.4</v>
      </c>
      <c r="AA107" s="854">
        <f t="shared" si="64"/>
        <v>24.180254026900414</v>
      </c>
      <c r="AB107" s="854">
        <f t="shared" si="65"/>
        <v>24.180254026900414</v>
      </c>
      <c r="AC107" s="855">
        <f t="shared" si="66"/>
        <v>0</v>
      </c>
      <c r="AD107" s="854">
        <f t="shared" si="67"/>
        <v>4245.5697105630661</v>
      </c>
      <c r="AE107" s="854">
        <f t="shared" si="68"/>
        <v>216.43526566679751</v>
      </c>
      <c r="AF107" s="856">
        <f t="shared" si="69"/>
        <v>144.29017711119835</v>
      </c>
      <c r="AG107" s="4"/>
      <c r="AH107" s="852">
        <f>'Recycling - Case 2'!AM197</f>
        <v>169.09268550280007</v>
      </c>
      <c r="AI107" s="853">
        <f>Parameters!S242</f>
        <v>0.71500000000000008</v>
      </c>
      <c r="AJ107" s="853">
        <f t="shared" si="70"/>
        <v>0.4</v>
      </c>
      <c r="AK107" s="854">
        <f t="shared" si="71"/>
        <v>24.180254026900414</v>
      </c>
      <c r="AL107" s="854">
        <f t="shared" si="72"/>
        <v>24.180254026900414</v>
      </c>
      <c r="AM107" s="855">
        <f t="shared" si="73"/>
        <v>0</v>
      </c>
      <c r="AN107" s="854">
        <f t="shared" si="74"/>
        <v>4245.5697105630661</v>
      </c>
      <c r="AO107" s="854">
        <f t="shared" si="75"/>
        <v>216.43526566679751</v>
      </c>
      <c r="AP107" s="856">
        <f t="shared" si="76"/>
        <v>144.29017711119835</v>
      </c>
      <c r="AQ107" s="4"/>
      <c r="AR107" s="1042">
        <f>'Recycling - Case 2'!G117</f>
        <v>826.61540932884202</v>
      </c>
      <c r="AS107" s="1043">
        <v>1</v>
      </c>
      <c r="AT107" s="1043">
        <f t="shared" si="77"/>
        <v>0.05</v>
      </c>
      <c r="AU107" s="1044">
        <f t="shared" si="78"/>
        <v>20.665385233221052</v>
      </c>
      <c r="AV107" s="1044">
        <f t="shared" si="79"/>
        <v>20.665385233221052</v>
      </c>
      <c r="AW107" s="1045">
        <f t="shared" si="80"/>
        <v>0</v>
      </c>
      <c r="AX107" s="1044">
        <f t="shared" si="44"/>
        <v>262.11091590306319</v>
      </c>
      <c r="AY107" s="1044">
        <f t="shared" si="49"/>
        <v>14.930157795434745</v>
      </c>
      <c r="AZ107" s="1046">
        <f t="shared" si="47"/>
        <v>9.9534385302898301</v>
      </c>
      <c r="BA107" s="4"/>
      <c r="BB107" s="1055">
        <f t="shared" si="81"/>
        <v>258.00639088412873</v>
      </c>
      <c r="BC107" s="1056">
        <f t="shared" si="82"/>
        <v>144.29017711119835</v>
      </c>
      <c r="BD107" s="1082">
        <f t="shared" si="90"/>
        <v>9.9534385302898301</v>
      </c>
      <c r="BE107" s="1056">
        <f t="shared" si="54"/>
        <v>412.25000652561693</v>
      </c>
      <c r="BF107" s="167">
        <v>0</v>
      </c>
      <c r="BG107" s="1075">
        <f t="shared" si="83"/>
        <v>412.25000652561693</v>
      </c>
      <c r="BI107" s="1055">
        <f t="shared" si="84"/>
        <v>258.00639088412873</v>
      </c>
      <c r="BJ107" s="1056">
        <f t="shared" si="85"/>
        <v>144.29017711119835</v>
      </c>
      <c r="BK107" s="1082">
        <f t="shared" si="86"/>
        <v>9.9534385302898301</v>
      </c>
      <c r="BL107" s="1056">
        <f t="shared" si="55"/>
        <v>412.25000652561693</v>
      </c>
      <c r="BM107" s="167">
        <v>0</v>
      </c>
      <c r="BN107" s="1075">
        <f t="shared" si="87"/>
        <v>412.25000652561693</v>
      </c>
    </row>
    <row r="108" spans="1:66">
      <c r="A108" s="927">
        <f>'Input data'!A138</f>
        <v>2038</v>
      </c>
      <c r="B108" s="824">
        <f>'Input data'!B138</f>
        <v>74.200346452615136</v>
      </c>
      <c r="C108" s="824">
        <f>'Recycling - Case 2'!AK118/B108</f>
        <v>267.97773703701273</v>
      </c>
      <c r="D108" s="825">
        <f>'Recycling - Case 2'!AM118</f>
        <v>0.11209020863858978</v>
      </c>
      <c r="E108" s="826">
        <f>'Recycling - Case 2'!BE118</f>
        <v>0.22023048769888665</v>
      </c>
      <c r="F108" s="826">
        <f>'Recycling - Case 2'!BF118</f>
        <v>0.27931183881266403</v>
      </c>
      <c r="G108" s="826">
        <f>'Recycling - Case 2'!BG118</f>
        <v>5.3291170527006743E-2</v>
      </c>
      <c r="H108" s="826">
        <f>'Recycling - Case 2'!BH118</f>
        <v>0</v>
      </c>
      <c r="I108" s="826">
        <f>'Recycling - Case 2'!BI118</f>
        <v>0</v>
      </c>
      <c r="J108" s="826">
        <f>'Recycling - Case 2'!BJ118</f>
        <v>0</v>
      </c>
      <c r="K108" s="826">
        <f>'Recycling - Case 2'!BK118</f>
        <v>0.44716650296144256</v>
      </c>
      <c r="L108" s="827">
        <f t="shared" si="89"/>
        <v>1</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0.1102134091281685</v>
      </c>
      <c r="Q108" s="832">
        <f t="shared" si="57"/>
        <v>122.82217010585347</v>
      </c>
      <c r="R108" s="832">
        <f t="shared" si="58"/>
        <v>122.82217010585347</v>
      </c>
      <c r="S108" s="835">
        <f t="shared" si="59"/>
        <v>0</v>
      </c>
      <c r="T108" s="832">
        <f t="shared" si="60"/>
        <v>7419.6198183821798</v>
      </c>
      <c r="U108" s="832">
        <f t="shared" si="61"/>
        <v>374.114815461121</v>
      </c>
      <c r="V108" s="839">
        <f t="shared" si="62"/>
        <v>249.40987697408067</v>
      </c>
      <c r="W108" s="4"/>
      <c r="X108" s="852">
        <f>'Recycling - Case 2'!AM158</f>
        <v>265.0233487293479</v>
      </c>
      <c r="Y108" s="853">
        <f>Parameters!S243</f>
        <v>0.71500000000000008</v>
      </c>
      <c r="Z108" s="853">
        <f t="shared" si="63"/>
        <v>0.4</v>
      </c>
      <c r="AA108" s="854">
        <f t="shared" si="64"/>
        <v>37.898338868296754</v>
      </c>
      <c r="AB108" s="854">
        <f t="shared" si="65"/>
        <v>37.898338868296754</v>
      </c>
      <c r="AC108" s="855">
        <f t="shared" si="66"/>
        <v>0</v>
      </c>
      <c r="AD108" s="854">
        <f t="shared" si="67"/>
        <v>4076.4091713248654</v>
      </c>
      <c r="AE108" s="854">
        <f t="shared" si="68"/>
        <v>207.05887810649776</v>
      </c>
      <c r="AF108" s="856">
        <f t="shared" si="69"/>
        <v>138.03925207099851</v>
      </c>
      <c r="AG108" s="4"/>
      <c r="AH108" s="852">
        <f>'Recycling - Case 2'!AM198</f>
        <v>265.0233487293479</v>
      </c>
      <c r="AI108" s="853">
        <f>Parameters!S243</f>
        <v>0.71500000000000008</v>
      </c>
      <c r="AJ108" s="853">
        <f t="shared" si="70"/>
        <v>0.4</v>
      </c>
      <c r="AK108" s="854">
        <f t="shared" si="71"/>
        <v>37.898338868296754</v>
      </c>
      <c r="AL108" s="854">
        <f t="shared" si="72"/>
        <v>37.898338868296754</v>
      </c>
      <c r="AM108" s="855">
        <f t="shared" si="73"/>
        <v>0</v>
      </c>
      <c r="AN108" s="854">
        <f t="shared" si="74"/>
        <v>4076.4091713248654</v>
      </c>
      <c r="AO108" s="854">
        <f t="shared" si="75"/>
        <v>207.05887810649776</v>
      </c>
      <c r="AP108" s="856">
        <f t="shared" si="76"/>
        <v>138.03925207099851</v>
      </c>
      <c r="AQ108" s="4"/>
      <c r="AR108" s="1042">
        <f>'Recycling - Case 2'!G118</f>
        <v>834.04557848518823</v>
      </c>
      <c r="AS108" s="1043">
        <v>1</v>
      </c>
      <c r="AT108" s="1043">
        <f t="shared" si="77"/>
        <v>0.05</v>
      </c>
      <c r="AU108" s="1044">
        <f t="shared" si="78"/>
        <v>20.851139462129709</v>
      </c>
      <c r="AV108" s="1044">
        <f t="shared" si="79"/>
        <v>20.851139462129709</v>
      </c>
      <c r="AW108" s="1045">
        <f t="shared" si="80"/>
        <v>0</v>
      </c>
      <c r="AX108" s="1044">
        <f t="shared" si="44"/>
        <v>267.69790392491825</v>
      </c>
      <c r="AY108" s="1044">
        <f t="shared" si="49"/>
        <v>15.264151440274645</v>
      </c>
      <c r="AZ108" s="1046">
        <f t="shared" si="47"/>
        <v>10.176100960183097</v>
      </c>
      <c r="BA108" s="4"/>
      <c r="BB108" s="1055">
        <f t="shared" si="81"/>
        <v>249.40987697408067</v>
      </c>
      <c r="BC108" s="1056">
        <f t="shared" si="82"/>
        <v>138.03925207099851</v>
      </c>
      <c r="BD108" s="1082">
        <f t="shared" si="90"/>
        <v>10.176100960183097</v>
      </c>
      <c r="BE108" s="1056">
        <f t="shared" si="54"/>
        <v>397.62523000526227</v>
      </c>
      <c r="BF108" s="167">
        <v>0</v>
      </c>
      <c r="BG108" s="1075">
        <f t="shared" si="83"/>
        <v>397.62523000526227</v>
      </c>
      <c r="BI108" s="1055">
        <f t="shared" si="84"/>
        <v>249.40987697408067</v>
      </c>
      <c r="BJ108" s="1056">
        <f t="shared" si="85"/>
        <v>138.03925207099851</v>
      </c>
      <c r="BK108" s="1082">
        <f t="shared" si="86"/>
        <v>10.176100960183097</v>
      </c>
      <c r="BL108" s="1056">
        <f t="shared" si="55"/>
        <v>397.62523000526227</v>
      </c>
      <c r="BM108" s="167">
        <v>0</v>
      </c>
      <c r="BN108" s="1075">
        <f t="shared" si="87"/>
        <v>397.62523000526227</v>
      </c>
    </row>
    <row r="109" spans="1:66">
      <c r="A109" s="927">
        <f>'Input data'!A139</f>
        <v>2039</v>
      </c>
      <c r="B109" s="824">
        <f>'Input data'!B139</f>
        <v>74.847837096563296</v>
      </c>
      <c r="C109" s="824">
        <f>'Recycling - Case 2'!AK119/B109</f>
        <v>266.83609907544133</v>
      </c>
      <c r="D109" s="825">
        <f>'Recycling - Case 2'!AM119</f>
        <v>0.11159596398740185</v>
      </c>
      <c r="E109" s="826">
        <f>'Recycling - Case 2'!BE119</f>
        <v>0.22081547721760428</v>
      </c>
      <c r="F109" s="826">
        <f>'Recycling - Case 2'!BF119</f>
        <v>0.28005376378348168</v>
      </c>
      <c r="G109" s="826">
        <f>'Recycling - Case 2'!BG119</f>
        <v>5.3149874209490661E-2</v>
      </c>
      <c r="H109" s="826">
        <f>'Recycling - Case 2'!BH119</f>
        <v>0</v>
      </c>
      <c r="I109" s="826">
        <f>'Recycling - Case 2'!BI119</f>
        <v>0</v>
      </c>
      <c r="J109" s="826">
        <f>'Recycling - Case 2'!BJ119</f>
        <v>0</v>
      </c>
      <c r="K109" s="826">
        <f>'Recycling - Case 2'!BK119</f>
        <v>0.44598088478942355</v>
      </c>
      <c r="L109" s="827">
        <f t="shared" si="89"/>
        <v>1.0000000000000002</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0.11039302402313325</v>
      </c>
      <c r="Q109" s="832">
        <f t="shared" si="57"/>
        <v>123.0223335102651</v>
      </c>
      <c r="R109" s="832">
        <f t="shared" si="58"/>
        <v>123.0223335102651</v>
      </c>
      <c r="S109" s="835">
        <f t="shared" si="59"/>
        <v>0</v>
      </c>
      <c r="T109" s="832">
        <f t="shared" si="60"/>
        <v>7180.7830233640389</v>
      </c>
      <c r="U109" s="832">
        <f t="shared" si="61"/>
        <v>361.85912852840664</v>
      </c>
      <c r="V109" s="839">
        <f t="shared" si="62"/>
        <v>241.23941901893775</v>
      </c>
      <c r="W109" s="4"/>
      <c r="X109" s="852">
        <f>'Recycling - Case 2'!AM159</f>
        <v>362.45915934556035</v>
      </c>
      <c r="Y109" s="853">
        <f>Parameters!S244</f>
        <v>0.71500000000000008</v>
      </c>
      <c r="Z109" s="853">
        <f t="shared" si="63"/>
        <v>0.4</v>
      </c>
      <c r="AA109" s="854">
        <f t="shared" si="64"/>
        <v>51.831659786415138</v>
      </c>
      <c r="AB109" s="854">
        <f t="shared" si="65"/>
        <v>51.831659786415138</v>
      </c>
      <c r="AC109" s="855">
        <f t="shared" si="66"/>
        <v>0</v>
      </c>
      <c r="AD109" s="854">
        <f t="shared" si="67"/>
        <v>3929.4320098551993</v>
      </c>
      <c r="AE109" s="854">
        <f t="shared" si="68"/>
        <v>198.80882125608116</v>
      </c>
      <c r="AF109" s="856">
        <f t="shared" si="69"/>
        <v>132.53921417072078</v>
      </c>
      <c r="AG109" s="4"/>
      <c r="AH109" s="852">
        <f>'Recycling - Case 2'!AM199</f>
        <v>362.45915934556035</v>
      </c>
      <c r="AI109" s="853">
        <f>Parameters!S244</f>
        <v>0.71500000000000008</v>
      </c>
      <c r="AJ109" s="853">
        <f t="shared" si="70"/>
        <v>0.4</v>
      </c>
      <c r="AK109" s="854">
        <f t="shared" si="71"/>
        <v>51.831659786415138</v>
      </c>
      <c r="AL109" s="854">
        <f t="shared" si="72"/>
        <v>51.831659786415138</v>
      </c>
      <c r="AM109" s="855">
        <f t="shared" si="73"/>
        <v>0</v>
      </c>
      <c r="AN109" s="854">
        <f t="shared" si="74"/>
        <v>3929.4320098551993</v>
      </c>
      <c r="AO109" s="854">
        <f t="shared" si="75"/>
        <v>198.80882125608116</v>
      </c>
      <c r="AP109" s="856">
        <f t="shared" si="76"/>
        <v>132.53921417072078</v>
      </c>
      <c r="AQ109" s="4"/>
      <c r="AR109" s="1042">
        <f>'Recycling - Case 2'!G119</f>
        <v>841.32366726123416</v>
      </c>
      <c r="AS109" s="1043">
        <v>1</v>
      </c>
      <c r="AT109" s="1043">
        <f t="shared" si="77"/>
        <v>0.05</v>
      </c>
      <c r="AU109" s="1044">
        <f t="shared" si="78"/>
        <v>21.033091681530856</v>
      </c>
      <c r="AV109" s="1044">
        <f t="shared" si="79"/>
        <v>21.033091681530856</v>
      </c>
      <c r="AW109" s="1045">
        <f t="shared" si="80"/>
        <v>0</v>
      </c>
      <c r="AX109" s="1044">
        <f t="shared" si="44"/>
        <v>273.14148331286253</v>
      </c>
      <c r="AY109" s="1044">
        <f t="shared" si="49"/>
        <v>15.589512293586589</v>
      </c>
      <c r="AZ109" s="1046">
        <f t="shared" si="47"/>
        <v>10.393008195724393</v>
      </c>
      <c r="BA109" s="4"/>
      <c r="BB109" s="1055">
        <f t="shared" si="81"/>
        <v>241.23941901893775</v>
      </c>
      <c r="BC109" s="1056">
        <f t="shared" si="82"/>
        <v>132.53921417072078</v>
      </c>
      <c r="BD109" s="1082">
        <f t="shared" si="90"/>
        <v>10.393008195724393</v>
      </c>
      <c r="BE109" s="1056">
        <f t="shared" si="54"/>
        <v>384.17164138538294</v>
      </c>
      <c r="BF109" s="167">
        <v>0</v>
      </c>
      <c r="BG109" s="1075">
        <f t="shared" si="83"/>
        <v>384.17164138538294</v>
      </c>
      <c r="BI109" s="1055">
        <f t="shared" si="84"/>
        <v>241.23941901893775</v>
      </c>
      <c r="BJ109" s="1056">
        <f t="shared" si="85"/>
        <v>132.53921417072078</v>
      </c>
      <c r="BK109" s="1082">
        <f t="shared" si="86"/>
        <v>10.393008195724393</v>
      </c>
      <c r="BL109" s="1056">
        <f t="shared" si="55"/>
        <v>384.17164138538294</v>
      </c>
      <c r="BM109" s="167">
        <v>0</v>
      </c>
      <c r="BN109" s="1075">
        <f t="shared" si="87"/>
        <v>384.17164138538294</v>
      </c>
    </row>
    <row r="110" spans="1:66">
      <c r="A110" s="927">
        <f>'Input data'!A140</f>
        <v>2040</v>
      </c>
      <c r="B110" s="824">
        <f>'Input data'!B140</f>
        <v>75.481336564720067</v>
      </c>
      <c r="C110" s="824">
        <f>'Recycling - Case 2'!AK120/B110</f>
        <v>265.73874091627641</v>
      </c>
      <c r="D110" s="825">
        <f>'Recycling - Case 2'!AM120</f>
        <v>0.11111632549686028</v>
      </c>
      <c r="E110" s="826">
        <f>'Recycling - Case 2'!BE120</f>
        <v>0.22137519370083947</v>
      </c>
      <c r="F110" s="826">
        <f>'Recycling - Case 2'!BF120</f>
        <v>0.28076363570802615</v>
      </c>
      <c r="G110" s="826">
        <f>'Recycling - Case 2'!BG120</f>
        <v>5.3014682252363735E-2</v>
      </c>
      <c r="H110" s="826">
        <f>'Recycling - Case 2'!BH120</f>
        <v>0</v>
      </c>
      <c r="I110" s="826">
        <f>'Recycling - Case 2'!BI120</f>
        <v>0</v>
      </c>
      <c r="J110" s="826">
        <f>'Recycling - Case 2'!BJ120</f>
        <v>0</v>
      </c>
      <c r="K110" s="826">
        <f>'Recycling - Case 2'!BK120</f>
        <v>0.44484648833877066</v>
      </c>
      <c r="L110" s="827">
        <f t="shared" si="89"/>
        <v>1</v>
      </c>
      <c r="M110" s="4"/>
      <c r="N110" s="838">
        <f t="shared" si="56"/>
        <v>2228.8062963921579</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0.11056487909767665</v>
      </c>
      <c r="Q110" s="832">
        <f t="shared" si="57"/>
        <v>123.2138493463697</v>
      </c>
      <c r="R110" s="832">
        <f t="shared" si="58"/>
        <v>123.2138493463697</v>
      </c>
      <c r="S110" s="835">
        <f t="shared" si="59"/>
        <v>0</v>
      </c>
      <c r="T110" s="832">
        <f t="shared" si="60"/>
        <v>6953.7859521254422</v>
      </c>
      <c r="U110" s="832">
        <f t="shared" si="61"/>
        <v>350.21092058496691</v>
      </c>
      <c r="V110" s="839">
        <f t="shared" si="62"/>
        <v>233.47394705664462</v>
      </c>
      <c r="W110" s="4"/>
      <c r="X110" s="852">
        <f>'Recycling - Case 2'!AM160</f>
        <v>461.20572912887332</v>
      </c>
      <c r="Y110" s="853">
        <f>Parameters!S245</f>
        <v>0.71500000000000008</v>
      </c>
      <c r="Z110" s="853">
        <f t="shared" si="63"/>
        <v>0.4</v>
      </c>
      <c r="AA110" s="854">
        <f t="shared" si="64"/>
        <v>65.952419265428887</v>
      </c>
      <c r="AB110" s="854">
        <f t="shared" si="65"/>
        <v>65.952419265428887</v>
      </c>
      <c r="AC110" s="855">
        <f t="shared" si="66"/>
        <v>0</v>
      </c>
      <c r="AD110" s="854">
        <f t="shared" si="67"/>
        <v>3803.7437686146741</v>
      </c>
      <c r="AE110" s="854">
        <f t="shared" si="68"/>
        <v>191.64066050595406</v>
      </c>
      <c r="AF110" s="856">
        <f t="shared" si="69"/>
        <v>127.76044033730271</v>
      </c>
      <c r="AG110" s="4"/>
      <c r="AH110" s="852">
        <f>'Recycling - Case 2'!AM200</f>
        <v>461.20572912887332</v>
      </c>
      <c r="AI110" s="853">
        <f>Parameters!S245</f>
        <v>0.71500000000000008</v>
      </c>
      <c r="AJ110" s="853">
        <f t="shared" si="70"/>
        <v>0.4</v>
      </c>
      <c r="AK110" s="854">
        <f t="shared" si="71"/>
        <v>65.952419265428887</v>
      </c>
      <c r="AL110" s="854">
        <f t="shared" si="72"/>
        <v>65.952419265428887</v>
      </c>
      <c r="AM110" s="855">
        <f t="shared" si="73"/>
        <v>0</v>
      </c>
      <c r="AN110" s="854">
        <f t="shared" si="74"/>
        <v>3803.7437686146741</v>
      </c>
      <c r="AO110" s="854">
        <f t="shared" si="75"/>
        <v>191.64066050595406</v>
      </c>
      <c r="AP110" s="856">
        <f t="shared" si="76"/>
        <v>127.76044033730271</v>
      </c>
      <c r="AQ110" s="4"/>
      <c r="AR110" s="1042">
        <f>'Recycling - Case 2'!G120</f>
        <v>848.44448886988107</v>
      </c>
      <c r="AS110" s="1043">
        <v>1</v>
      </c>
      <c r="AT110" s="1043">
        <f t="shared" si="77"/>
        <v>0.05</v>
      </c>
      <c r="AU110" s="1044">
        <f t="shared" si="78"/>
        <v>21.21111222174703</v>
      </c>
      <c r="AV110" s="1044">
        <f t="shared" si="79"/>
        <v>21.21111222174703</v>
      </c>
      <c r="AW110" s="1045">
        <f t="shared" si="80"/>
        <v>0</v>
      </c>
      <c r="AX110" s="1044">
        <f t="shared" si="44"/>
        <v>278.44607385639489</v>
      </c>
      <c r="AY110" s="1044">
        <f t="shared" si="49"/>
        <v>15.906521678214695</v>
      </c>
      <c r="AZ110" s="1046">
        <f t="shared" si="47"/>
        <v>10.604347785476463</v>
      </c>
      <c r="BA110" s="4"/>
      <c r="BB110" s="1055">
        <f t="shared" si="81"/>
        <v>233.47394705664462</v>
      </c>
      <c r="BC110" s="1056">
        <f t="shared" si="82"/>
        <v>127.76044033730271</v>
      </c>
      <c r="BD110" s="1082">
        <f t="shared" si="90"/>
        <v>10.604347785476463</v>
      </c>
      <c r="BE110" s="1056">
        <f t="shared" si="54"/>
        <v>371.83873517942379</v>
      </c>
      <c r="BF110" s="167">
        <v>0</v>
      </c>
      <c r="BG110" s="1075">
        <f t="shared" si="83"/>
        <v>371.83873517942379</v>
      </c>
      <c r="BI110" s="1055">
        <f t="shared" si="84"/>
        <v>233.47394705664462</v>
      </c>
      <c r="BJ110" s="1056">
        <f t="shared" si="85"/>
        <v>127.76044033730271</v>
      </c>
      <c r="BK110" s="1082">
        <f t="shared" si="86"/>
        <v>10.604347785476463</v>
      </c>
      <c r="BL110" s="1056">
        <f t="shared" si="55"/>
        <v>371.83873517942379</v>
      </c>
      <c r="BM110" s="167">
        <v>0</v>
      </c>
      <c r="BN110" s="1075">
        <f t="shared" si="87"/>
        <v>371.83873517942379</v>
      </c>
    </row>
    <row r="111" spans="1:66">
      <c r="A111" s="927">
        <f>'Input data'!A141</f>
        <v>2041</v>
      </c>
      <c r="B111" s="824">
        <f>'Input data'!B141</f>
        <v>76.101885632753024</v>
      </c>
      <c r="C111" s="824">
        <f>'Recycling - Case 2'!AK121/B111</f>
        <v>264.68213157697022</v>
      </c>
      <c r="D111" s="825">
        <f>'Recycling - Case 2'!AM121</f>
        <v>0.11065022075617988</v>
      </c>
      <c r="E111" s="826">
        <f>'Recycling - Case 2'!BE121</f>
        <v>0.22191174688108273</v>
      </c>
      <c r="F111" s="826">
        <f>'Recycling - Case 2'!BF121</f>
        <v>0.28144413029785537</v>
      </c>
      <c r="G111" s="826">
        <f>'Recycling - Case 2'!BG121</f>
        <v>5.2885085078236402E-2</v>
      </c>
      <c r="H111" s="826">
        <f>'Recycling - Case 2'!BH121</f>
        <v>0</v>
      </c>
      <c r="I111" s="826">
        <f>'Recycling - Case 2'!BI121</f>
        <v>0</v>
      </c>
      <c r="J111" s="826">
        <f>'Recycling - Case 2'!BJ121</f>
        <v>0</v>
      </c>
      <c r="K111" s="826">
        <f>'Recycling - Case 2'!BK121</f>
        <v>0.44375903774282555</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0.11072962212302806</v>
      </c>
      <c r="Q111" s="832">
        <f t="shared" si="57"/>
        <v>123.39743949246468</v>
      </c>
      <c r="R111" s="832">
        <f t="shared" si="58"/>
        <v>123.39743949246468</v>
      </c>
      <c r="S111" s="835">
        <f t="shared" si="59"/>
        <v>0</v>
      </c>
      <c r="T111" s="832">
        <f t="shared" si="60"/>
        <v>6738.0432488338984</v>
      </c>
      <c r="U111" s="832">
        <f t="shared" si="61"/>
        <v>339.14014278400816</v>
      </c>
      <c r="V111" s="839">
        <f t="shared" si="62"/>
        <v>226.0934285226721</v>
      </c>
      <c r="W111" s="4"/>
      <c r="X111" s="852">
        <f>'Recycling - Case 2'!AM161</f>
        <v>514.85824560813717</v>
      </c>
      <c r="Y111" s="853">
        <f>Parameters!S246</f>
        <v>0.71500000000000008</v>
      </c>
      <c r="Z111" s="853">
        <f t="shared" si="63"/>
        <v>0.4</v>
      </c>
      <c r="AA111" s="854">
        <f t="shared" si="64"/>
        <v>73.624729121963625</v>
      </c>
      <c r="AB111" s="854">
        <f t="shared" si="65"/>
        <v>73.624729121963625</v>
      </c>
      <c r="AC111" s="855">
        <f t="shared" si="66"/>
        <v>0</v>
      </c>
      <c r="AD111" s="854">
        <f t="shared" si="67"/>
        <v>3691.8577250894773</v>
      </c>
      <c r="AE111" s="854">
        <f t="shared" si="68"/>
        <v>185.51077264716056</v>
      </c>
      <c r="AF111" s="856">
        <f t="shared" si="69"/>
        <v>123.67384843144038</v>
      </c>
      <c r="AG111" s="4"/>
      <c r="AH111" s="852">
        <f>'Recycling - Case 2'!AM201</f>
        <v>514.85824560813717</v>
      </c>
      <c r="AI111" s="853">
        <f>Parameters!S246</f>
        <v>0.71500000000000008</v>
      </c>
      <c r="AJ111" s="853">
        <f t="shared" si="70"/>
        <v>0.4</v>
      </c>
      <c r="AK111" s="854">
        <f t="shared" si="71"/>
        <v>73.624729121963625</v>
      </c>
      <c r="AL111" s="854">
        <f t="shared" si="72"/>
        <v>73.624729121963625</v>
      </c>
      <c r="AM111" s="855">
        <f t="shared" si="73"/>
        <v>0</v>
      </c>
      <c r="AN111" s="854">
        <f t="shared" si="74"/>
        <v>3691.8577250894773</v>
      </c>
      <c r="AO111" s="854">
        <f t="shared" si="75"/>
        <v>185.51077264716056</v>
      </c>
      <c r="AP111" s="856">
        <f t="shared" si="76"/>
        <v>123.67384843144038</v>
      </c>
      <c r="AQ111" s="4"/>
      <c r="AR111" s="1042">
        <f>'Recycling - Case 2'!G121</f>
        <v>855.41974210210844</v>
      </c>
      <c r="AS111" s="1043">
        <v>1</v>
      </c>
      <c r="AT111" s="1043">
        <f t="shared" si="77"/>
        <v>0.05</v>
      </c>
      <c r="AU111" s="1044">
        <f t="shared" si="78"/>
        <v>21.385493552552713</v>
      </c>
      <c r="AV111" s="1044">
        <f t="shared" si="79"/>
        <v>21.385493552552713</v>
      </c>
      <c r="AW111" s="1045">
        <f t="shared" si="80"/>
        <v>0</v>
      </c>
      <c r="AX111" s="1044">
        <f t="shared" si="44"/>
        <v>283.61613042628568</v>
      </c>
      <c r="AY111" s="1044">
        <f t="shared" si="49"/>
        <v>16.215436982661885</v>
      </c>
      <c r="AZ111" s="1046">
        <f t="shared" si="47"/>
        <v>10.81029132177459</v>
      </c>
      <c r="BA111" s="4"/>
      <c r="BB111" s="1055">
        <f t="shared" si="81"/>
        <v>226.0934285226721</v>
      </c>
      <c r="BC111" s="1056">
        <f t="shared" si="82"/>
        <v>123.67384843144038</v>
      </c>
      <c r="BD111" s="1082">
        <f t="shared" si="90"/>
        <v>10.81029132177459</v>
      </c>
      <c r="BE111" s="1056">
        <f t="shared" si="54"/>
        <v>360.57756827588707</v>
      </c>
      <c r="BF111" s="167">
        <v>0</v>
      </c>
      <c r="BG111" s="1075">
        <f t="shared" si="83"/>
        <v>360.57756827588707</v>
      </c>
      <c r="BI111" s="1055">
        <f t="shared" si="84"/>
        <v>226.0934285226721</v>
      </c>
      <c r="BJ111" s="1056">
        <f t="shared" si="85"/>
        <v>123.67384843144038</v>
      </c>
      <c r="BK111" s="1082">
        <f t="shared" si="86"/>
        <v>10.81029132177459</v>
      </c>
      <c r="BL111" s="1056">
        <f t="shared" si="55"/>
        <v>360.57756827588707</v>
      </c>
      <c r="BM111" s="167">
        <v>0</v>
      </c>
      <c r="BN111" s="1075">
        <f t="shared" si="87"/>
        <v>360.57756827588707</v>
      </c>
    </row>
    <row r="112" spans="1:66">
      <c r="A112" s="927">
        <f>'Input data'!A142</f>
        <v>2042</v>
      </c>
      <c r="B112" s="824">
        <f>'Input data'!B142</f>
        <v>76.709073592680113</v>
      </c>
      <c r="C112" s="824">
        <f>'Recycling - Case 2'!AK122/B112</f>
        <v>263.66537404555231</v>
      </c>
      <c r="D112" s="825">
        <f>'Recycling - Case 2'!AM122</f>
        <v>0.11019768941050057</v>
      </c>
      <c r="E112" s="826">
        <f>'Recycling - Case 2'!BE122</f>
        <v>0.22242587187262389</v>
      </c>
      <c r="F112" s="826">
        <f>'Recycling - Case 2'!BF122</f>
        <v>0.28209617987676394</v>
      </c>
      <c r="G112" s="826">
        <f>'Recycling - Case 2'!BG122</f>
        <v>5.2760905130180238E-2</v>
      </c>
      <c r="H112" s="826">
        <f>'Recycling - Case 2'!BH122</f>
        <v>0</v>
      </c>
      <c r="I112" s="826">
        <f>'Recycling - Case 2'!BI122</f>
        <v>0</v>
      </c>
      <c r="J112" s="826">
        <f>'Recycling - Case 2'!BJ122</f>
        <v>0</v>
      </c>
      <c r="K112" s="826">
        <f>'Recycling - Case 2'!BK122</f>
        <v>0.44271704312043192</v>
      </c>
      <c r="L112" s="827">
        <f t="shared" si="89"/>
        <v>1</v>
      </c>
      <c r="M112" s="4"/>
      <c r="N112" s="838">
        <f t="shared" si="56"/>
        <v>2228.8062963921589</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0.11088747880831847</v>
      </c>
      <c r="Q112" s="832">
        <f t="shared" si="57"/>
        <v>123.57335547951614</v>
      </c>
      <c r="R112" s="832">
        <f t="shared" si="58"/>
        <v>123.57335547951614</v>
      </c>
      <c r="S112" s="835">
        <f t="shared" si="59"/>
        <v>0</v>
      </c>
      <c r="T112" s="832">
        <f t="shared" si="60"/>
        <v>6532.9983573287063</v>
      </c>
      <c r="U112" s="832">
        <f t="shared" si="61"/>
        <v>328.61824698470787</v>
      </c>
      <c r="V112" s="839">
        <f t="shared" si="62"/>
        <v>219.07883132313859</v>
      </c>
      <c r="W112" s="4"/>
      <c r="X112" s="852">
        <f>'Recycling - Case 2'!AM162</f>
        <v>569.11026943530908</v>
      </c>
      <c r="Y112" s="853">
        <f>Parameters!S247</f>
        <v>0.71500000000000008</v>
      </c>
      <c r="Z112" s="853">
        <f t="shared" si="63"/>
        <v>0.4</v>
      </c>
      <c r="AA112" s="854">
        <f t="shared" si="64"/>
        <v>81.382768529249219</v>
      </c>
      <c r="AB112" s="854">
        <f t="shared" si="65"/>
        <v>81.382768529249219</v>
      </c>
      <c r="AC112" s="855">
        <f t="shared" si="66"/>
        <v>0</v>
      </c>
      <c r="AD112" s="854">
        <f t="shared" si="67"/>
        <v>3593.1864677046278</v>
      </c>
      <c r="AE112" s="854">
        <f t="shared" si="68"/>
        <v>180.05402591409856</v>
      </c>
      <c r="AF112" s="856">
        <f t="shared" si="69"/>
        <v>120.03601727606571</v>
      </c>
      <c r="AG112" s="4"/>
      <c r="AH112" s="852">
        <f>'Recycling - Case 2'!AM202</f>
        <v>569.11026943530908</v>
      </c>
      <c r="AI112" s="853">
        <f>Parameters!S247</f>
        <v>0.71500000000000008</v>
      </c>
      <c r="AJ112" s="853">
        <f t="shared" si="70"/>
        <v>0.4</v>
      </c>
      <c r="AK112" s="854">
        <f t="shared" si="71"/>
        <v>81.382768529249219</v>
      </c>
      <c r="AL112" s="854">
        <f t="shared" si="72"/>
        <v>81.382768529249219</v>
      </c>
      <c r="AM112" s="855">
        <f t="shared" si="73"/>
        <v>0</v>
      </c>
      <c r="AN112" s="854">
        <f t="shared" si="74"/>
        <v>3593.1864677046278</v>
      </c>
      <c r="AO112" s="854">
        <f t="shared" si="75"/>
        <v>180.05402591409856</v>
      </c>
      <c r="AP112" s="856">
        <f t="shared" si="76"/>
        <v>120.03601727606571</v>
      </c>
      <c r="AQ112" s="4"/>
      <c r="AR112" s="1042">
        <f>'Recycling - Case 2'!G122</f>
        <v>862.24481041375077</v>
      </c>
      <c r="AS112" s="1043">
        <v>1</v>
      </c>
      <c r="AT112" s="1043">
        <f t="shared" si="77"/>
        <v>0.05</v>
      </c>
      <c r="AU112" s="1044">
        <f t="shared" si="78"/>
        <v>21.556120260343771</v>
      </c>
      <c r="AV112" s="1044">
        <f t="shared" si="79"/>
        <v>21.556120260343771</v>
      </c>
      <c r="AW112" s="1045">
        <f t="shared" si="80"/>
        <v>0</v>
      </c>
      <c r="AX112" s="1044">
        <f t="shared" si="44"/>
        <v>288.65573304822419</v>
      </c>
      <c r="AY112" s="1044">
        <f t="shared" si="49"/>
        <v>16.516517638405293</v>
      </c>
      <c r="AZ112" s="1046">
        <f t="shared" si="47"/>
        <v>11.011011758936862</v>
      </c>
      <c r="BA112" s="4"/>
      <c r="BB112" s="1055">
        <f t="shared" si="81"/>
        <v>219.07883132313859</v>
      </c>
      <c r="BC112" s="1056">
        <f t="shared" si="82"/>
        <v>120.03601727606571</v>
      </c>
      <c r="BD112" s="1082">
        <f t="shared" si="90"/>
        <v>11.011011758936862</v>
      </c>
      <c r="BE112" s="1056">
        <f t="shared" si="54"/>
        <v>350.12586035814115</v>
      </c>
      <c r="BF112" s="167">
        <v>0</v>
      </c>
      <c r="BG112" s="1075">
        <f t="shared" si="83"/>
        <v>350.12586035814115</v>
      </c>
      <c r="BI112" s="1055">
        <f t="shared" si="84"/>
        <v>219.07883132313859</v>
      </c>
      <c r="BJ112" s="1056">
        <f t="shared" si="85"/>
        <v>120.03601727606571</v>
      </c>
      <c r="BK112" s="1082">
        <f t="shared" si="86"/>
        <v>11.011011758936862</v>
      </c>
      <c r="BL112" s="1056">
        <f t="shared" si="55"/>
        <v>350.12586035814115</v>
      </c>
      <c r="BM112" s="167">
        <v>0</v>
      </c>
      <c r="BN112" s="1075">
        <f t="shared" si="87"/>
        <v>350.12586035814115</v>
      </c>
    </row>
    <row r="113" spans="1:66">
      <c r="A113" s="927">
        <f>'Input data'!A143</f>
        <v>2043</v>
      </c>
      <c r="B113" s="824">
        <f>'Input data'!B143</f>
        <v>77.302495984815266</v>
      </c>
      <c r="C113" s="824">
        <f>'Recycling - Case 2'!AK123/B113</f>
        <v>262.68761119359209</v>
      </c>
      <c r="D113" s="825">
        <f>'Recycling - Case 2'!AM123</f>
        <v>0.10975876655997421</v>
      </c>
      <c r="E113" s="826">
        <f>'Recycling - Case 2'!BE123</f>
        <v>0.2229182631596279</v>
      </c>
      <c r="F113" s="826">
        <f>'Recycling - Case 2'!BF123</f>
        <v>0.28272066523855666</v>
      </c>
      <c r="G113" s="826">
        <f>'Recycling - Case 2'!BG123</f>
        <v>5.2641974664924748E-2</v>
      </c>
      <c r="H113" s="826">
        <f>'Recycling - Case 2'!BH123</f>
        <v>0</v>
      </c>
      <c r="I113" s="826">
        <f>'Recycling - Case 2'!BI123</f>
        <v>0</v>
      </c>
      <c r="J113" s="826">
        <f>'Recycling - Case 2'!BJ123</f>
        <v>0</v>
      </c>
      <c r="K113" s="826">
        <f>'Recycling - Case 2'!BK123</f>
        <v>0.44171909693689054</v>
      </c>
      <c r="L113" s="827">
        <f t="shared" si="89"/>
        <v>0.99999999999999978</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0.11103866238762541</v>
      </c>
      <c r="Q113" s="832">
        <f t="shared" si="57"/>
        <v>123.74183493625134</v>
      </c>
      <c r="R113" s="832">
        <f t="shared" si="58"/>
        <v>123.74183493625134</v>
      </c>
      <c r="S113" s="835">
        <f t="shared" si="59"/>
        <v>0</v>
      </c>
      <c r="T113" s="832">
        <f t="shared" si="60"/>
        <v>6338.1221026421472</v>
      </c>
      <c r="U113" s="832">
        <f t="shared" si="61"/>
        <v>318.618089622811</v>
      </c>
      <c r="V113" s="839">
        <f t="shared" si="62"/>
        <v>212.41205974854066</v>
      </c>
      <c r="W113" s="4"/>
      <c r="X113" s="852">
        <f>'Recycling - Case 2'!AM163</f>
        <v>623.96804885607298</v>
      </c>
      <c r="Y113" s="853">
        <f>Parameters!S248</f>
        <v>0.71500000000000008</v>
      </c>
      <c r="Z113" s="853">
        <f t="shared" si="63"/>
        <v>0.4</v>
      </c>
      <c r="AA113" s="854">
        <f t="shared" si="64"/>
        <v>89.227430986418454</v>
      </c>
      <c r="AB113" s="854">
        <f t="shared" si="65"/>
        <v>89.227430986418454</v>
      </c>
      <c r="AC113" s="855">
        <f t="shared" si="66"/>
        <v>0</v>
      </c>
      <c r="AD113" s="854">
        <f t="shared" si="67"/>
        <v>3507.1721267848447</v>
      </c>
      <c r="AE113" s="854">
        <f t="shared" si="68"/>
        <v>175.24177190620128</v>
      </c>
      <c r="AF113" s="856">
        <f t="shared" si="69"/>
        <v>116.82784793746752</v>
      </c>
      <c r="AG113" s="4"/>
      <c r="AH113" s="852">
        <f>'Recycling - Case 2'!AM203</f>
        <v>623.96804885607298</v>
      </c>
      <c r="AI113" s="853">
        <f>Parameters!S248</f>
        <v>0.71500000000000008</v>
      </c>
      <c r="AJ113" s="853">
        <f t="shared" si="70"/>
        <v>0.4</v>
      </c>
      <c r="AK113" s="854">
        <f t="shared" si="71"/>
        <v>89.227430986418454</v>
      </c>
      <c r="AL113" s="854">
        <f t="shared" si="72"/>
        <v>89.227430986418454</v>
      </c>
      <c r="AM113" s="855">
        <f t="shared" si="73"/>
        <v>0</v>
      </c>
      <c r="AN113" s="854">
        <f t="shared" si="74"/>
        <v>3507.1721267848447</v>
      </c>
      <c r="AO113" s="854">
        <f t="shared" si="75"/>
        <v>175.24177190620128</v>
      </c>
      <c r="AP113" s="856">
        <f t="shared" si="76"/>
        <v>116.82784793746752</v>
      </c>
      <c r="AQ113" s="4"/>
      <c r="AR113" s="1042">
        <f>'Recycling - Case 2'!G123</f>
        <v>868.91514749432633</v>
      </c>
      <c r="AS113" s="1043">
        <v>1</v>
      </c>
      <c r="AT113" s="1043">
        <f t="shared" si="77"/>
        <v>0.05</v>
      </c>
      <c r="AU113" s="1044">
        <f t="shared" si="78"/>
        <v>21.722878687358161</v>
      </c>
      <c r="AV113" s="1044">
        <f t="shared" si="79"/>
        <v>21.722878687358161</v>
      </c>
      <c r="AW113" s="1045">
        <f t="shared" si="80"/>
        <v>0</v>
      </c>
      <c r="AX113" s="1044">
        <f t="shared" si="44"/>
        <v>293.56861048793843</v>
      </c>
      <c r="AY113" s="1044">
        <f t="shared" si="49"/>
        <v>16.810001247643928</v>
      </c>
      <c r="AZ113" s="1046">
        <f t="shared" si="47"/>
        <v>11.206667498429285</v>
      </c>
      <c r="BA113" s="4"/>
      <c r="BB113" s="1055">
        <f t="shared" si="81"/>
        <v>212.41205974854066</v>
      </c>
      <c r="BC113" s="1056">
        <f t="shared" si="82"/>
        <v>116.82784793746752</v>
      </c>
      <c r="BD113" s="1082">
        <f t="shared" si="90"/>
        <v>11.206667498429285</v>
      </c>
      <c r="BE113" s="1056">
        <f t="shared" si="54"/>
        <v>340.44657518443745</v>
      </c>
      <c r="BF113" s="167">
        <v>0</v>
      </c>
      <c r="BG113" s="1075">
        <f t="shared" si="83"/>
        <v>340.44657518443745</v>
      </c>
      <c r="BI113" s="1055">
        <f t="shared" si="84"/>
        <v>212.41205974854066</v>
      </c>
      <c r="BJ113" s="1056">
        <f t="shared" si="85"/>
        <v>116.82784793746752</v>
      </c>
      <c r="BK113" s="1082">
        <f t="shared" si="86"/>
        <v>11.206667498429285</v>
      </c>
      <c r="BL113" s="1056">
        <f t="shared" si="55"/>
        <v>340.44657518443745</v>
      </c>
      <c r="BM113" s="167">
        <v>0</v>
      </c>
      <c r="BN113" s="1075">
        <f t="shared" si="87"/>
        <v>340.44657518443745</v>
      </c>
    </row>
    <row r="114" spans="1:66">
      <c r="A114" s="927">
        <f>'Input data'!A144</f>
        <v>2044</v>
      </c>
      <c r="B114" s="824">
        <f>'Input data'!B144</f>
        <v>77.881755043150378</v>
      </c>
      <c r="C114" s="824">
        <f>'Recycling - Case 2'!AK124/B114</f>
        <v>261.74802437530508</v>
      </c>
      <c r="D114" s="825">
        <f>'Recycling - Case 2'!AM124</f>
        <v>0.10933348310494667</v>
      </c>
      <c r="E114" s="826">
        <f>'Recycling - Case 2'!BE124</f>
        <v>0.22338957680932053</v>
      </c>
      <c r="F114" s="826">
        <f>'Recycling - Case 2'!BF124</f>
        <v>0.28331841845396605</v>
      </c>
      <c r="G114" s="826">
        <f>'Recycling - Case 2'!BG124</f>
        <v>5.2528135218292263E-2</v>
      </c>
      <c r="H114" s="826">
        <f>'Recycling - Case 2'!BH124</f>
        <v>0</v>
      </c>
      <c r="I114" s="826">
        <f>'Recycling - Case 2'!BI124</f>
        <v>0</v>
      </c>
      <c r="J114" s="826">
        <f>'Recycling - Case 2'!BJ124</f>
        <v>0</v>
      </c>
      <c r="K114" s="826">
        <f>'Recycling - Case 2'!BK124</f>
        <v>0.44076386951842123</v>
      </c>
      <c r="L114" s="827">
        <f t="shared" si="89"/>
        <v>1</v>
      </c>
      <c r="M114" s="4"/>
      <c r="N114" s="838">
        <f t="shared" si="56"/>
        <v>2228.8062963921579</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0.1111833742995082</v>
      </c>
      <c r="Q114" s="832">
        <f t="shared" si="57"/>
        <v>123.90310234643495</v>
      </c>
      <c r="R114" s="832">
        <f t="shared" si="58"/>
        <v>123.90310234643495</v>
      </c>
      <c r="S114" s="835">
        <f t="shared" si="59"/>
        <v>0</v>
      </c>
      <c r="T114" s="832">
        <f t="shared" si="60"/>
        <v>6152.91134245798</v>
      </c>
      <c r="U114" s="832">
        <f t="shared" si="61"/>
        <v>309.11386253060209</v>
      </c>
      <c r="V114" s="839">
        <f t="shared" si="62"/>
        <v>206.07590835373472</v>
      </c>
      <c r="W114" s="4"/>
      <c r="X114" s="852">
        <f>'Recycling - Case 2'!AM164</f>
        <v>679.46026606250325</v>
      </c>
      <c r="Y114" s="853">
        <f>Parameters!S249</f>
        <v>0.71500000000000008</v>
      </c>
      <c r="Z114" s="853">
        <f t="shared" si="63"/>
        <v>0.4</v>
      </c>
      <c r="AA114" s="854">
        <f t="shared" si="64"/>
        <v>97.162818046937986</v>
      </c>
      <c r="AB114" s="854">
        <f t="shared" si="65"/>
        <v>97.162818046937986</v>
      </c>
      <c r="AC114" s="855">
        <f t="shared" si="66"/>
        <v>0</v>
      </c>
      <c r="AD114" s="854">
        <f t="shared" si="67"/>
        <v>3433.2881418334309</v>
      </c>
      <c r="AE114" s="854">
        <f t="shared" si="68"/>
        <v>171.04680299835167</v>
      </c>
      <c r="AF114" s="856">
        <f t="shared" si="69"/>
        <v>114.03120199890111</v>
      </c>
      <c r="AG114" s="4"/>
      <c r="AH114" s="852">
        <f>'Recycling - Case 2'!AM204</f>
        <v>679.46026606250325</v>
      </c>
      <c r="AI114" s="853">
        <f>Parameters!S249</f>
        <v>0.71500000000000008</v>
      </c>
      <c r="AJ114" s="853">
        <f t="shared" si="70"/>
        <v>0.4</v>
      </c>
      <c r="AK114" s="854">
        <f t="shared" si="71"/>
        <v>97.162818046937986</v>
      </c>
      <c r="AL114" s="854">
        <f t="shared" si="72"/>
        <v>97.162818046937986</v>
      </c>
      <c r="AM114" s="855">
        <f t="shared" si="73"/>
        <v>0</v>
      </c>
      <c r="AN114" s="854">
        <f t="shared" si="74"/>
        <v>3433.2881418334309</v>
      </c>
      <c r="AO114" s="854">
        <f t="shared" si="75"/>
        <v>171.04680299835167</v>
      </c>
      <c r="AP114" s="856">
        <f t="shared" si="76"/>
        <v>114.03120199890111</v>
      </c>
      <c r="AQ114" s="4"/>
      <c r="AR114" s="1042">
        <f>'Recycling - Case 2'!G124</f>
        <v>875.42628227333205</v>
      </c>
      <c r="AS114" s="1043">
        <v>1</v>
      </c>
      <c r="AT114" s="1043">
        <f t="shared" si="77"/>
        <v>0.05</v>
      </c>
      <c r="AU114" s="1044">
        <f t="shared" si="78"/>
        <v>21.885657056833303</v>
      </c>
      <c r="AV114" s="1044">
        <f t="shared" si="79"/>
        <v>21.885657056833303</v>
      </c>
      <c r="AW114" s="1045">
        <f t="shared" si="80"/>
        <v>0</v>
      </c>
      <c r="AX114" s="1044">
        <f t="shared" ref="AX114:AX120" si="91">AV114+(AX113*$E$8)</f>
        <v>298.35816258798258</v>
      </c>
      <c r="AY114" s="1044">
        <f t="shared" si="49"/>
        <v>17.096104956789109</v>
      </c>
      <c r="AZ114" s="1046">
        <f t="shared" si="47"/>
        <v>11.397403304526073</v>
      </c>
      <c r="BA114" s="4"/>
      <c r="BB114" s="1055">
        <f t="shared" si="81"/>
        <v>206.07590835373472</v>
      </c>
      <c r="BC114" s="1056">
        <f t="shared" si="82"/>
        <v>114.03120199890111</v>
      </c>
      <c r="BD114" s="1082">
        <f t="shared" si="90"/>
        <v>11.397403304526073</v>
      </c>
      <c r="BE114" s="1056">
        <f t="shared" si="54"/>
        <v>331.50451365716185</v>
      </c>
      <c r="BF114" s="167">
        <v>0</v>
      </c>
      <c r="BG114" s="1075">
        <f t="shared" si="83"/>
        <v>331.50451365716185</v>
      </c>
      <c r="BI114" s="1055">
        <f t="shared" si="84"/>
        <v>206.07590835373472</v>
      </c>
      <c r="BJ114" s="1056">
        <f t="shared" si="85"/>
        <v>114.03120199890111</v>
      </c>
      <c r="BK114" s="1082">
        <f t="shared" si="86"/>
        <v>11.397403304526073</v>
      </c>
      <c r="BL114" s="1056">
        <f t="shared" si="55"/>
        <v>331.50451365716185</v>
      </c>
      <c r="BM114" s="167">
        <v>0</v>
      </c>
      <c r="BN114" s="1075">
        <f t="shared" si="87"/>
        <v>331.50451365716185</v>
      </c>
    </row>
    <row r="115" spans="1:66">
      <c r="A115" s="927">
        <f>'Input data'!A145</f>
        <v>2045</v>
      </c>
      <c r="B115" s="824">
        <f>'Input data'!B145</f>
        <v>78.446460136387472</v>
      </c>
      <c r="C115" s="824">
        <f>'Recycling - Case 2'!AK125/B115</f>
        <v>260.84583210536204</v>
      </c>
      <c r="D115" s="825">
        <f>'Recycling - Case 2'!AM125</f>
        <v>0.1089218660751501</v>
      </c>
      <c r="E115" s="826">
        <f>'Recycling - Case 2'!BE125</f>
        <v>0.22384043252369717</v>
      </c>
      <c r="F115" s="826">
        <f>'Recycling - Case 2'!BF125</f>
        <v>0.28389022547277409</v>
      </c>
      <c r="G115" s="826">
        <f>'Recycling - Case 2'!BG125</f>
        <v>5.2419237109635239E-2</v>
      </c>
      <c r="H115" s="826">
        <f>'Recycling - Case 2'!BH125</f>
        <v>0</v>
      </c>
      <c r="I115" s="826">
        <f>'Recycling - Case 2'!BI125</f>
        <v>0</v>
      </c>
      <c r="J115" s="826">
        <f>'Recycling - Case 2'!BJ125</f>
        <v>0</v>
      </c>
      <c r="K115" s="826">
        <f>'Recycling - Case 2'!BK125</f>
        <v>0.43985010489389337</v>
      </c>
      <c r="L115" s="827">
        <f t="shared" si="89"/>
        <v>1</v>
      </c>
      <c r="M115" s="4"/>
      <c r="N115" s="838">
        <f t="shared" si="56"/>
        <v>2228.8062963921589</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0.11132180481696348</v>
      </c>
      <c r="Q115" s="832">
        <f t="shared" si="57"/>
        <v>124.05736975089359</v>
      </c>
      <c r="R115" s="832">
        <f t="shared" si="58"/>
        <v>124.05736975089359</v>
      </c>
      <c r="S115" s="835">
        <f t="shared" si="59"/>
        <v>0</v>
      </c>
      <c r="T115" s="832">
        <f t="shared" si="60"/>
        <v>5976.8876850411134</v>
      </c>
      <c r="U115" s="832">
        <f t="shared" si="61"/>
        <v>300.08102716776</v>
      </c>
      <c r="V115" s="839">
        <f t="shared" si="62"/>
        <v>200.05401811184001</v>
      </c>
      <c r="W115" s="4"/>
      <c r="X115" s="852">
        <f>'Recycling - Case 2'!AM165</f>
        <v>735.58191700822488</v>
      </c>
      <c r="Y115" s="853">
        <f>Parameters!S250</f>
        <v>0.71500000000000008</v>
      </c>
      <c r="Z115" s="853">
        <f t="shared" si="63"/>
        <v>0.4</v>
      </c>
      <c r="AA115" s="854">
        <f t="shared" si="64"/>
        <v>105.18821413217617</v>
      </c>
      <c r="AB115" s="854">
        <f t="shared" si="65"/>
        <v>105.18821413217617</v>
      </c>
      <c r="AC115" s="855">
        <f t="shared" si="66"/>
        <v>0</v>
      </c>
      <c r="AD115" s="854">
        <f t="shared" si="67"/>
        <v>3371.0329174335166</v>
      </c>
      <c r="AE115" s="854">
        <f t="shared" si="68"/>
        <v>167.44343853209062</v>
      </c>
      <c r="AF115" s="856">
        <f t="shared" si="69"/>
        <v>111.62895902139375</v>
      </c>
      <c r="AG115" s="4"/>
      <c r="AH115" s="852">
        <f>'Recycling - Case 2'!AM205</f>
        <v>735.58191700822488</v>
      </c>
      <c r="AI115" s="853">
        <f>Parameters!S250</f>
        <v>0.71500000000000008</v>
      </c>
      <c r="AJ115" s="853">
        <f t="shared" si="70"/>
        <v>0.4</v>
      </c>
      <c r="AK115" s="854">
        <f t="shared" si="71"/>
        <v>105.18821413217617</v>
      </c>
      <c r="AL115" s="854">
        <f t="shared" si="72"/>
        <v>105.18821413217617</v>
      </c>
      <c r="AM115" s="855">
        <f t="shared" si="73"/>
        <v>0</v>
      </c>
      <c r="AN115" s="854">
        <f t="shared" si="74"/>
        <v>3371.0329174335166</v>
      </c>
      <c r="AO115" s="854">
        <f t="shared" si="75"/>
        <v>167.44343853209062</v>
      </c>
      <c r="AP115" s="856">
        <f t="shared" si="76"/>
        <v>111.62895902139375</v>
      </c>
      <c r="AQ115" s="4"/>
      <c r="AR115" s="1042">
        <f>'Recycling - Case 2'!G125</f>
        <v>881.77382387764567</v>
      </c>
      <c r="AS115" s="1043">
        <v>1</v>
      </c>
      <c r="AT115" s="1043">
        <f t="shared" si="77"/>
        <v>0.05</v>
      </c>
      <c r="AU115" s="1044">
        <f t="shared" si="78"/>
        <v>22.044345596941142</v>
      </c>
      <c r="AV115" s="1044">
        <f t="shared" si="79"/>
        <v>22.044345596941142</v>
      </c>
      <c r="AW115" s="1045">
        <f t="shared" si="80"/>
        <v>0</v>
      </c>
      <c r="AX115" s="1044">
        <f t="shared" si="91"/>
        <v>303.02748142766598</v>
      </c>
      <c r="AY115" s="1044">
        <f t="shared" si="49"/>
        <v>17.375026757257718</v>
      </c>
      <c r="AZ115" s="1046">
        <f t="shared" si="47"/>
        <v>11.583351171505145</v>
      </c>
      <c r="BA115" s="4"/>
      <c r="BB115" s="1055">
        <f t="shared" si="81"/>
        <v>200.05401811184001</v>
      </c>
      <c r="BC115" s="1056">
        <f t="shared" si="82"/>
        <v>111.62895902139375</v>
      </c>
      <c r="BD115" s="1082">
        <f t="shared" si="90"/>
        <v>11.583351171505145</v>
      </c>
      <c r="BE115" s="1056">
        <f t="shared" si="54"/>
        <v>323.26632830473892</v>
      </c>
      <c r="BF115" s="167">
        <v>0</v>
      </c>
      <c r="BG115" s="1075">
        <f t="shared" si="83"/>
        <v>323.26632830473892</v>
      </c>
      <c r="BI115" s="1055">
        <f t="shared" si="84"/>
        <v>200.05401811184001</v>
      </c>
      <c r="BJ115" s="1056">
        <f t="shared" si="85"/>
        <v>111.62895902139375</v>
      </c>
      <c r="BK115" s="1082">
        <f t="shared" si="86"/>
        <v>11.583351171505145</v>
      </c>
      <c r="BL115" s="1056">
        <f t="shared" si="55"/>
        <v>323.26632830473892</v>
      </c>
      <c r="BM115" s="167">
        <v>0</v>
      </c>
      <c r="BN115" s="1075">
        <f t="shared" si="87"/>
        <v>323.26632830473892</v>
      </c>
    </row>
    <row r="116" spans="1:66">
      <c r="A116" s="927">
        <f>'Input data'!A146</f>
        <v>2046</v>
      </c>
      <c r="B116" s="824">
        <f>'Input data'!B146</f>
        <v>78.997842335977523</v>
      </c>
      <c r="C116" s="824">
        <f>'Recycling - Case 2'!AK126/B116</f>
        <v>259.97776585418012</v>
      </c>
      <c r="D116" s="825">
        <f>'Recycling - Case 2'!AM126</f>
        <v>0.10852277466645284</v>
      </c>
      <c r="E116" s="826">
        <f>'Recycling - Case 2'!BE126</f>
        <v>0.22427266958407485</v>
      </c>
      <c r="F116" s="826">
        <f>'Recycling - Case 2'!BF126</f>
        <v>0.28443841900128364</v>
      </c>
      <c r="G116" s="826">
        <f>'Recycling - Case 2'!BG126</f>
        <v>5.2314836085392627E-2</v>
      </c>
      <c r="H116" s="826">
        <f>'Recycling - Case 2'!BH126</f>
        <v>0</v>
      </c>
      <c r="I116" s="826">
        <f>'Recycling - Case 2'!BI126</f>
        <v>0</v>
      </c>
      <c r="J116" s="826">
        <f>'Recycling - Case 2'!BJ126</f>
        <v>0</v>
      </c>
      <c r="K116" s="826">
        <f>'Recycling - Case 2'!BK126</f>
        <v>0.43897407532924893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0.11145451867202501</v>
      </c>
      <c r="Q116" s="832">
        <f t="shared" si="57"/>
        <v>124.20526648878337</v>
      </c>
      <c r="R116" s="832">
        <f t="shared" si="58"/>
        <v>124.20526648878337</v>
      </c>
      <c r="S116" s="835">
        <f t="shared" si="59"/>
        <v>0</v>
      </c>
      <c r="T116" s="832">
        <f>R116+(T115*$C$8)</f>
        <v>5809.5966994358469</v>
      </c>
      <c r="U116" s="832">
        <f t="shared" si="61"/>
        <v>291.49625209405025</v>
      </c>
      <c r="V116" s="839">
        <f t="shared" si="62"/>
        <v>194.33083472936684</v>
      </c>
      <c r="W116" s="4"/>
      <c r="X116" s="852">
        <f>'Recycling - Case 2'!AM166</f>
        <v>747.36388634457148</v>
      </c>
      <c r="Y116" s="853">
        <f>Parameters!S251</f>
        <v>0.71500000000000008</v>
      </c>
      <c r="Z116" s="853">
        <f t="shared" si="63"/>
        <v>0.4</v>
      </c>
      <c r="AA116" s="854">
        <f t="shared" si="64"/>
        <v>106.87303574727375</v>
      </c>
      <c r="AB116" s="854">
        <f t="shared" si="65"/>
        <v>106.87303574727375</v>
      </c>
      <c r="AC116" s="855">
        <f t="shared" si="66"/>
        <v>0</v>
      </c>
      <c r="AD116" s="854">
        <f t="shared" si="67"/>
        <v>3313.4987377705206</v>
      </c>
      <c r="AE116" s="854">
        <f t="shared" si="68"/>
        <v>164.4072154102696</v>
      </c>
      <c r="AF116" s="856">
        <f t="shared" si="69"/>
        <v>109.60481027351307</v>
      </c>
      <c r="AG116" s="4"/>
      <c r="AH116" s="852">
        <f>'Recycling - Case 2'!AM206</f>
        <v>747.36388634457148</v>
      </c>
      <c r="AI116" s="853">
        <f>Parameters!S251</f>
        <v>0.71500000000000008</v>
      </c>
      <c r="AJ116" s="853">
        <f t="shared" si="70"/>
        <v>0.4</v>
      </c>
      <c r="AK116" s="854">
        <f t="shared" si="71"/>
        <v>106.87303574727375</v>
      </c>
      <c r="AL116" s="854">
        <f t="shared" si="72"/>
        <v>106.87303574727375</v>
      </c>
      <c r="AM116" s="855">
        <f t="shared" si="73"/>
        <v>0</v>
      </c>
      <c r="AN116" s="854">
        <f t="shared" si="74"/>
        <v>3313.4987377705206</v>
      </c>
      <c r="AO116" s="854">
        <f t="shared" si="75"/>
        <v>164.4072154102696</v>
      </c>
      <c r="AP116" s="856">
        <f t="shared" si="76"/>
        <v>109.60481027351307</v>
      </c>
      <c r="AQ116" s="4"/>
      <c r="AR116" s="1042">
        <f>'Recycling - Case 2'!G126</f>
        <v>887.97161010923969</v>
      </c>
      <c r="AS116" s="1043">
        <v>1</v>
      </c>
      <c r="AT116" s="1043">
        <f t="shared" si="77"/>
        <v>0.05</v>
      </c>
      <c r="AU116" s="1044">
        <f t="shared" si="78"/>
        <v>22.199290252730993</v>
      </c>
      <c r="AV116" s="1044">
        <f t="shared" si="79"/>
        <v>22.199290252730993</v>
      </c>
      <c r="AW116" s="1045">
        <f t="shared" si="80"/>
        <v>0</v>
      </c>
      <c r="AX116" s="1044">
        <f t="shared" si="91"/>
        <v>307.57982496266641</v>
      </c>
      <c r="AY116" s="1044">
        <f t="shared" si="49"/>
        <v>17.646946717730536</v>
      </c>
      <c r="AZ116" s="1046">
        <f t="shared" si="47"/>
        <v>11.764631145153691</v>
      </c>
      <c r="BA116" s="4"/>
      <c r="BB116" s="1055">
        <f t="shared" si="81"/>
        <v>194.33083472936684</v>
      </c>
      <c r="BC116" s="1056">
        <f t="shared" si="82"/>
        <v>109.60481027351307</v>
      </c>
      <c r="BD116" s="1082">
        <f t="shared" si="90"/>
        <v>11.764631145153691</v>
      </c>
      <c r="BE116" s="1056">
        <f t="shared" si="54"/>
        <v>315.70027614803365</v>
      </c>
      <c r="BF116" s="167">
        <v>0</v>
      </c>
      <c r="BG116" s="1075">
        <f t="shared" si="83"/>
        <v>315.70027614803365</v>
      </c>
      <c r="BI116" s="1055">
        <f t="shared" si="84"/>
        <v>194.33083472936684</v>
      </c>
      <c r="BJ116" s="1056">
        <f t="shared" si="85"/>
        <v>109.60481027351307</v>
      </c>
      <c r="BK116" s="1082">
        <f t="shared" si="86"/>
        <v>11.764631145153691</v>
      </c>
      <c r="BL116" s="1056">
        <f t="shared" si="55"/>
        <v>315.70027614803365</v>
      </c>
      <c r="BM116" s="167">
        <v>0</v>
      </c>
      <c r="BN116" s="1075">
        <f t="shared" si="87"/>
        <v>315.70027614803365</v>
      </c>
    </row>
    <row r="117" spans="1:66">
      <c r="A117" s="927">
        <f>'Input data'!A147</f>
        <v>2047</v>
      </c>
      <c r="B117" s="824">
        <f>'Input data'!B147</f>
        <v>79.535560193629763</v>
      </c>
      <c r="C117" s="824">
        <f>'Recycling - Case 2'!AK127/B117</f>
        <v>259.14316783883055</v>
      </c>
      <c r="D117" s="825">
        <f>'Recycling - Case 2'!AM127</f>
        <v>0.10813622844782139</v>
      </c>
      <c r="E117" s="826">
        <f>'Recycling - Case 2'!BE127</f>
        <v>0.2246868015137212</v>
      </c>
      <c r="F117" s="826">
        <f>'Recycling - Case 2'!BF127</f>
        <v>0.28496365032592536</v>
      </c>
      <c r="G117" s="826">
        <f>'Recycling - Case 2'!BG127</f>
        <v>5.2214808110954462E-2</v>
      </c>
      <c r="H117" s="826">
        <f>'Recycling - Case 2'!BH127</f>
        <v>0</v>
      </c>
      <c r="I117" s="826">
        <f>'Recycling - Case 2'!BI127</f>
        <v>0</v>
      </c>
      <c r="J117" s="826">
        <f>'Recycling - Case 2'!BJ127</f>
        <v>0</v>
      </c>
      <c r="K117" s="826">
        <f>'Recycling - Case 2'!BK127</f>
        <v>0.43813474004939879</v>
      </c>
      <c r="L117" s="827">
        <f t="shared" si="89"/>
        <v>0.99999999999999978</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0.11158167353662504</v>
      </c>
      <c r="Q117" s="832">
        <f t="shared" si="57"/>
        <v>124.34696827020208</v>
      </c>
      <c r="R117" s="832">
        <f t="shared" si="58"/>
        <v>124.34696827020208</v>
      </c>
      <c r="S117" s="835">
        <f t="shared" si="59"/>
        <v>0</v>
      </c>
      <c r="T117" s="832">
        <f t="shared" ref="T117:T120" si="92">R117+(T116*$C$8)</f>
        <v>5650.6062932558107</v>
      </c>
      <c r="U117" s="832">
        <f t="shared" si="61"/>
        <v>283.33737445023866</v>
      </c>
      <c r="V117" s="839">
        <f t="shared" si="62"/>
        <v>188.89158296682578</v>
      </c>
      <c r="W117" s="4"/>
      <c r="X117" s="852">
        <f>'Recycling - Case 2'!AM167</f>
        <v>757.14770076629748</v>
      </c>
      <c r="Y117" s="853">
        <f>Parameters!S252</f>
        <v>0.71500000000000008</v>
      </c>
      <c r="Z117" s="853">
        <f t="shared" si="63"/>
        <v>0.4</v>
      </c>
      <c r="AA117" s="854">
        <f t="shared" si="64"/>
        <v>108.27212120958055</v>
      </c>
      <c r="AB117" s="854">
        <f t="shared" si="65"/>
        <v>108.27212120958055</v>
      </c>
      <c r="AC117" s="855">
        <f t="shared" si="66"/>
        <v>0</v>
      </c>
      <c r="AD117" s="854">
        <f t="shared" si="67"/>
        <v>3260.1696186228755</v>
      </c>
      <c r="AE117" s="854">
        <f t="shared" si="68"/>
        <v>161.60124035722598</v>
      </c>
      <c r="AF117" s="856">
        <f t="shared" si="69"/>
        <v>107.73416023815065</v>
      </c>
      <c r="AG117" s="4"/>
      <c r="AH117" s="852">
        <f>'Recycling - Case 2'!AM207</f>
        <v>757.14770076629748</v>
      </c>
      <c r="AI117" s="853">
        <f>Parameters!S252</f>
        <v>0.71500000000000008</v>
      </c>
      <c r="AJ117" s="853">
        <f t="shared" si="70"/>
        <v>0.4</v>
      </c>
      <c r="AK117" s="854">
        <f t="shared" si="71"/>
        <v>108.27212120958055</v>
      </c>
      <c r="AL117" s="854">
        <f t="shared" si="72"/>
        <v>108.27212120958055</v>
      </c>
      <c r="AM117" s="855">
        <f t="shared" si="73"/>
        <v>0</v>
      </c>
      <c r="AN117" s="854">
        <f t="shared" si="74"/>
        <v>3260.1696186228755</v>
      </c>
      <c r="AO117" s="854">
        <f t="shared" si="75"/>
        <v>161.60124035722598</v>
      </c>
      <c r="AP117" s="856">
        <f t="shared" si="76"/>
        <v>107.73416023815065</v>
      </c>
      <c r="AQ117" s="4"/>
      <c r="AR117" s="1042">
        <f>'Recycling - Case 2'!G127</f>
        <v>894.01580293432005</v>
      </c>
      <c r="AS117" s="1043">
        <v>1</v>
      </c>
      <c r="AT117" s="1043">
        <f t="shared" si="77"/>
        <v>0.05</v>
      </c>
      <c r="AU117" s="1044">
        <f t="shared" si="78"/>
        <v>22.350395073358001</v>
      </c>
      <c r="AV117" s="1044">
        <f t="shared" si="79"/>
        <v>22.350395073358001</v>
      </c>
      <c r="AW117" s="1045">
        <f t="shared" si="80"/>
        <v>0</v>
      </c>
      <c r="AX117" s="1044">
        <f t="shared" si="91"/>
        <v>312.0181654692484</v>
      </c>
      <c r="AY117" s="1044">
        <f t="shared" si="49"/>
        <v>17.912054566776018</v>
      </c>
      <c r="AZ117" s="1046">
        <f t="shared" si="47"/>
        <v>11.941369711184011</v>
      </c>
      <c r="BA117" s="4"/>
      <c r="BB117" s="1055">
        <f t="shared" si="81"/>
        <v>188.89158296682578</v>
      </c>
      <c r="BC117" s="1056">
        <f t="shared" si="82"/>
        <v>107.73416023815065</v>
      </c>
      <c r="BD117" s="1082">
        <f t="shared" si="90"/>
        <v>11.941369711184011</v>
      </c>
      <c r="BE117" s="1056">
        <f t="shared" si="54"/>
        <v>308.5671129161604</v>
      </c>
      <c r="BF117" s="167">
        <v>0</v>
      </c>
      <c r="BG117" s="1075">
        <f t="shared" si="83"/>
        <v>308.5671129161604</v>
      </c>
      <c r="BI117" s="1055">
        <f t="shared" si="84"/>
        <v>188.89158296682578</v>
      </c>
      <c r="BJ117" s="1056">
        <f t="shared" si="85"/>
        <v>107.73416023815065</v>
      </c>
      <c r="BK117" s="1082">
        <f t="shared" si="86"/>
        <v>11.941369711184011</v>
      </c>
      <c r="BL117" s="1056">
        <f t="shared" si="55"/>
        <v>308.5671129161604</v>
      </c>
      <c r="BM117" s="167">
        <v>0</v>
      </c>
      <c r="BN117" s="1075">
        <f t="shared" si="87"/>
        <v>308.5671129161604</v>
      </c>
    </row>
    <row r="118" spans="1:66">
      <c r="A118" s="927">
        <f>'Input data'!A148</f>
        <v>2048</v>
      </c>
      <c r="B118" s="824">
        <f>'Input data'!B148</f>
        <v>80.059278886956378</v>
      </c>
      <c r="C118" s="824">
        <f>'Recycling - Case 2'!AK128/B118</f>
        <v>258.34140942272995</v>
      </c>
      <c r="D118" s="825">
        <f>'Recycling - Case 2'!AM128</f>
        <v>0.10776224424085615</v>
      </c>
      <c r="E118" s="826">
        <f>'Recycling - Case 2'!BE128</f>
        <v>0.22508331447756938</v>
      </c>
      <c r="F118" s="826">
        <f>'Recycling - Case 2'!BF128</f>
        <v>0.28546653603535938</v>
      </c>
      <c r="G118" s="826">
        <f>'Recycling - Case 2'!BG128</f>
        <v>5.2119035759747363E-2</v>
      </c>
      <c r="H118" s="826">
        <f>'Recycling - Case 2'!BH128</f>
        <v>0</v>
      </c>
      <c r="I118" s="826">
        <f>'Recycling - Case 2'!BI128</f>
        <v>0</v>
      </c>
      <c r="J118" s="826">
        <f>'Recycling - Case 2'!BJ128</f>
        <v>0</v>
      </c>
      <c r="K118" s="826">
        <f>'Recycling - Case 2'!BK128</f>
        <v>0.43733111372732392</v>
      </c>
      <c r="L118" s="827">
        <f t="shared" si="89"/>
        <v>1</v>
      </c>
      <c r="M118" s="4"/>
      <c r="N118" s="838">
        <f t="shared" si="56"/>
        <v>2228.8062963921579</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0.11170341868260622</v>
      </c>
      <c r="Q118" s="832">
        <f t="shared" si="57"/>
        <v>124.48264144416108</v>
      </c>
      <c r="R118" s="832">
        <f t="shared" si="58"/>
        <v>124.48264144416108</v>
      </c>
      <c r="S118" s="835">
        <f t="shared" si="59"/>
        <v>0</v>
      </c>
      <c r="T118" s="832">
        <f t="shared" si="92"/>
        <v>5499.5056138579994</v>
      </c>
      <c r="U118" s="832">
        <f t="shared" si="61"/>
        <v>275.58332084197303</v>
      </c>
      <c r="V118" s="839">
        <f t="shared" si="62"/>
        <v>183.72221389464869</v>
      </c>
      <c r="W118" s="4"/>
      <c r="X118" s="852">
        <f>'Recycling - Case 2'!AM168</f>
        <v>766.67942116345284</v>
      </c>
      <c r="Y118" s="853">
        <f>Parameters!S253</f>
        <v>0.71500000000000008</v>
      </c>
      <c r="Z118" s="853">
        <f t="shared" si="63"/>
        <v>0.4</v>
      </c>
      <c r="AA118" s="854">
        <f t="shared" si="64"/>
        <v>109.63515722637378</v>
      </c>
      <c r="AB118" s="854">
        <f t="shared" si="65"/>
        <v>109.63515722637378</v>
      </c>
      <c r="AC118" s="855">
        <f t="shared" si="66"/>
        <v>0</v>
      </c>
      <c r="AD118" s="854">
        <f t="shared" si="67"/>
        <v>3210.8044273237242</v>
      </c>
      <c r="AE118" s="854">
        <f t="shared" si="68"/>
        <v>159.00034852552534</v>
      </c>
      <c r="AF118" s="856">
        <f t="shared" si="69"/>
        <v>106.00023235035023</v>
      </c>
      <c r="AG118" s="4"/>
      <c r="AH118" s="852">
        <f>'Recycling - Case 2'!AM208</f>
        <v>766.67942116345284</v>
      </c>
      <c r="AI118" s="853">
        <f>Parameters!S253</f>
        <v>0.71500000000000008</v>
      </c>
      <c r="AJ118" s="853">
        <f t="shared" si="70"/>
        <v>0.4</v>
      </c>
      <c r="AK118" s="854">
        <f t="shared" si="71"/>
        <v>109.63515722637378</v>
      </c>
      <c r="AL118" s="854">
        <f t="shared" si="72"/>
        <v>109.63515722637378</v>
      </c>
      <c r="AM118" s="855">
        <f t="shared" si="73"/>
        <v>0</v>
      </c>
      <c r="AN118" s="854">
        <f t="shared" si="74"/>
        <v>3210.8044273237242</v>
      </c>
      <c r="AO118" s="854">
        <f t="shared" si="75"/>
        <v>159.00034852552534</v>
      </c>
      <c r="AP118" s="856">
        <f t="shared" si="76"/>
        <v>106.00023235035023</v>
      </c>
      <c r="AQ118" s="4"/>
      <c r="AR118" s="1042">
        <f>'Recycling - Case 2'!G128</f>
        <v>899.90263879725035</v>
      </c>
      <c r="AS118" s="1043">
        <v>1</v>
      </c>
      <c r="AT118" s="1043">
        <f t="shared" si="77"/>
        <v>0.05</v>
      </c>
      <c r="AU118" s="1044">
        <f t="shared" si="78"/>
        <v>22.497565969931259</v>
      </c>
      <c r="AV118" s="1044">
        <f t="shared" si="79"/>
        <v>22.497565969931259</v>
      </c>
      <c r="AW118" s="1045">
        <f t="shared" si="80"/>
        <v>0</v>
      </c>
      <c r="AX118" s="1044">
        <f t="shared" si="91"/>
        <v>316.34520804289093</v>
      </c>
      <c r="AY118" s="1044">
        <f t="shared" si="49"/>
        <v>18.17052339628874</v>
      </c>
      <c r="AZ118" s="1046">
        <f t="shared" si="47"/>
        <v>12.113682264192493</v>
      </c>
      <c r="BA118" s="4"/>
      <c r="BB118" s="1055">
        <f t="shared" si="81"/>
        <v>183.72221389464869</v>
      </c>
      <c r="BC118" s="1056">
        <f t="shared" si="82"/>
        <v>106.00023235035023</v>
      </c>
      <c r="BD118" s="1082">
        <f t="shared" si="90"/>
        <v>12.113682264192493</v>
      </c>
      <c r="BE118" s="1056">
        <f t="shared" si="54"/>
        <v>301.83612850919144</v>
      </c>
      <c r="BF118" s="167">
        <v>0</v>
      </c>
      <c r="BG118" s="1075">
        <f t="shared" si="83"/>
        <v>301.83612850919144</v>
      </c>
      <c r="BI118" s="1055">
        <f t="shared" si="84"/>
        <v>183.72221389464869</v>
      </c>
      <c r="BJ118" s="1056">
        <f t="shared" si="85"/>
        <v>106.00023235035023</v>
      </c>
      <c r="BK118" s="1082">
        <f t="shared" si="86"/>
        <v>12.113682264192493</v>
      </c>
      <c r="BL118" s="1056">
        <f t="shared" si="55"/>
        <v>301.83612850919144</v>
      </c>
      <c r="BM118" s="167">
        <v>0</v>
      </c>
      <c r="BN118" s="1075">
        <f t="shared" si="87"/>
        <v>301.83612850919144</v>
      </c>
    </row>
    <row r="119" spans="1:66">
      <c r="A119" s="927">
        <f>'Input data'!A149</f>
        <v>2049</v>
      </c>
      <c r="B119" s="824">
        <f>'Input data'!B149</f>
        <v>80.568670564877792</v>
      </c>
      <c r="C119" s="824">
        <f>'Recycling - Case 2'!AK129/B119</f>
        <v>257.57189021553381</v>
      </c>
      <c r="D119" s="825">
        <f>'Recycling - Case 2'!AM129</f>
        <v>0.10740083635093937</v>
      </c>
      <c r="E119" s="826">
        <f>'Recycling - Case 2'!BE129</f>
        <v>0.22546266860209851</v>
      </c>
      <c r="F119" s="826">
        <f>'Recycling - Case 2'!BF129</f>
        <v>0.28594765969444286</v>
      </c>
      <c r="G119" s="826">
        <f>'Recycling - Case 2'!BG129</f>
        <v>5.2027407894434448E-2</v>
      </c>
      <c r="H119" s="826">
        <f>'Recycling - Case 2'!BH129</f>
        <v>0</v>
      </c>
      <c r="I119" s="826">
        <f>'Recycling - Case 2'!BI129</f>
        <v>0</v>
      </c>
      <c r="J119" s="826">
        <f>'Recycling - Case 2'!BJ129</f>
        <v>0</v>
      </c>
      <c r="K119" s="826">
        <f>'Recycling - Case 2'!BK129</f>
        <v>0.43656226380902413</v>
      </c>
      <c r="L119" s="827">
        <f t="shared" si="89"/>
        <v>1</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0.11181989538697713</v>
      </c>
      <c r="Q119" s="832">
        <f t="shared" si="57"/>
        <v>124.61244345020356</v>
      </c>
      <c r="R119" s="832">
        <f t="shared" si="58"/>
        <v>124.61244345020356</v>
      </c>
      <c r="S119" s="835">
        <f t="shared" si="59"/>
        <v>0</v>
      </c>
      <c r="T119" s="832">
        <f t="shared" si="92"/>
        <v>5355.9040035587941</v>
      </c>
      <c r="U119" s="832">
        <f t="shared" si="61"/>
        <v>268.21405374940866</v>
      </c>
      <c r="V119" s="839">
        <f t="shared" si="62"/>
        <v>178.80936916627243</v>
      </c>
      <c r="W119" s="4"/>
      <c r="X119" s="852">
        <f>'Recycling - Case 2'!AM169</f>
        <v>776.16049769746053</v>
      </c>
      <c r="Y119" s="853">
        <f>Parameters!S254</f>
        <v>0.71500000000000008</v>
      </c>
      <c r="Z119" s="853">
        <f t="shared" si="63"/>
        <v>0.4</v>
      </c>
      <c r="AA119" s="854">
        <f t="shared" si="64"/>
        <v>110.99095117073688</v>
      </c>
      <c r="AB119" s="854">
        <f t="shared" si="65"/>
        <v>110.99095117073688</v>
      </c>
      <c r="AC119" s="855">
        <f t="shared" si="66"/>
        <v>0</v>
      </c>
      <c r="AD119" s="854">
        <f t="shared" si="67"/>
        <v>3165.2025987582279</v>
      </c>
      <c r="AE119" s="854">
        <f t="shared" si="68"/>
        <v>156.59277973623338</v>
      </c>
      <c r="AF119" s="856">
        <f t="shared" si="69"/>
        <v>104.39518649082225</v>
      </c>
      <c r="AG119" s="4"/>
      <c r="AH119" s="852">
        <f>'Recycling - Case 2'!AM209</f>
        <v>776.16049769746053</v>
      </c>
      <c r="AI119" s="853">
        <f>Parameters!S254</f>
        <v>0.71500000000000008</v>
      </c>
      <c r="AJ119" s="853">
        <f t="shared" si="70"/>
        <v>0.4</v>
      </c>
      <c r="AK119" s="854">
        <f t="shared" si="71"/>
        <v>110.99095117073688</v>
      </c>
      <c r="AL119" s="854">
        <f t="shared" si="72"/>
        <v>110.99095117073688</v>
      </c>
      <c r="AM119" s="855">
        <f t="shared" si="73"/>
        <v>0</v>
      </c>
      <c r="AN119" s="854">
        <f t="shared" si="74"/>
        <v>3165.2025987582279</v>
      </c>
      <c r="AO119" s="854">
        <f t="shared" si="75"/>
        <v>156.59277973623338</v>
      </c>
      <c r="AP119" s="856">
        <f t="shared" si="76"/>
        <v>104.39518649082225</v>
      </c>
      <c r="AQ119" s="4"/>
      <c r="AR119" s="1042">
        <f>'Recycling - Case 2'!G129</f>
        <v>905.62843250306298</v>
      </c>
      <c r="AS119" s="1043">
        <v>1</v>
      </c>
      <c r="AT119" s="1043">
        <f t="shared" si="77"/>
        <v>0.05</v>
      </c>
      <c r="AU119" s="1044">
        <f t="shared" si="78"/>
        <v>22.640710812576575</v>
      </c>
      <c r="AV119" s="1044">
        <f t="shared" si="79"/>
        <v>22.640710812576575</v>
      </c>
      <c r="AW119" s="1045">
        <f t="shared" si="80"/>
        <v>0</v>
      </c>
      <c r="AX119" s="1044">
        <f t="shared" si="91"/>
        <v>320.56340811670185</v>
      </c>
      <c r="AY119" s="1044">
        <f t="shared" si="49"/>
        <v>18.422510738765627</v>
      </c>
      <c r="AZ119" s="1046">
        <f t="shared" si="47"/>
        <v>12.281673825843752</v>
      </c>
      <c r="BA119" s="4"/>
      <c r="BB119" s="1055">
        <f t="shared" si="81"/>
        <v>178.80936916627243</v>
      </c>
      <c r="BC119" s="1056">
        <f t="shared" si="82"/>
        <v>104.39518649082225</v>
      </c>
      <c r="BD119" s="1082">
        <f t="shared" si="90"/>
        <v>12.281673825843752</v>
      </c>
      <c r="BE119" s="1056">
        <f t="shared" si="54"/>
        <v>295.48622948293848</v>
      </c>
      <c r="BF119" s="167">
        <v>0</v>
      </c>
      <c r="BG119" s="1075">
        <f t="shared" si="83"/>
        <v>295.48622948293848</v>
      </c>
      <c r="BI119" s="1055">
        <f t="shared" si="84"/>
        <v>178.80936916627243</v>
      </c>
      <c r="BJ119" s="1056">
        <f t="shared" si="85"/>
        <v>104.39518649082225</v>
      </c>
      <c r="BK119" s="1082">
        <f t="shared" si="86"/>
        <v>12.281673825843752</v>
      </c>
      <c r="BL119" s="1056">
        <f t="shared" si="55"/>
        <v>295.48622948293848</v>
      </c>
      <c r="BM119" s="167">
        <v>0</v>
      </c>
      <c r="BN119" s="1075">
        <f t="shared" si="87"/>
        <v>295.48622948293848</v>
      </c>
    </row>
    <row r="120" spans="1:66" ht="15.75" thickBot="1">
      <c r="A120" s="928">
        <f>'Input data'!A150</f>
        <v>2050</v>
      </c>
      <c r="B120" s="828">
        <f>'Input data'!B150</f>
        <v>81.063414687793369</v>
      </c>
      <c r="C120" s="828">
        <f>'Recycling - Case 2'!AK130/B120</f>
        <v>256.83403722178292</v>
      </c>
      <c r="D120" s="829">
        <f>'Recycling - Case 2'!AM130</f>
        <v>0.10705201678778489</v>
      </c>
      <c r="E120" s="830">
        <f>'Recycling - Case 2'!BE130</f>
        <v>0.22582529920452143</v>
      </c>
      <c r="F120" s="830">
        <f>'Recycling - Case 2'!BF130</f>
        <v>0.28640757340317041</v>
      </c>
      <c r="G120" s="830">
        <f>'Recycling - Case 2'!BG130</f>
        <v>5.1939819370022386E-2</v>
      </c>
      <c r="H120" s="830">
        <f>'Recycling - Case 2'!BH130</f>
        <v>0</v>
      </c>
      <c r="I120" s="830">
        <f>'Recycling - Case 2'!BI130</f>
        <v>0</v>
      </c>
      <c r="J120" s="830">
        <f>'Recycling - Case 2'!BJ130</f>
        <v>0</v>
      </c>
      <c r="K120" s="830">
        <f>'Recycling - Case 2'!BK130</f>
        <v>0.43582730802228559</v>
      </c>
      <c r="L120" s="831">
        <f t="shared" si="89"/>
        <v>0.99999999999999978</v>
      </c>
      <c r="M120" s="4"/>
      <c r="N120" s="840">
        <f t="shared" si="56"/>
        <v>2228.8062963921579</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0.11193123730932125</v>
      </c>
      <c r="Q120" s="843">
        <f t="shared" si="57"/>
        <v>124.73652323899002</v>
      </c>
      <c r="R120" s="843">
        <f t="shared" si="58"/>
        <v>124.73652323899002</v>
      </c>
      <c r="S120" s="844">
        <f t="shared" si="59"/>
        <v>0</v>
      </c>
      <c r="T120" s="843">
        <f t="shared" si="92"/>
        <v>5219.4300062252923</v>
      </c>
      <c r="U120" s="843">
        <f t="shared" si="61"/>
        <v>261.21052057249221</v>
      </c>
      <c r="V120" s="845">
        <f t="shared" si="62"/>
        <v>174.14034704832815</v>
      </c>
      <c r="W120" s="4"/>
      <c r="X120" s="852">
        <f>'Recycling - Case 2'!AM170</f>
        <v>785.54561967732195</v>
      </c>
      <c r="Y120" s="858">
        <f>Parameters!S255</f>
        <v>0.71500000000000008</v>
      </c>
      <c r="Z120" s="858">
        <f t="shared" si="63"/>
        <v>0.4</v>
      </c>
      <c r="AA120" s="859">
        <f t="shared" si="64"/>
        <v>112.33302361385705</v>
      </c>
      <c r="AB120" s="859">
        <f t="shared" si="65"/>
        <v>112.33302361385705</v>
      </c>
      <c r="AC120" s="860">
        <f t="shared" si="66"/>
        <v>0</v>
      </c>
      <c r="AD120" s="859">
        <f t="shared" si="67"/>
        <v>3123.1668700588107</v>
      </c>
      <c r="AE120" s="859">
        <f t="shared" si="68"/>
        <v>154.36875231327434</v>
      </c>
      <c r="AF120" s="861">
        <f t="shared" si="69"/>
        <v>102.91250154218289</v>
      </c>
      <c r="AG120" s="4"/>
      <c r="AH120" s="852">
        <f>'Recycling - Case 2'!AM210</f>
        <v>785.54561967732195</v>
      </c>
      <c r="AI120" s="858">
        <f>Parameters!S255</f>
        <v>0.71500000000000008</v>
      </c>
      <c r="AJ120" s="858">
        <f t="shared" si="70"/>
        <v>0.4</v>
      </c>
      <c r="AK120" s="859">
        <f t="shared" si="71"/>
        <v>112.33302361385705</v>
      </c>
      <c r="AL120" s="859">
        <f t="shared" si="72"/>
        <v>112.33302361385705</v>
      </c>
      <c r="AM120" s="860">
        <f t="shared" si="73"/>
        <v>0</v>
      </c>
      <c r="AN120" s="859">
        <f t="shared" si="74"/>
        <v>3123.1668700588107</v>
      </c>
      <c r="AO120" s="859">
        <f t="shared" si="75"/>
        <v>154.36875231327434</v>
      </c>
      <c r="AP120" s="861">
        <f t="shared" si="76"/>
        <v>102.91250154218289</v>
      </c>
      <c r="AQ120" s="4"/>
      <c r="AR120" s="1047">
        <f>'Recycling - Case 2'!G130</f>
        <v>911.18958104113335</v>
      </c>
      <c r="AS120" s="1048">
        <f>Parameters!R221</f>
        <v>1</v>
      </c>
      <c r="AT120" s="1048">
        <f t="shared" si="77"/>
        <v>0.05</v>
      </c>
      <c r="AU120" s="1049">
        <f t="shared" si="78"/>
        <v>22.779739526028337</v>
      </c>
      <c r="AV120" s="1049">
        <f t="shared" si="79"/>
        <v>22.779739526028337</v>
      </c>
      <c r="AW120" s="1050">
        <f t="shared" si="80"/>
        <v>0</v>
      </c>
      <c r="AX120" s="1049">
        <f t="shared" si="91"/>
        <v>324.67498805523121</v>
      </c>
      <c r="AY120" s="1049">
        <f t="shared" si="49"/>
        <v>18.668159587498963</v>
      </c>
      <c r="AZ120" s="1051">
        <f t="shared" si="47"/>
        <v>12.445439724999309</v>
      </c>
      <c r="BA120" s="4"/>
      <c r="BB120" s="1057">
        <f t="shared" si="81"/>
        <v>174.14034704832815</v>
      </c>
      <c r="BC120" s="1058">
        <f t="shared" si="82"/>
        <v>102.91250154218289</v>
      </c>
      <c r="BD120" s="1083">
        <f t="shared" si="90"/>
        <v>12.445439724999309</v>
      </c>
      <c r="BE120" s="1058">
        <f t="shared" si="54"/>
        <v>289.49828831551037</v>
      </c>
      <c r="BF120" s="1059">
        <v>0</v>
      </c>
      <c r="BG120" s="1076">
        <f t="shared" si="83"/>
        <v>289.49828831551037</v>
      </c>
      <c r="BI120" s="1057">
        <f t="shared" si="84"/>
        <v>174.14034704832815</v>
      </c>
      <c r="BJ120" s="1058">
        <f t="shared" si="85"/>
        <v>102.91250154218289</v>
      </c>
      <c r="BK120" s="1083">
        <f t="shared" si="86"/>
        <v>12.445439724999309</v>
      </c>
      <c r="BL120" s="1058">
        <f t="shared" si="55"/>
        <v>289.49828831551037</v>
      </c>
      <c r="BM120" s="1059">
        <v>0</v>
      </c>
      <c r="BN120" s="1076">
        <f t="shared" si="87"/>
        <v>289.49828831551037</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0" t="s">
        <v>315</v>
      </c>
      <c r="E1" s="1172" t="s">
        <v>320</v>
      </c>
      <c r="F1" s="104"/>
      <c r="G1" s="104"/>
    </row>
    <row r="2" spans="1:66">
      <c r="A2" s="150"/>
      <c r="B2" s="99"/>
      <c r="C2" s="99"/>
      <c r="D2" s="104"/>
      <c r="E2" s="130"/>
      <c r="F2" s="104"/>
      <c r="G2" s="104"/>
    </row>
    <row r="3" spans="1:66">
      <c r="A3" s="150" t="s">
        <v>316</v>
      </c>
      <c r="B3" s="99"/>
      <c r="C3" s="99" t="str">
        <f>Parameters!D94</f>
        <v>varies</v>
      </c>
      <c r="D3" s="941">
        <v>0.4</v>
      </c>
      <c r="E3" s="1173">
        <f>Parameters!F94</f>
        <v>0.05</v>
      </c>
      <c r="F3" s="104"/>
      <c r="G3" s="104"/>
    </row>
    <row r="4" spans="1:66">
      <c r="A4" s="150" t="s">
        <v>260</v>
      </c>
      <c r="B4" s="99"/>
      <c r="C4" s="99">
        <f>Parameters!D95</f>
        <v>0.5</v>
      </c>
      <c r="D4" s="99">
        <f>Parameters!E95</f>
        <v>0.5</v>
      </c>
      <c r="E4" s="1173">
        <f>Parameters!F95</f>
        <v>0.5</v>
      </c>
      <c r="F4" s="104"/>
      <c r="G4" s="104"/>
    </row>
    <row r="5" spans="1:66">
      <c r="A5" s="174" t="s">
        <v>257</v>
      </c>
      <c r="B5" s="175"/>
      <c r="C5" s="175">
        <f>Parameters!D96</f>
        <v>0.05</v>
      </c>
      <c r="D5" s="99">
        <f>Parameters!E96</f>
        <v>0.05</v>
      </c>
      <c r="E5" s="1173">
        <f>Parameters!F96</f>
        <v>0.06</v>
      </c>
      <c r="F5" s="104"/>
      <c r="G5" s="104"/>
    </row>
    <row r="6" spans="1:66">
      <c r="A6" s="150" t="s">
        <v>258</v>
      </c>
      <c r="B6" s="107" t="s">
        <v>211</v>
      </c>
      <c r="C6" s="107">
        <f>Parameters!D97</f>
        <v>13.862943611198904</v>
      </c>
      <c r="D6" s="106">
        <f>Parameters!E97</f>
        <v>13.862943611198904</v>
      </c>
      <c r="E6" s="1174">
        <f>Parameters!F97</f>
        <v>11.552453009332423</v>
      </c>
      <c r="F6" s="104"/>
      <c r="G6" s="104"/>
    </row>
    <row r="7" spans="1:66">
      <c r="A7" s="150" t="s">
        <v>255</v>
      </c>
      <c r="B7" s="107" t="s">
        <v>256</v>
      </c>
      <c r="C7" s="107">
        <f>Parameters!D98</f>
        <v>6</v>
      </c>
      <c r="D7" s="99">
        <f>Parameters!E98</f>
        <v>6</v>
      </c>
      <c r="E7" s="1173">
        <f>Parameters!F98</f>
        <v>6</v>
      </c>
      <c r="F7" s="104"/>
      <c r="G7" s="104"/>
    </row>
    <row r="8" spans="1:66">
      <c r="A8" s="151" t="s">
        <v>248</v>
      </c>
      <c r="B8" s="108" t="s">
        <v>249</v>
      </c>
      <c r="C8" s="108">
        <f>Parameters!D99</f>
        <v>0.95122942450071402</v>
      </c>
      <c r="D8" s="158">
        <f>Parameters!E99</f>
        <v>0.95122942450071402</v>
      </c>
      <c r="E8" s="1175">
        <f>Parameters!F99</f>
        <v>0.94176453358424872</v>
      </c>
      <c r="F8" s="104"/>
      <c r="G8" s="104"/>
    </row>
    <row r="9" spans="1:66">
      <c r="A9" s="151" t="s">
        <v>250</v>
      </c>
      <c r="B9" s="108" t="s">
        <v>251</v>
      </c>
      <c r="C9" s="108">
        <f>Parameters!D100</f>
        <v>13</v>
      </c>
      <c r="D9" s="99">
        <f>Parameters!E100</f>
        <v>13</v>
      </c>
      <c r="E9" s="1173">
        <f>Parameters!F100</f>
        <v>13</v>
      </c>
      <c r="F9" s="104"/>
      <c r="G9" s="104"/>
      <c r="H9" s="561"/>
    </row>
    <row r="10" spans="1:66">
      <c r="A10" s="151" t="s">
        <v>252</v>
      </c>
      <c r="B10" s="108" t="s">
        <v>253</v>
      </c>
      <c r="C10" s="108">
        <f>Parameters!D101</f>
        <v>1</v>
      </c>
      <c r="D10" s="99">
        <f>Parameters!E101</f>
        <v>1</v>
      </c>
      <c r="E10" s="1173">
        <f>Parameters!F101</f>
        <v>1</v>
      </c>
      <c r="F10" s="104"/>
      <c r="G10" s="104"/>
    </row>
    <row r="11" spans="1:66">
      <c r="A11" s="151" t="s">
        <v>259</v>
      </c>
      <c r="B11" s="108" t="s">
        <v>254</v>
      </c>
      <c r="C11" s="108">
        <f>Parameters!D102</f>
        <v>0.5</v>
      </c>
      <c r="D11" s="99">
        <f>Parameters!E102</f>
        <v>0.5</v>
      </c>
      <c r="E11" s="1173">
        <f>Parameters!F102</f>
        <v>0.5</v>
      </c>
      <c r="F11" s="104"/>
      <c r="G11" s="104"/>
    </row>
    <row r="12" spans="1:66">
      <c r="A12" s="151" t="s">
        <v>722</v>
      </c>
      <c r="B12" s="108">
        <v>2002</v>
      </c>
      <c r="C12" s="108"/>
      <c r="D12" s="1444">
        <f>'Waste Summary 2017 SASOW'!L29</f>
        <v>0.13527885904981399</v>
      </c>
      <c r="E12" s="1173"/>
      <c r="F12" s="104"/>
      <c r="G12" s="104"/>
      <c r="BB12" s="314" t="s">
        <v>659</v>
      </c>
      <c r="BI12" t="s">
        <v>655</v>
      </c>
    </row>
    <row r="13" spans="1:66">
      <c r="A13" s="151" t="s">
        <v>722</v>
      </c>
      <c r="B13" s="108">
        <v>2017</v>
      </c>
      <c r="C13" s="108"/>
      <c r="D13" s="1444">
        <f>'Waste Summary 2017 SASOW'!$L$25</f>
        <v>2.197312110627072E-2</v>
      </c>
      <c r="E13" s="130"/>
      <c r="F13" s="104"/>
      <c r="G13" s="104"/>
      <c r="X13" s="1" t="s">
        <v>659</v>
      </c>
      <c r="AH13" s="1" t="s">
        <v>655</v>
      </c>
    </row>
    <row r="14" spans="1:66" ht="15.75" thickBot="1">
      <c r="A14" s="152" t="s">
        <v>721</v>
      </c>
      <c r="B14" s="163"/>
      <c r="C14" s="163"/>
      <c r="D14" s="683">
        <f>'Waste Summary 2017 SASOW'!$L$26</f>
        <v>6.9875113374971584E-2</v>
      </c>
      <c r="E14" s="1445"/>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36" t="s">
        <v>319</v>
      </c>
      <c r="BC15" s="1737"/>
      <c r="BD15" s="1737"/>
      <c r="BE15" s="1737"/>
      <c r="BF15" s="1737"/>
      <c r="BG15" s="1738"/>
      <c r="BI15" s="1736" t="s">
        <v>319</v>
      </c>
      <c r="BJ15" s="1737"/>
      <c r="BK15" s="1737"/>
      <c r="BL15" s="1737"/>
      <c r="BM15" s="1737"/>
      <c r="BN15" s="1738"/>
    </row>
    <row r="16" spans="1:66" ht="60">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747" t="s">
        <v>722</v>
      </c>
      <c r="X16" s="213" t="s">
        <v>719</v>
      </c>
      <c r="Y16" s="214" t="s">
        <v>22</v>
      </c>
      <c r="Z16" s="214" t="s">
        <v>236</v>
      </c>
      <c r="AA16" s="215" t="s">
        <v>237</v>
      </c>
      <c r="AB16" s="215" t="s">
        <v>238</v>
      </c>
      <c r="AC16" s="215" t="s">
        <v>239</v>
      </c>
      <c r="AD16" s="215" t="s">
        <v>240</v>
      </c>
      <c r="AE16" s="215" t="s">
        <v>241</v>
      </c>
      <c r="AF16" s="221" t="s">
        <v>300</v>
      </c>
      <c r="AG16" s="1747" t="s">
        <v>722</v>
      </c>
      <c r="AH16" s="213" t="s">
        <v>719</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70"/>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54"/>
      <c r="X17" s="222" t="s">
        <v>242</v>
      </c>
      <c r="Y17" s="223" t="s">
        <v>22</v>
      </c>
      <c r="Z17" s="223" t="s">
        <v>236</v>
      </c>
      <c r="AA17" s="224" t="s">
        <v>243</v>
      </c>
      <c r="AB17" s="224" t="s">
        <v>244</v>
      </c>
      <c r="AC17" s="224" t="s">
        <v>245</v>
      </c>
      <c r="AD17" s="224" t="s">
        <v>301</v>
      </c>
      <c r="AE17" s="224" t="s">
        <v>302</v>
      </c>
      <c r="AF17" s="225" t="s">
        <v>246</v>
      </c>
      <c r="AG17" s="195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5"/>
      <c r="X18" s="217" t="s">
        <v>228</v>
      </c>
      <c r="Y18" s="218" t="s">
        <v>41</v>
      </c>
      <c r="Z18" s="218" t="s">
        <v>41</v>
      </c>
      <c r="AA18" s="219" t="s">
        <v>228</v>
      </c>
      <c r="AB18" s="219" t="s">
        <v>228</v>
      </c>
      <c r="AC18" s="219" t="s">
        <v>228</v>
      </c>
      <c r="AD18" s="219" t="s">
        <v>228</v>
      </c>
      <c r="AE18" s="219" t="s">
        <v>228</v>
      </c>
      <c r="AF18" s="220" t="s">
        <v>228</v>
      </c>
      <c r="AG18" s="195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48">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48">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48">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48">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48">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48">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48">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48">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48">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48">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48">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48">
        <f t="shared" si="8"/>
        <v>0.13527885904981399</v>
      </c>
      <c r="X31" s="914">
        <f>'Baseline data (from input)'!AS17*W31</f>
        <v>2014.0133884862255</v>
      </c>
      <c r="Y31" s="907">
        <f>Parameters!S132</f>
        <v>0.71500000000000008</v>
      </c>
      <c r="Z31" s="907">
        <f t="shared" si="9"/>
        <v>0.4</v>
      </c>
      <c r="AA31" s="906">
        <f t="shared" si="10"/>
        <v>288.00391455353031</v>
      </c>
      <c r="AB31" s="906">
        <f t="shared" si="11"/>
        <v>288.00391455353031</v>
      </c>
      <c r="AC31" s="286">
        <f t="shared" si="12"/>
        <v>0</v>
      </c>
      <c r="AD31" s="906">
        <f t="shared" si="13"/>
        <v>288.00391455353031</v>
      </c>
      <c r="AE31" s="906">
        <f t="shared" si="14"/>
        <v>0</v>
      </c>
      <c r="AF31" s="1072">
        <f t="shared" si="15"/>
        <v>0</v>
      </c>
      <c r="AG31" s="1448">
        <f t="shared" si="16"/>
        <v>0.13527885904981399</v>
      </c>
      <c r="AH31" s="914">
        <f>'Baseline data (from input)'!AS17*AG31</f>
        <v>2014.0133884862255</v>
      </c>
      <c r="AI31" s="907">
        <f>Parameters!S132</f>
        <v>0.71500000000000008</v>
      </c>
      <c r="AJ31" s="907">
        <f t="shared" si="17"/>
        <v>0.4</v>
      </c>
      <c r="AK31" s="906">
        <f t="shared" si="18"/>
        <v>288.00391455353031</v>
      </c>
      <c r="AL31" s="906">
        <f t="shared" si="19"/>
        <v>288.00391455353031</v>
      </c>
      <c r="AM31" s="286">
        <f t="shared" si="20"/>
        <v>0</v>
      </c>
      <c r="AN31" s="906">
        <f t="shared" si="21"/>
        <v>288.00391455353031</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48">
        <f t="shared" si="8"/>
        <v>0.13527885904981399</v>
      </c>
      <c r="X32" s="914">
        <f>'Baseline data (from input)'!AS18*W32</f>
        <v>2138.4367811445532</v>
      </c>
      <c r="Y32" s="907">
        <f>Parameters!S133</f>
        <v>0.71500000000000008</v>
      </c>
      <c r="Z32" s="907">
        <f t="shared" si="9"/>
        <v>0.4</v>
      </c>
      <c r="AA32" s="906">
        <f t="shared" si="10"/>
        <v>305.79645970367113</v>
      </c>
      <c r="AB32" s="906">
        <f t="shared" si="11"/>
        <v>305.79645970367113</v>
      </c>
      <c r="AC32" s="286">
        <f t="shared" si="12"/>
        <v>0</v>
      </c>
      <c r="AD32" s="906">
        <f t="shared" si="13"/>
        <v>579.75425759837856</v>
      </c>
      <c r="AE32" s="906">
        <f t="shared" si="14"/>
        <v>14.046116658822859</v>
      </c>
      <c r="AF32" s="1072">
        <f t="shared" si="15"/>
        <v>9.3640777725485727</v>
      </c>
      <c r="AG32" s="1448">
        <f t="shared" si="16"/>
        <v>0.13527885904981399</v>
      </c>
      <c r="AH32" s="914">
        <f>'Baseline data (from input)'!AS18*AG32</f>
        <v>2138.4367811445532</v>
      </c>
      <c r="AI32" s="907">
        <f>Parameters!S133</f>
        <v>0.71500000000000008</v>
      </c>
      <c r="AJ32" s="907">
        <f t="shared" si="17"/>
        <v>0.4</v>
      </c>
      <c r="AK32" s="906">
        <f>AH32*AJ32*AI32*$D$4</f>
        <v>305.79645970367113</v>
      </c>
      <c r="AL32" s="906">
        <f>AK32*$D$10</f>
        <v>305.79645970367113</v>
      </c>
      <c r="AM32" s="286">
        <f t="shared" si="20"/>
        <v>0</v>
      </c>
      <c r="AN32" s="906">
        <f t="shared" si="21"/>
        <v>579.75425759837856</v>
      </c>
      <c r="AO32" s="906">
        <f t="shared" si="22"/>
        <v>14.046116658822859</v>
      </c>
      <c r="AP32" s="1072">
        <f t="shared" si="23"/>
        <v>9.3640777725485727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9.3640777725485727</v>
      </c>
      <c r="BD32" s="1080">
        <f t="shared" si="33"/>
        <v>0</v>
      </c>
      <c r="BE32" s="301">
        <f t="shared" si="34"/>
        <v>49.34861434565434</v>
      </c>
      <c r="BF32" s="104">
        <v>0</v>
      </c>
      <c r="BG32" s="302">
        <f t="shared" si="35"/>
        <v>49.34861434565434</v>
      </c>
      <c r="BI32" s="300">
        <f t="shared" si="36"/>
        <v>39.984536573105771</v>
      </c>
      <c r="BJ32" s="301">
        <f t="shared" si="37"/>
        <v>9.3640777725485727</v>
      </c>
      <c r="BK32" s="1080">
        <f t="shared" si="38"/>
        <v>0</v>
      </c>
      <c r="BL32" s="301">
        <f t="shared" si="39"/>
        <v>49.34861434565434</v>
      </c>
      <c r="BM32" s="104">
        <v>0</v>
      </c>
      <c r="BN32" s="302">
        <f t="shared" si="40"/>
        <v>49.34861434565434</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48">
        <f t="shared" si="8"/>
        <v>0.13527885904981399</v>
      </c>
      <c r="X33" s="914">
        <f>'Baseline data (from input)'!AS19*W33</f>
        <v>2296.1168290381702</v>
      </c>
      <c r="Y33" s="908">
        <f>Parameters!S134</f>
        <v>0.71500000000000008</v>
      </c>
      <c r="Z33" s="908">
        <f t="shared" si="9"/>
        <v>0.4</v>
      </c>
      <c r="AA33" s="906">
        <f t="shared" si="10"/>
        <v>328.34470655245843</v>
      </c>
      <c r="AB33" s="906">
        <f t="shared" si="11"/>
        <v>328.34470655245843</v>
      </c>
      <c r="AC33" s="286">
        <f t="shared" si="12"/>
        <v>0</v>
      </c>
      <c r="AD33" s="906">
        <f t="shared" si="13"/>
        <v>879.82401535960275</v>
      </c>
      <c r="AE33" s="906">
        <f t="shared" si="14"/>
        <v>28.274948791234216</v>
      </c>
      <c r="AF33" s="1072">
        <f t="shared" si="15"/>
        <v>18.84996586082281</v>
      </c>
      <c r="AG33" s="1448">
        <f t="shared" si="16"/>
        <v>0.13527885904981399</v>
      </c>
      <c r="AH33" s="914">
        <f>'Baseline data (from input)'!AS19*AG33</f>
        <v>2296.1168290381702</v>
      </c>
      <c r="AI33" s="908">
        <f>Parameters!S134</f>
        <v>0.71500000000000008</v>
      </c>
      <c r="AJ33" s="908">
        <f t="shared" si="17"/>
        <v>0.4</v>
      </c>
      <c r="AK33" s="906">
        <f t="shared" si="18"/>
        <v>328.34470655245843</v>
      </c>
      <c r="AL33" s="906">
        <f t="shared" si="19"/>
        <v>328.34470655245843</v>
      </c>
      <c r="AM33" s="286">
        <f>AK33*(1-$D$10)</f>
        <v>0</v>
      </c>
      <c r="AN33" s="906">
        <f>AL33+(AN32*$D$8)</f>
        <v>879.82401535960275</v>
      </c>
      <c r="AO33" s="906">
        <f t="shared" si="22"/>
        <v>28.274948791234216</v>
      </c>
      <c r="AP33" s="1072">
        <f t="shared" si="23"/>
        <v>18.84996586082281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18.84996586082281</v>
      </c>
      <c r="BD33" s="1080">
        <f t="shared" si="33"/>
        <v>0</v>
      </c>
      <c r="BE33" s="301">
        <f t="shared" si="34"/>
        <v>62.084956743480646</v>
      </c>
      <c r="BF33" s="104">
        <v>0</v>
      </c>
      <c r="BG33" s="302">
        <f t="shared" si="35"/>
        <v>62.084956743480646</v>
      </c>
      <c r="BI33" s="300">
        <f t="shared" si="36"/>
        <v>43.234990882657833</v>
      </c>
      <c r="BJ33" s="301">
        <f t="shared" si="37"/>
        <v>18.84996586082281</v>
      </c>
      <c r="BK33" s="1080">
        <f t="shared" si="38"/>
        <v>0</v>
      </c>
      <c r="BL33" s="301">
        <f t="shared" si="39"/>
        <v>62.084956743480646</v>
      </c>
      <c r="BM33" s="104">
        <v>0</v>
      </c>
      <c r="BN33" s="302">
        <f t="shared" si="40"/>
        <v>62.084956743480646</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48">
        <f t="shared" si="8"/>
        <v>0.13527885904981399</v>
      </c>
      <c r="X34" s="914">
        <f>'Baseline data (from input)'!AS20*W34</f>
        <v>2478.4234921289667</v>
      </c>
      <c r="Y34" s="908">
        <f>Parameters!S135</f>
        <v>0.71500000000000008</v>
      </c>
      <c r="Z34" s="908">
        <f t="shared" si="9"/>
        <v>0.4</v>
      </c>
      <c r="AA34" s="906">
        <f t="shared" si="10"/>
        <v>354.41455937444232</v>
      </c>
      <c r="AB34" s="906">
        <f t="shared" si="11"/>
        <v>354.41455937444232</v>
      </c>
      <c r="AC34" s="286">
        <f t="shared" si="12"/>
        <v>0</v>
      </c>
      <c r="AD34" s="906">
        <f t="shared" si="13"/>
        <v>1191.3290511668647</v>
      </c>
      <c r="AE34" s="906">
        <f t="shared" si="14"/>
        <v>42.909523567180457</v>
      </c>
      <c r="AF34" s="1072">
        <f t="shared" si="15"/>
        <v>28.60634904478697</v>
      </c>
      <c r="AG34" s="1448">
        <f t="shared" si="16"/>
        <v>0.13527885904981399</v>
      </c>
      <c r="AH34" s="914">
        <f>'Baseline data (from input)'!AS20*AG34</f>
        <v>2478.4234921289667</v>
      </c>
      <c r="AI34" s="908">
        <f>Parameters!S135</f>
        <v>0.71500000000000008</v>
      </c>
      <c r="AJ34" s="908">
        <f t="shared" si="17"/>
        <v>0.4</v>
      </c>
      <c r="AK34" s="906">
        <f t="shared" si="18"/>
        <v>354.41455937444232</v>
      </c>
      <c r="AL34" s="906">
        <f t="shared" si="19"/>
        <v>354.41455937444232</v>
      </c>
      <c r="AM34" s="286">
        <f t="shared" si="20"/>
        <v>0</v>
      </c>
      <c r="AN34" s="906">
        <f t="shared" si="21"/>
        <v>1191.3290511668647</v>
      </c>
      <c r="AO34" s="906">
        <f t="shared" si="22"/>
        <v>42.909523567180457</v>
      </c>
      <c r="AP34" s="1072">
        <f t="shared" si="23"/>
        <v>28.60634904478697</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28.60634904478697</v>
      </c>
      <c r="BD34" s="1080">
        <f t="shared" si="33"/>
        <v>0</v>
      </c>
      <c r="BE34" s="301">
        <f t="shared" si="34"/>
        <v>75.069736142155392</v>
      </c>
      <c r="BF34" s="104">
        <v>0</v>
      </c>
      <c r="BG34" s="302">
        <f t="shared" si="35"/>
        <v>75.069736142155392</v>
      </c>
      <c r="BI34" s="300">
        <f t="shared" si="36"/>
        <v>46.463387097368418</v>
      </c>
      <c r="BJ34" s="301">
        <f t="shared" si="37"/>
        <v>28.60634904478697</v>
      </c>
      <c r="BK34" s="1080">
        <f t="shared" si="38"/>
        <v>0</v>
      </c>
      <c r="BL34" s="301">
        <f t="shared" si="39"/>
        <v>75.069736142155392</v>
      </c>
      <c r="BM34" s="104">
        <v>0</v>
      </c>
      <c r="BN34" s="302">
        <f t="shared" si="40"/>
        <v>75.069736142155392</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48">
        <f t="shared" si="8"/>
        <v>0.13527885904981399</v>
      </c>
      <c r="X35" s="914">
        <f>'Baseline data (from input)'!AS21*W35</f>
        <v>2630.1714348322043</v>
      </c>
      <c r="Y35" s="908">
        <f>Parameters!S136</f>
        <v>0.71500000000000008</v>
      </c>
      <c r="Z35" s="908">
        <f t="shared" si="9"/>
        <v>0.4</v>
      </c>
      <c r="AA35" s="906">
        <f t="shared" si="10"/>
        <v>376.11451518100523</v>
      </c>
      <c r="AB35" s="906">
        <f t="shared" si="11"/>
        <v>376.11451518100523</v>
      </c>
      <c r="AC35" s="286">
        <f t="shared" si="12"/>
        <v>0</v>
      </c>
      <c r="AD35" s="906">
        <f t="shared" si="13"/>
        <v>1509.3417629134437</v>
      </c>
      <c r="AE35" s="906">
        <f t="shared" si="14"/>
        <v>58.101803434426309</v>
      </c>
      <c r="AF35" s="1072">
        <f t="shared" si="15"/>
        <v>38.734535622950872</v>
      </c>
      <c r="AG35" s="1448">
        <f t="shared" si="16"/>
        <v>0.13527885904981399</v>
      </c>
      <c r="AH35" s="914">
        <f>'Baseline data (from input)'!AS21*AG35</f>
        <v>2630.1714348322043</v>
      </c>
      <c r="AI35" s="908">
        <f>Parameters!S136</f>
        <v>0.71500000000000008</v>
      </c>
      <c r="AJ35" s="908">
        <f t="shared" si="17"/>
        <v>0.4</v>
      </c>
      <c r="AK35" s="906">
        <f t="shared" si="18"/>
        <v>376.11451518100523</v>
      </c>
      <c r="AL35" s="906">
        <f t="shared" si="19"/>
        <v>376.11451518100523</v>
      </c>
      <c r="AM35" s="286">
        <f t="shared" si="20"/>
        <v>0</v>
      </c>
      <c r="AN35" s="906">
        <f t="shared" si="21"/>
        <v>1509.3417629134437</v>
      </c>
      <c r="AO35" s="906">
        <f t="shared" si="22"/>
        <v>58.101803434426309</v>
      </c>
      <c r="AP35" s="1072">
        <f t="shared" si="23"/>
        <v>38.734535622950872</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38.734535622950872</v>
      </c>
      <c r="BD35" s="1080">
        <f t="shared" si="33"/>
        <v>0</v>
      </c>
      <c r="BE35" s="301">
        <f t="shared" si="34"/>
        <v>88.40533662616825</v>
      </c>
      <c r="BF35" s="104">
        <v>0</v>
      </c>
      <c r="BG35" s="302">
        <f t="shared" si="35"/>
        <v>88.40533662616825</v>
      </c>
      <c r="BI35" s="300">
        <f t="shared" si="36"/>
        <v>49.670801003217377</v>
      </c>
      <c r="BJ35" s="301">
        <f t="shared" si="37"/>
        <v>38.734535622950872</v>
      </c>
      <c r="BK35" s="1080">
        <f t="shared" si="38"/>
        <v>0</v>
      </c>
      <c r="BL35" s="301">
        <f t="shared" si="39"/>
        <v>88.40533662616825</v>
      </c>
      <c r="BM35" s="104">
        <v>0</v>
      </c>
      <c r="BN35" s="302">
        <f t="shared" si="40"/>
        <v>88.40533662616825</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48">
        <f t="shared" si="8"/>
        <v>0.13527885904981399</v>
      </c>
      <c r="X36" s="914">
        <f>'Baseline data (from input)'!AS22*W36</f>
        <v>2746.9065510606351</v>
      </c>
      <c r="Y36" s="908">
        <f>Parameters!S137</f>
        <v>0.71500000000000008</v>
      </c>
      <c r="Z36" s="908">
        <f t="shared" si="9"/>
        <v>0.4</v>
      </c>
      <c r="AA36" s="906">
        <f t="shared" si="10"/>
        <v>392.80763680167087</v>
      </c>
      <c r="AB36" s="906">
        <f t="shared" si="11"/>
        <v>392.80763680167087</v>
      </c>
      <c r="AC36" s="286">
        <f t="shared" si="12"/>
        <v>0</v>
      </c>
      <c r="AD36" s="906">
        <f t="shared" si="13"/>
        <v>1828.5379333127191</v>
      </c>
      <c r="AE36" s="906">
        <f t="shared" si="14"/>
        <v>73.611466402395507</v>
      </c>
      <c r="AF36" s="1072">
        <f t="shared" si="15"/>
        <v>49.074310934930338</v>
      </c>
      <c r="AG36" s="1448">
        <f t="shared" si="16"/>
        <v>0.13527885904981399</v>
      </c>
      <c r="AH36" s="914">
        <f>'Baseline data (from input)'!AS22*AG36</f>
        <v>2746.9065510606351</v>
      </c>
      <c r="AI36" s="908">
        <f>Parameters!S137</f>
        <v>0.71500000000000008</v>
      </c>
      <c r="AJ36" s="908">
        <f t="shared" si="17"/>
        <v>0.4</v>
      </c>
      <c r="AK36" s="906">
        <f t="shared" si="18"/>
        <v>392.80763680167087</v>
      </c>
      <c r="AL36" s="906">
        <f t="shared" si="19"/>
        <v>392.80763680167087</v>
      </c>
      <c r="AM36" s="286">
        <f t="shared" si="20"/>
        <v>0</v>
      </c>
      <c r="AN36" s="906">
        <f t="shared" si="21"/>
        <v>1828.5379333127191</v>
      </c>
      <c r="AO36" s="906">
        <f t="shared" si="22"/>
        <v>73.611466402395507</v>
      </c>
      <c r="AP36" s="1072">
        <f t="shared" si="23"/>
        <v>49.074310934930338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49.074310934930338</v>
      </c>
      <c r="BD36" s="1080">
        <f t="shared" si="33"/>
        <v>0</v>
      </c>
      <c r="BE36" s="301">
        <f t="shared" si="34"/>
        <v>101.93256685441352</v>
      </c>
      <c r="BF36" s="104">
        <v>0</v>
      </c>
      <c r="BG36" s="302">
        <f t="shared" si="35"/>
        <v>101.93256685441352</v>
      </c>
      <c r="BI36" s="300">
        <f t="shared" si="36"/>
        <v>52.858255919483177</v>
      </c>
      <c r="BJ36" s="301">
        <f t="shared" si="37"/>
        <v>49.074310934930338</v>
      </c>
      <c r="BK36" s="1080">
        <f t="shared" si="38"/>
        <v>0</v>
      </c>
      <c r="BL36" s="301">
        <f t="shared" si="39"/>
        <v>101.93256685441352</v>
      </c>
      <c r="BM36" s="104">
        <v>0</v>
      </c>
      <c r="BN36" s="302">
        <f t="shared" si="40"/>
        <v>101.93256685441352</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48">
        <f t="shared" si="8"/>
        <v>0.13527885904981399</v>
      </c>
      <c r="X37" s="914">
        <f>'Baseline data (from input)'!AS23*W37</f>
        <v>2944.5897670360177</v>
      </c>
      <c r="Y37" s="908">
        <f>Parameters!S138</f>
        <v>0.71500000000000008</v>
      </c>
      <c r="Z37" s="908">
        <f t="shared" si="9"/>
        <v>0.4</v>
      </c>
      <c r="AA37" s="906">
        <f t="shared" si="10"/>
        <v>421.07633668615057</v>
      </c>
      <c r="AB37" s="906">
        <f t="shared" si="11"/>
        <v>421.07633668615057</v>
      </c>
      <c r="AC37" s="286">
        <f t="shared" si="12"/>
        <v>0</v>
      </c>
      <c r="AD37" s="906">
        <f t="shared" si="13"/>
        <v>2160.4354226689334</v>
      </c>
      <c r="AE37" s="906">
        <f t="shared" si="14"/>
        <v>89.178847329936332</v>
      </c>
      <c r="AF37" s="1072">
        <f t="shared" si="15"/>
        <v>59.452564886624224</v>
      </c>
      <c r="AG37" s="1448">
        <f t="shared" si="16"/>
        <v>0.13527885904981399</v>
      </c>
      <c r="AH37" s="914">
        <f>'Baseline data (from input)'!AS23*AG37</f>
        <v>2944.5897670360177</v>
      </c>
      <c r="AI37" s="908">
        <f>Parameters!S138</f>
        <v>0.71500000000000008</v>
      </c>
      <c r="AJ37" s="908">
        <f t="shared" si="17"/>
        <v>0.4</v>
      </c>
      <c r="AK37" s="906">
        <f t="shared" si="18"/>
        <v>421.07633668615057</v>
      </c>
      <c r="AL37" s="906">
        <f t="shared" si="19"/>
        <v>421.07633668615057</v>
      </c>
      <c r="AM37" s="286">
        <f t="shared" si="20"/>
        <v>0</v>
      </c>
      <c r="AN37" s="906">
        <f t="shared" si="21"/>
        <v>2160.4354226689334</v>
      </c>
      <c r="AO37" s="906">
        <f t="shared" si="22"/>
        <v>89.178847329936332</v>
      </c>
      <c r="AP37" s="1072">
        <f t="shared" si="23"/>
        <v>59.452564886624224</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59.452564886624224</v>
      </c>
      <c r="BD37" s="1080">
        <f t="shared" si="33"/>
        <v>0</v>
      </c>
      <c r="BE37" s="301">
        <f t="shared" si="34"/>
        <v>115.51909695102097</v>
      </c>
      <c r="BF37" s="104">
        <v>0</v>
      </c>
      <c r="BG37" s="302">
        <f t="shared" si="35"/>
        <v>115.51909695102097</v>
      </c>
      <c r="BI37" s="300">
        <f t="shared" si="36"/>
        <v>56.066532064396746</v>
      </c>
      <c r="BJ37" s="301">
        <f t="shared" si="37"/>
        <v>59.452564886624224</v>
      </c>
      <c r="BK37" s="1080">
        <f t="shared" si="38"/>
        <v>0</v>
      </c>
      <c r="BL37" s="301">
        <f t="shared" si="39"/>
        <v>115.51909695102097</v>
      </c>
      <c r="BM37" s="104">
        <v>0</v>
      </c>
      <c r="BN37" s="302">
        <f t="shared" si="40"/>
        <v>115.51909695102097</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48">
        <f t="shared" si="8"/>
        <v>0.13527885904981399</v>
      </c>
      <c r="X38" s="914">
        <f>'Baseline data (from input)'!AS24*W38</f>
        <v>3066.8916780085497</v>
      </c>
      <c r="Y38" s="908">
        <f>Parameters!S139</f>
        <v>0.71500000000000008</v>
      </c>
      <c r="Z38" s="908">
        <f t="shared" si="9"/>
        <v>0.4</v>
      </c>
      <c r="AA38" s="906">
        <f t="shared" si="10"/>
        <v>438.56550995522269</v>
      </c>
      <c r="AB38" s="906">
        <f t="shared" si="11"/>
        <v>438.56550995522269</v>
      </c>
      <c r="AC38" s="286">
        <f t="shared" si="12"/>
        <v>0</v>
      </c>
      <c r="AD38" s="906">
        <f t="shared" si="13"/>
        <v>2493.6352537315493</v>
      </c>
      <c r="AE38" s="906">
        <f t="shared" si="14"/>
        <v>105.36567889260704</v>
      </c>
      <c r="AF38" s="1072">
        <f t="shared" si="15"/>
        <v>70.243785928404691</v>
      </c>
      <c r="AG38" s="1448">
        <f t="shared" si="16"/>
        <v>0.13527885904981399</v>
      </c>
      <c r="AH38" s="914">
        <f>'Baseline data (from input)'!AS24*AG38</f>
        <v>3066.8916780085497</v>
      </c>
      <c r="AI38" s="908">
        <f>Parameters!S139</f>
        <v>0.71500000000000008</v>
      </c>
      <c r="AJ38" s="908">
        <f t="shared" si="17"/>
        <v>0.4</v>
      </c>
      <c r="AK38" s="906">
        <f t="shared" si="18"/>
        <v>438.56550995522269</v>
      </c>
      <c r="AL38" s="906">
        <f t="shared" si="19"/>
        <v>438.56550995522269</v>
      </c>
      <c r="AM38" s="286">
        <f t="shared" si="20"/>
        <v>0</v>
      </c>
      <c r="AN38" s="906">
        <f t="shared" si="21"/>
        <v>2493.6352537315493</v>
      </c>
      <c r="AO38" s="906">
        <f t="shared" si="22"/>
        <v>105.36567889260704</v>
      </c>
      <c r="AP38" s="1072">
        <f t="shared" si="23"/>
        <v>70.243785928404691</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70.243785928404691</v>
      </c>
      <c r="BD38" s="1080">
        <f t="shared" si="33"/>
        <v>0</v>
      </c>
      <c r="BE38" s="301">
        <f t="shared" si="34"/>
        <v>129.54026253391098</v>
      </c>
      <c r="BF38" s="104">
        <v>0</v>
      </c>
      <c r="BG38" s="302">
        <f t="shared" si="35"/>
        <v>129.54026253391098</v>
      </c>
      <c r="BI38" s="300">
        <f t="shared" si="36"/>
        <v>59.296476605506278</v>
      </c>
      <c r="BJ38" s="301">
        <f t="shared" si="37"/>
        <v>70.243785928404691</v>
      </c>
      <c r="BK38" s="1080">
        <f t="shared" si="38"/>
        <v>0</v>
      </c>
      <c r="BL38" s="301">
        <f t="shared" si="39"/>
        <v>129.54026253391098</v>
      </c>
      <c r="BM38" s="104">
        <v>0</v>
      </c>
      <c r="BN38" s="302">
        <f t="shared" si="40"/>
        <v>129.54026253391098</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48">
        <f t="shared" si="8"/>
        <v>0.13527885904981399</v>
      </c>
      <c r="X39" s="914">
        <f>'Baseline data (from input)'!AS25*W39</f>
        <v>3211.5210945049507</v>
      </c>
      <c r="Y39" s="908">
        <f>Parameters!S140</f>
        <v>0.71500000000000008</v>
      </c>
      <c r="Z39" s="908">
        <f t="shared" si="9"/>
        <v>0.4</v>
      </c>
      <c r="AA39" s="906">
        <f t="shared" si="10"/>
        <v>459.24751651420809</v>
      </c>
      <c r="AB39" s="906">
        <f t="shared" si="11"/>
        <v>459.24751651420809</v>
      </c>
      <c r="AC39" s="286">
        <f t="shared" si="12"/>
        <v>0</v>
      </c>
      <c r="AD39" s="906">
        <f t="shared" si="13"/>
        <v>2831.2667438359617</v>
      </c>
      <c r="AE39" s="906">
        <f t="shared" si="14"/>
        <v>121.61602640979568</v>
      </c>
      <c r="AF39" s="1072">
        <f t="shared" si="15"/>
        <v>81.077350939863791</v>
      </c>
      <c r="AG39" s="1448">
        <f t="shared" si="16"/>
        <v>0.13527885904981399</v>
      </c>
      <c r="AH39" s="914">
        <f>'Baseline data (from input)'!AS25*AG39</f>
        <v>3211.5210945049507</v>
      </c>
      <c r="AI39" s="908">
        <f>Parameters!S140</f>
        <v>0.71500000000000008</v>
      </c>
      <c r="AJ39" s="908">
        <f t="shared" si="17"/>
        <v>0.4</v>
      </c>
      <c r="AK39" s="906">
        <f t="shared" si="18"/>
        <v>459.24751651420809</v>
      </c>
      <c r="AL39" s="906">
        <f t="shared" si="19"/>
        <v>459.24751651420809</v>
      </c>
      <c r="AM39" s="286">
        <f t="shared" si="20"/>
        <v>0</v>
      </c>
      <c r="AN39" s="906">
        <f t="shared" si="21"/>
        <v>2831.2667438359617</v>
      </c>
      <c r="AO39" s="906">
        <f t="shared" si="22"/>
        <v>121.61602640979568</v>
      </c>
      <c r="AP39" s="1072">
        <f t="shared" si="23"/>
        <v>81.077350939863791</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81.077350939863791</v>
      </c>
      <c r="BD39" s="1080">
        <f t="shared" si="33"/>
        <v>0</v>
      </c>
      <c r="BE39" s="301">
        <f t="shared" si="34"/>
        <v>143.62568007431895</v>
      </c>
      <c r="BF39" s="104">
        <v>0</v>
      </c>
      <c r="BG39" s="302">
        <f t="shared" si="35"/>
        <v>143.62568007431895</v>
      </c>
      <c r="BI39" s="300">
        <f t="shared" si="36"/>
        <v>62.548329134455173</v>
      </c>
      <c r="BJ39" s="301">
        <f t="shared" si="37"/>
        <v>81.077350939863791</v>
      </c>
      <c r="BK39" s="1080">
        <f t="shared" si="38"/>
        <v>0</v>
      </c>
      <c r="BL39" s="301">
        <f t="shared" si="39"/>
        <v>143.62568007431895</v>
      </c>
      <c r="BM39" s="104">
        <v>0</v>
      </c>
      <c r="BN39" s="302">
        <f t="shared" si="40"/>
        <v>143.62568007431895</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48">
        <f t="shared" si="8"/>
        <v>0.13527885904981399</v>
      </c>
      <c r="X40" s="914">
        <f>'Baseline data (from input)'!AS26*W40</f>
        <v>3380.0833715323015</v>
      </c>
      <c r="Y40" s="908">
        <f>Parameters!S141</f>
        <v>0.71500000000000008</v>
      </c>
      <c r="Z40" s="908">
        <f t="shared" si="9"/>
        <v>0.4</v>
      </c>
      <c r="AA40" s="906">
        <f t="shared" si="10"/>
        <v>483.3519221291192</v>
      </c>
      <c r="AB40" s="906">
        <f t="shared" si="11"/>
        <v>483.3519221291192</v>
      </c>
      <c r="AC40" s="286">
        <f t="shared" si="12"/>
        <v>0</v>
      </c>
      <c r="AD40" s="906">
        <f t="shared" si="13"/>
        <v>3176.5361574762119</v>
      </c>
      <c r="AE40" s="906">
        <f t="shared" si="14"/>
        <v>138.08250848886937</v>
      </c>
      <c r="AF40" s="1072">
        <f t="shared" si="15"/>
        <v>92.055005659246248</v>
      </c>
      <c r="AG40" s="1448">
        <f t="shared" si="16"/>
        <v>0.13527885904981399</v>
      </c>
      <c r="AH40" s="914">
        <f>'Baseline data (from input)'!AS26*AG40</f>
        <v>3380.0833715323015</v>
      </c>
      <c r="AI40" s="908">
        <f>Parameters!S141</f>
        <v>0.71500000000000008</v>
      </c>
      <c r="AJ40" s="908">
        <f t="shared" si="17"/>
        <v>0.4</v>
      </c>
      <c r="AK40" s="906">
        <f t="shared" si="18"/>
        <v>483.3519221291192</v>
      </c>
      <c r="AL40" s="906">
        <f t="shared" si="19"/>
        <v>483.3519221291192</v>
      </c>
      <c r="AM40" s="286">
        <f t="shared" si="20"/>
        <v>0</v>
      </c>
      <c r="AN40" s="906">
        <f t="shared" si="21"/>
        <v>3176.5361574762119</v>
      </c>
      <c r="AO40" s="906">
        <f t="shared" si="22"/>
        <v>138.08250848886937</v>
      </c>
      <c r="AP40" s="1072">
        <f t="shared" si="23"/>
        <v>92.055005659246248</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92.055005659246248</v>
      </c>
      <c r="BD40" s="1080">
        <f t="shared" si="33"/>
        <v>0</v>
      </c>
      <c r="BE40" s="301">
        <f t="shared" si="34"/>
        <v>157.87732321711076</v>
      </c>
      <c r="BF40" s="104">
        <v>0</v>
      </c>
      <c r="BG40" s="302">
        <f t="shared" si="35"/>
        <v>157.87732321711076</v>
      </c>
      <c r="BI40" s="300">
        <f t="shared" si="36"/>
        <v>65.822317557864508</v>
      </c>
      <c r="BJ40" s="301">
        <f t="shared" si="37"/>
        <v>92.055005659246248</v>
      </c>
      <c r="BK40" s="1080">
        <f t="shared" si="38"/>
        <v>0</v>
      </c>
      <c r="BL40" s="301">
        <f t="shared" si="39"/>
        <v>157.87732321711076</v>
      </c>
      <c r="BM40" s="104">
        <v>0</v>
      </c>
      <c r="BN40" s="302">
        <f t="shared" si="40"/>
        <v>157.87732321711076</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48">
        <f t="shared" si="8"/>
        <v>0.13527885904981399</v>
      </c>
      <c r="X41" s="914">
        <f>'Baseline data (from input)'!AS27*W41</f>
        <v>3524.716139475715</v>
      </c>
      <c r="Y41" s="908">
        <f>Parameters!S142</f>
        <v>0.71500000000000008</v>
      </c>
      <c r="Z41" s="908">
        <f t="shared" si="9"/>
        <v>0.4</v>
      </c>
      <c r="AA41" s="906">
        <f t="shared" si="10"/>
        <v>504.03440794502734</v>
      </c>
      <c r="AB41" s="906">
        <f t="shared" si="11"/>
        <v>504.03440794502734</v>
      </c>
      <c r="AC41" s="286">
        <f t="shared" si="12"/>
        <v>0</v>
      </c>
      <c r="AD41" s="906">
        <f t="shared" si="13"/>
        <v>3525.6490689268339</v>
      </c>
      <c r="AE41" s="906">
        <f t="shared" si="14"/>
        <v>154.92149649440537</v>
      </c>
      <c r="AF41" s="1072">
        <f t="shared" si="15"/>
        <v>103.28099766293691</v>
      </c>
      <c r="AG41" s="1448">
        <f t="shared" si="16"/>
        <v>0.13527885904981399</v>
      </c>
      <c r="AH41" s="914">
        <f>'Baseline data (from input)'!AS27*AG41</f>
        <v>3524.716139475715</v>
      </c>
      <c r="AI41" s="908">
        <f>Parameters!S142</f>
        <v>0.71500000000000008</v>
      </c>
      <c r="AJ41" s="908">
        <f t="shared" si="17"/>
        <v>0.4</v>
      </c>
      <c r="AK41" s="906">
        <f t="shared" si="18"/>
        <v>504.03440794502734</v>
      </c>
      <c r="AL41" s="906">
        <f t="shared" si="19"/>
        <v>504.03440794502734</v>
      </c>
      <c r="AM41" s="286">
        <f t="shared" si="20"/>
        <v>0</v>
      </c>
      <c r="AN41" s="906">
        <f t="shared" si="21"/>
        <v>3525.6490689268339</v>
      </c>
      <c r="AO41" s="906">
        <f t="shared" si="22"/>
        <v>154.92149649440537</v>
      </c>
      <c r="AP41" s="1072">
        <f t="shared" si="23"/>
        <v>103.28099766293691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103.28099766293691</v>
      </c>
      <c r="BD41" s="1080">
        <f t="shared" si="33"/>
        <v>0</v>
      </c>
      <c r="BE41" s="301">
        <f t="shared" si="34"/>
        <v>172.39965633015521</v>
      </c>
      <c r="BF41" s="104">
        <v>0</v>
      </c>
      <c r="BG41" s="302">
        <f t="shared" si="35"/>
        <v>172.39965633015521</v>
      </c>
      <c r="BI41" s="300">
        <f t="shared" si="36"/>
        <v>69.118658667218284</v>
      </c>
      <c r="BJ41" s="301">
        <f t="shared" si="37"/>
        <v>103.28099766293691</v>
      </c>
      <c r="BK41" s="1080">
        <f t="shared" si="38"/>
        <v>0</v>
      </c>
      <c r="BL41" s="301">
        <f t="shared" si="39"/>
        <v>172.39965633015521</v>
      </c>
      <c r="BM41" s="104">
        <v>0</v>
      </c>
      <c r="BN41" s="302">
        <f t="shared" si="40"/>
        <v>172.39965633015521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48">
        <f t="shared" si="8"/>
        <v>0.13527885904981399</v>
      </c>
      <c r="X42" s="914">
        <f>'Baseline data (from input)'!AS28*W42</f>
        <v>3583.0418042047595</v>
      </c>
      <c r="Y42" s="908">
        <f>Parameters!S143</f>
        <v>0.71500000000000008</v>
      </c>
      <c r="Z42" s="908">
        <f t="shared" si="9"/>
        <v>0.4</v>
      </c>
      <c r="AA42" s="906">
        <f t="shared" si="10"/>
        <v>512.37497800128074</v>
      </c>
      <c r="AB42" s="906">
        <f t="shared" si="11"/>
        <v>512.37497800128074</v>
      </c>
      <c r="AC42" s="286">
        <f t="shared" si="12"/>
        <v>0</v>
      </c>
      <c r="AD42" s="906">
        <f t="shared" si="13"/>
        <v>3866.0761128280315</v>
      </c>
      <c r="AE42" s="906">
        <f t="shared" si="14"/>
        <v>171.9479341000835</v>
      </c>
      <c r="AF42" s="1072">
        <f t="shared" si="15"/>
        <v>114.63195606672234</v>
      </c>
      <c r="AG42" s="1448">
        <f t="shared" si="16"/>
        <v>0.13527885904981399</v>
      </c>
      <c r="AH42" s="914">
        <f>'Baseline data (from input)'!AS28*AG42</f>
        <v>3583.0418042047595</v>
      </c>
      <c r="AI42" s="908">
        <f>Parameters!S143</f>
        <v>0.71500000000000008</v>
      </c>
      <c r="AJ42" s="908">
        <f t="shared" si="17"/>
        <v>0.4</v>
      </c>
      <c r="AK42" s="906">
        <f t="shared" si="18"/>
        <v>512.37497800128074</v>
      </c>
      <c r="AL42" s="906">
        <f t="shared" si="19"/>
        <v>512.37497800128074</v>
      </c>
      <c r="AM42" s="286">
        <f t="shared" si="20"/>
        <v>0</v>
      </c>
      <c r="AN42" s="906">
        <f t="shared" si="21"/>
        <v>3866.0761128280315</v>
      </c>
      <c r="AO42" s="906">
        <f t="shared" si="22"/>
        <v>171.9479341000835</v>
      </c>
      <c r="AP42" s="1072">
        <f t="shared" si="23"/>
        <v>114.63195606672234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114.63195606672234</v>
      </c>
      <c r="BD42" s="1080">
        <f t="shared" si="33"/>
        <v>0</v>
      </c>
      <c r="BE42" s="301">
        <f t="shared" si="34"/>
        <v>193.99517625090385</v>
      </c>
      <c r="BF42" s="104">
        <v>0</v>
      </c>
      <c r="BG42" s="302">
        <f t="shared" si="35"/>
        <v>193.99517625090385</v>
      </c>
      <c r="BI42" s="300">
        <f t="shared" si="36"/>
        <v>79.363220184181515</v>
      </c>
      <c r="BJ42" s="301">
        <f t="shared" si="37"/>
        <v>114.63195606672234</v>
      </c>
      <c r="BK42" s="1080">
        <f t="shared" si="38"/>
        <v>0</v>
      </c>
      <c r="BL42" s="301">
        <f t="shared" si="39"/>
        <v>193.99517625090385</v>
      </c>
      <c r="BM42" s="104">
        <v>0</v>
      </c>
      <c r="BN42" s="302">
        <f t="shared" si="40"/>
        <v>193.99517625090385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48">
        <f t="shared" si="8"/>
        <v>0.13527885904981399</v>
      </c>
      <c r="X43" s="914">
        <f>'Baseline data (from input)'!AS29*W43</f>
        <v>3746.8583970602153</v>
      </c>
      <c r="Y43" s="908">
        <f>Parameters!S144</f>
        <v>0.71500000000000008</v>
      </c>
      <c r="Z43" s="908">
        <f t="shared" si="9"/>
        <v>0.4</v>
      </c>
      <c r="AA43" s="906">
        <f t="shared" si="10"/>
        <v>535.80075077961089</v>
      </c>
      <c r="AB43" s="906">
        <f t="shared" si="11"/>
        <v>535.80075077961089</v>
      </c>
      <c r="AC43" s="286">
        <f t="shared" si="12"/>
        <v>0</v>
      </c>
      <c r="AD43" s="906">
        <f t="shared" si="13"/>
        <v>4213.3261066609766</v>
      </c>
      <c r="AE43" s="906">
        <f t="shared" si="14"/>
        <v>188.55075694666559</v>
      </c>
      <c r="AF43" s="1072">
        <f t="shared" si="15"/>
        <v>125.70050463111039</v>
      </c>
      <c r="AG43" s="1448">
        <f t="shared" si="16"/>
        <v>0.13527885904981399</v>
      </c>
      <c r="AH43" s="914">
        <f>'Baseline data (from input)'!AS29*AG43</f>
        <v>3746.8583970602153</v>
      </c>
      <c r="AI43" s="908">
        <f>Parameters!S144</f>
        <v>0.71500000000000008</v>
      </c>
      <c r="AJ43" s="908">
        <f t="shared" si="17"/>
        <v>0.4</v>
      </c>
      <c r="AK43" s="906">
        <f t="shared" si="18"/>
        <v>535.80075077961089</v>
      </c>
      <c r="AL43" s="906">
        <f t="shared" si="19"/>
        <v>535.80075077961089</v>
      </c>
      <c r="AM43" s="286">
        <f t="shared" si="20"/>
        <v>0</v>
      </c>
      <c r="AN43" s="906">
        <f t="shared" si="21"/>
        <v>4213.3261066609766</v>
      </c>
      <c r="AO43" s="906">
        <f t="shared" si="22"/>
        <v>188.55075694666559</v>
      </c>
      <c r="AP43" s="1072">
        <f t="shared" si="23"/>
        <v>125.70050463111039</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125.70050463111039</v>
      </c>
      <c r="BD43" s="1080">
        <f t="shared" si="33"/>
        <v>0</v>
      </c>
      <c r="BE43" s="301">
        <f t="shared" si="34"/>
        <v>215.12431247483119</v>
      </c>
      <c r="BF43" s="104">
        <v>0</v>
      </c>
      <c r="BG43" s="302">
        <f t="shared" si="35"/>
        <v>215.12431247483119</v>
      </c>
      <c r="BI43" s="300">
        <f t="shared" si="36"/>
        <v>89.42380784372078</v>
      </c>
      <c r="BJ43" s="301">
        <f t="shared" si="37"/>
        <v>125.70050463111039</v>
      </c>
      <c r="BK43" s="1080">
        <f t="shared" si="38"/>
        <v>0</v>
      </c>
      <c r="BL43" s="301">
        <f t="shared" si="39"/>
        <v>215.12431247483119</v>
      </c>
      <c r="BM43" s="104">
        <v>0</v>
      </c>
      <c r="BN43" s="302">
        <f t="shared" si="40"/>
        <v>215.12431247483119</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48">
        <f t="shared" si="8"/>
        <v>0.13527885904981399</v>
      </c>
      <c r="X44" s="914">
        <f>'Baseline data (from input)'!AS30*W44</f>
        <v>3975.8309542811171</v>
      </c>
      <c r="Y44" s="908">
        <f>Parameters!S145</f>
        <v>0.71500000000000008</v>
      </c>
      <c r="Z44" s="908">
        <f t="shared" si="9"/>
        <v>0.4</v>
      </c>
      <c r="AA44" s="906">
        <f t="shared" si="10"/>
        <v>568.54382646219983</v>
      </c>
      <c r="AB44" s="906">
        <f t="shared" si="11"/>
        <v>568.54382646219983</v>
      </c>
      <c r="AC44" s="286">
        <f t="shared" si="12"/>
        <v>0</v>
      </c>
      <c r="AD44" s="906">
        <f t="shared" si="13"/>
        <v>4576.3835941351545</v>
      </c>
      <c r="AE44" s="906">
        <f t="shared" si="14"/>
        <v>205.48633898802183</v>
      </c>
      <c r="AF44" s="1072">
        <f t="shared" si="15"/>
        <v>136.99089265868122</v>
      </c>
      <c r="AG44" s="1448">
        <f t="shared" si="16"/>
        <v>0.13527885904981399</v>
      </c>
      <c r="AH44" s="914">
        <f>'Baseline data (from input)'!AS30*AG44</f>
        <v>3975.8309542811171</v>
      </c>
      <c r="AI44" s="908">
        <f>Parameters!S145</f>
        <v>0.71500000000000008</v>
      </c>
      <c r="AJ44" s="908">
        <f t="shared" si="17"/>
        <v>0.4</v>
      </c>
      <c r="AK44" s="906">
        <f t="shared" si="18"/>
        <v>568.54382646219983</v>
      </c>
      <c r="AL44" s="906">
        <f t="shared" si="19"/>
        <v>568.54382646219983</v>
      </c>
      <c r="AM44" s="286">
        <f t="shared" si="20"/>
        <v>0</v>
      </c>
      <c r="AN44" s="906">
        <f t="shared" si="21"/>
        <v>4576.3835941351545</v>
      </c>
      <c r="AO44" s="906">
        <f t="shared" si="22"/>
        <v>205.48633898802183</v>
      </c>
      <c r="AP44" s="1072">
        <f t="shared" si="23"/>
        <v>136.99089265868122</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136.99089265868122</v>
      </c>
      <c r="BD44" s="1080">
        <f t="shared" si="33"/>
        <v>0</v>
      </c>
      <c r="BE44" s="301">
        <f t="shared" si="34"/>
        <v>236.3039012349264</v>
      </c>
      <c r="BF44" s="104">
        <v>0</v>
      </c>
      <c r="BG44" s="302">
        <f t="shared" si="35"/>
        <v>236.3039012349264</v>
      </c>
      <c r="BI44" s="300">
        <f t="shared" si="36"/>
        <v>99.313008576245181</v>
      </c>
      <c r="BJ44" s="301">
        <f t="shared" si="37"/>
        <v>136.99089265868122</v>
      </c>
      <c r="BK44" s="1080">
        <f t="shared" si="38"/>
        <v>0</v>
      </c>
      <c r="BL44" s="301">
        <f t="shared" si="39"/>
        <v>236.3039012349264</v>
      </c>
      <c r="BM44" s="104">
        <v>0</v>
      </c>
      <c r="BN44" s="302">
        <f t="shared" si="40"/>
        <v>236.3039012349264</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48">
        <f t="shared" si="8"/>
        <v>0.13527885904981399</v>
      </c>
      <c r="X45" s="914">
        <f>'Baseline data (from input)'!AS31*W45</f>
        <v>4043.2391077160787</v>
      </c>
      <c r="Y45" s="908">
        <f>Parameters!S146</f>
        <v>0.71500000000000008</v>
      </c>
      <c r="Z45" s="908">
        <f t="shared" si="9"/>
        <v>0.4</v>
      </c>
      <c r="AA45" s="906">
        <f t="shared" si="10"/>
        <v>578.18319240339929</v>
      </c>
      <c r="AB45" s="906">
        <f t="shared" si="11"/>
        <v>578.18319240339929</v>
      </c>
      <c r="AC45" s="286">
        <f t="shared" si="12"/>
        <v>0</v>
      </c>
      <c r="AD45" s="906">
        <f t="shared" si="13"/>
        <v>4931.3739249470918</v>
      </c>
      <c r="AE45" s="906">
        <f t="shared" si="14"/>
        <v>223.1928615914623</v>
      </c>
      <c r="AF45" s="1072">
        <f t="shared" si="15"/>
        <v>148.79524106097486</v>
      </c>
      <c r="AG45" s="1448">
        <f t="shared" si="16"/>
        <v>0.13527885904981399</v>
      </c>
      <c r="AH45" s="914">
        <f>'Baseline data (from input)'!AS31*AG45</f>
        <v>4043.2391077160787</v>
      </c>
      <c r="AI45" s="908">
        <f>Parameters!S146</f>
        <v>0.71500000000000008</v>
      </c>
      <c r="AJ45" s="908">
        <f t="shared" si="17"/>
        <v>0.4</v>
      </c>
      <c r="AK45" s="906">
        <f t="shared" si="18"/>
        <v>578.18319240339929</v>
      </c>
      <c r="AL45" s="906">
        <f t="shared" si="19"/>
        <v>578.18319240339929</v>
      </c>
      <c r="AM45" s="286">
        <f t="shared" si="20"/>
        <v>0</v>
      </c>
      <c r="AN45" s="906">
        <f t="shared" si="21"/>
        <v>4931.3739249470918</v>
      </c>
      <c r="AO45" s="906">
        <f t="shared" si="22"/>
        <v>223.1928615914623</v>
      </c>
      <c r="AP45" s="1072">
        <f t="shared" si="23"/>
        <v>148.79524106097486</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148.79524106097486</v>
      </c>
      <c r="BD45" s="1080">
        <f t="shared" si="33"/>
        <v>0</v>
      </c>
      <c r="BE45" s="301">
        <f t="shared" si="34"/>
        <v>257.8368316947969</v>
      </c>
      <c r="BF45" s="104">
        <v>0</v>
      </c>
      <c r="BG45" s="302">
        <f t="shared" si="35"/>
        <v>257.8368316947969</v>
      </c>
      <c r="BI45" s="300">
        <f t="shared" si="36"/>
        <v>109.04159063382205</v>
      </c>
      <c r="BJ45" s="301">
        <f t="shared" si="37"/>
        <v>148.79524106097486</v>
      </c>
      <c r="BK45" s="1080">
        <f t="shared" si="38"/>
        <v>0</v>
      </c>
      <c r="BL45" s="301">
        <f t="shared" si="39"/>
        <v>257.8368316947969</v>
      </c>
      <c r="BM45" s="104">
        <v>0</v>
      </c>
      <c r="BN45" s="302">
        <f t="shared" si="40"/>
        <v>257.8368316947969</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48">
        <f t="shared" si="8"/>
        <v>0.13527885904981399</v>
      </c>
      <c r="X46" s="914">
        <f>'Baseline data (from input)'!AS32*W46</f>
        <v>4134.2081083134963</v>
      </c>
      <c r="Y46" s="908">
        <f>Parameters!S147</f>
        <v>0.71500000000000008</v>
      </c>
      <c r="Z46" s="908">
        <f t="shared" si="9"/>
        <v>0.4</v>
      </c>
      <c r="AA46" s="906">
        <f t="shared" si="10"/>
        <v>591.19175948883003</v>
      </c>
      <c r="AB46" s="906">
        <f t="shared" si="11"/>
        <v>591.19175948883003</v>
      </c>
      <c r="AC46" s="286">
        <f t="shared" si="12"/>
        <v>0</v>
      </c>
      <c r="AD46" s="906">
        <f t="shared" si="13"/>
        <v>5282.0597401140794</v>
      </c>
      <c r="AE46" s="906">
        <f t="shared" si="14"/>
        <v>240.50594432184241</v>
      </c>
      <c r="AF46" s="1072">
        <f t="shared" si="15"/>
        <v>160.3372962145616</v>
      </c>
      <c r="AG46" s="1448">
        <f t="shared" si="16"/>
        <v>0.13527885904981399</v>
      </c>
      <c r="AH46" s="914">
        <f>'Baseline data (from input)'!AS32*AG46</f>
        <v>4134.2081083134963</v>
      </c>
      <c r="AI46" s="908">
        <f>Parameters!S147</f>
        <v>0.71500000000000008</v>
      </c>
      <c r="AJ46" s="908">
        <f t="shared" si="17"/>
        <v>0.4</v>
      </c>
      <c r="AK46" s="906">
        <f t="shared" si="18"/>
        <v>591.19175948883003</v>
      </c>
      <c r="AL46" s="906">
        <f t="shared" si="19"/>
        <v>591.19175948883003</v>
      </c>
      <c r="AM46" s="286">
        <f t="shared" si="20"/>
        <v>0</v>
      </c>
      <c r="AN46" s="906">
        <f t="shared" si="21"/>
        <v>5282.0597401140794</v>
      </c>
      <c r="AO46" s="906">
        <f t="shared" si="22"/>
        <v>240.50594432184241</v>
      </c>
      <c r="AP46" s="1072">
        <f t="shared" si="23"/>
        <v>160.3372962145616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160.3372962145616</v>
      </c>
      <c r="BD46" s="1080">
        <f t="shared" si="33"/>
        <v>0</v>
      </c>
      <c r="BE46" s="301">
        <f t="shared" si="34"/>
        <v>278.95709330922989</v>
      </c>
      <c r="BF46" s="104">
        <v>0</v>
      </c>
      <c r="BG46" s="302">
        <f t="shared" si="35"/>
        <v>278.95709330922989</v>
      </c>
      <c r="BI46" s="300">
        <f t="shared" si="36"/>
        <v>118.6197970946683</v>
      </c>
      <c r="BJ46" s="301">
        <f t="shared" si="37"/>
        <v>160.3372962145616</v>
      </c>
      <c r="BK46" s="1080">
        <f t="shared" si="38"/>
        <v>0</v>
      </c>
      <c r="BL46" s="301">
        <f t="shared" si="39"/>
        <v>278.95709330922989</v>
      </c>
      <c r="BM46" s="104">
        <v>0</v>
      </c>
      <c r="BN46" s="302">
        <f t="shared" si="40"/>
        <v>278.95709330922989</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48">
        <f t="shared" si="8"/>
        <v>0.13527885904981399</v>
      </c>
      <c r="X47" s="914">
        <f>'Baseline data (from input)'!AS33*W47</f>
        <v>4130.3204009580104</v>
      </c>
      <c r="Y47" s="908">
        <f>Parameters!S148</f>
        <v>0.71500000000000008</v>
      </c>
      <c r="Z47" s="908">
        <f t="shared" si="9"/>
        <v>0.4</v>
      </c>
      <c r="AA47" s="906">
        <f t="shared" si="10"/>
        <v>590.63581733699561</v>
      </c>
      <c r="AB47" s="906">
        <f t="shared" si="11"/>
        <v>590.63581733699561</v>
      </c>
      <c r="AC47" s="286">
        <f t="shared" si="12"/>
        <v>0</v>
      </c>
      <c r="AD47" s="906">
        <f t="shared" si="13"/>
        <v>5615.0864641041026</v>
      </c>
      <c r="AE47" s="906">
        <f t="shared" si="14"/>
        <v>257.6090933469726</v>
      </c>
      <c r="AF47" s="1072">
        <f t="shared" si="15"/>
        <v>171.73939556464839</v>
      </c>
      <c r="AG47" s="1448">
        <f t="shared" si="16"/>
        <v>0.13527885904981399</v>
      </c>
      <c r="AH47" s="914">
        <f>'Baseline data (from input)'!AS33*AG47</f>
        <v>4130.3204009580104</v>
      </c>
      <c r="AI47" s="908">
        <f>Parameters!S148</f>
        <v>0.71500000000000008</v>
      </c>
      <c r="AJ47" s="908">
        <f t="shared" si="17"/>
        <v>0.4</v>
      </c>
      <c r="AK47" s="906">
        <f t="shared" si="18"/>
        <v>590.63581733699561</v>
      </c>
      <c r="AL47" s="906">
        <f t="shared" si="19"/>
        <v>590.63581733699561</v>
      </c>
      <c r="AM47" s="286">
        <f t="shared" si="20"/>
        <v>0</v>
      </c>
      <c r="AN47" s="906">
        <f t="shared" si="21"/>
        <v>5615.0864641041026</v>
      </c>
      <c r="AO47" s="906">
        <f t="shared" si="22"/>
        <v>257.6090933469726</v>
      </c>
      <c r="AP47" s="1072">
        <f t="shared" si="23"/>
        <v>171.73939556464839</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171.73939556464839</v>
      </c>
      <c r="BD47" s="1080">
        <f t="shared" si="33"/>
        <v>0</v>
      </c>
      <c r="BE47" s="301">
        <f t="shared" si="34"/>
        <v>299.7955622343278</v>
      </c>
      <c r="BF47" s="104">
        <v>0</v>
      </c>
      <c r="BG47" s="302">
        <f t="shared" si="35"/>
        <v>299.7955622343278</v>
      </c>
      <c r="BI47" s="300">
        <f t="shared" si="36"/>
        <v>128.05616666967944</v>
      </c>
      <c r="BJ47" s="301">
        <f t="shared" si="37"/>
        <v>171.73939556464839</v>
      </c>
      <c r="BK47" s="1080">
        <f t="shared" si="38"/>
        <v>0</v>
      </c>
      <c r="BL47" s="301">
        <f t="shared" si="39"/>
        <v>299.7955622343278</v>
      </c>
      <c r="BM47" s="104">
        <v>0</v>
      </c>
      <c r="BN47" s="302">
        <f t="shared" si="40"/>
        <v>299.7955622343278</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48">
        <f t="shared" si="8"/>
        <v>0.13527885904981399</v>
      </c>
      <c r="X48" s="914">
        <f>'Baseline data (from input)'!AS34*W48</f>
        <v>4254.8309318975771</v>
      </c>
      <c r="Y48" s="908">
        <f>Parameters!S149</f>
        <v>0.71500000000000008</v>
      </c>
      <c r="Z48" s="908">
        <f t="shared" si="9"/>
        <v>0.4</v>
      </c>
      <c r="AA48" s="906">
        <f t="shared" si="10"/>
        <v>608.44082326135356</v>
      </c>
      <c r="AB48" s="906">
        <f t="shared" si="11"/>
        <v>608.44082326135356</v>
      </c>
      <c r="AC48" s="286">
        <f t="shared" si="12"/>
        <v>0</v>
      </c>
      <c r="AD48" s="906">
        <f t="shared" si="13"/>
        <v>5949.6762890328482</v>
      </c>
      <c r="AE48" s="906">
        <f t="shared" si="14"/>
        <v>273.8509983326079</v>
      </c>
      <c r="AF48" s="1072">
        <f t="shared" si="15"/>
        <v>182.56733222173861</v>
      </c>
      <c r="AG48" s="1448">
        <f t="shared" si="16"/>
        <v>0.13527885904981399</v>
      </c>
      <c r="AH48" s="914">
        <f>'Baseline data (from input)'!AS34*AG48</f>
        <v>4254.8309318975771</v>
      </c>
      <c r="AI48" s="908">
        <f>Parameters!S149</f>
        <v>0.71500000000000008</v>
      </c>
      <c r="AJ48" s="908">
        <f t="shared" si="17"/>
        <v>0.4</v>
      </c>
      <c r="AK48" s="906">
        <f t="shared" si="18"/>
        <v>608.44082326135356</v>
      </c>
      <c r="AL48" s="906">
        <f t="shared" si="19"/>
        <v>608.44082326135356</v>
      </c>
      <c r="AM48" s="286">
        <f t="shared" si="20"/>
        <v>0</v>
      </c>
      <c r="AN48" s="906">
        <f t="shared" si="21"/>
        <v>5949.6762890328482</v>
      </c>
      <c r="AO48" s="906">
        <f t="shared" si="22"/>
        <v>273.8509983326079</v>
      </c>
      <c r="AP48" s="1072">
        <f t="shared" si="23"/>
        <v>182.56733222173861</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182.56733222173861</v>
      </c>
      <c r="BD48" s="1080">
        <f t="shared" si="33"/>
        <v>0</v>
      </c>
      <c r="BE48" s="301">
        <f t="shared" si="34"/>
        <v>319.92374424064138</v>
      </c>
      <c r="BF48" s="104">
        <v>0</v>
      </c>
      <c r="BG48" s="302">
        <f t="shared" si="35"/>
        <v>319.92374424064138</v>
      </c>
      <c r="BI48" s="300">
        <f t="shared" si="36"/>
        <v>137.35641201890277</v>
      </c>
      <c r="BJ48" s="301">
        <f t="shared" si="37"/>
        <v>182.56733222173861</v>
      </c>
      <c r="BK48" s="1080">
        <f t="shared" si="38"/>
        <v>0</v>
      </c>
      <c r="BL48" s="301">
        <f t="shared" si="39"/>
        <v>319.92374424064138</v>
      </c>
      <c r="BM48" s="104">
        <v>0</v>
      </c>
      <c r="BN48" s="302">
        <f t="shared" si="40"/>
        <v>319.92374424064138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48">
        <f t="shared" si="8"/>
        <v>0.13527885904981399</v>
      </c>
      <c r="X49" s="914">
        <f>'Baseline data (from input)'!AS35*W49</f>
        <v>4416.110460565309</v>
      </c>
      <c r="Y49" s="908">
        <f>Parameters!S150</f>
        <v>0.71500000000000008</v>
      </c>
      <c r="Z49" s="908">
        <f t="shared" si="9"/>
        <v>0.4</v>
      </c>
      <c r="AA49" s="906">
        <f t="shared" si="10"/>
        <v>631.50379586083932</v>
      </c>
      <c r="AB49" s="906">
        <f t="shared" si="11"/>
        <v>631.50379586083932</v>
      </c>
      <c r="AC49" s="286">
        <f t="shared" si="12"/>
        <v>0</v>
      </c>
      <c r="AD49" s="906">
        <f t="shared" si="13"/>
        <v>6291.0109482430989</v>
      </c>
      <c r="AE49" s="906">
        <f t="shared" si="14"/>
        <v>290.1691366505882</v>
      </c>
      <c r="AF49" s="1072">
        <f t="shared" si="15"/>
        <v>193.44609110039212</v>
      </c>
      <c r="AG49" s="1448">
        <f t="shared" si="16"/>
        <v>0.13527885904981399</v>
      </c>
      <c r="AH49" s="914">
        <f>'Baseline data (from input)'!AS35*AG49</f>
        <v>4416.110460565309</v>
      </c>
      <c r="AI49" s="908">
        <f>Parameters!S150</f>
        <v>0.71500000000000008</v>
      </c>
      <c r="AJ49" s="908">
        <f t="shared" si="17"/>
        <v>0.4</v>
      </c>
      <c r="AK49" s="906">
        <f t="shared" si="18"/>
        <v>631.50379586083932</v>
      </c>
      <c r="AL49" s="906">
        <f t="shared" si="19"/>
        <v>631.50379586083932</v>
      </c>
      <c r="AM49" s="286">
        <f t="shared" si="20"/>
        <v>0</v>
      </c>
      <c r="AN49" s="906">
        <f t="shared" si="21"/>
        <v>6291.0109482430989</v>
      </c>
      <c r="AO49" s="906">
        <f t="shared" si="22"/>
        <v>290.1691366505882</v>
      </c>
      <c r="AP49" s="1072">
        <f t="shared" si="23"/>
        <v>193.44609110039212</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193.44609110039212</v>
      </c>
      <c r="BD49" s="1080">
        <f t="shared" si="33"/>
        <v>0</v>
      </c>
      <c r="BE49" s="301">
        <f t="shared" si="34"/>
        <v>339.97988953532195</v>
      </c>
      <c r="BF49" s="104">
        <v>0</v>
      </c>
      <c r="BG49" s="302">
        <f t="shared" si="35"/>
        <v>339.97988953532195</v>
      </c>
      <c r="BI49" s="300">
        <f t="shared" si="36"/>
        <v>146.53379843492979</v>
      </c>
      <c r="BJ49" s="301">
        <f t="shared" si="37"/>
        <v>193.44609110039212</v>
      </c>
      <c r="BK49" s="1080">
        <f t="shared" si="38"/>
        <v>0</v>
      </c>
      <c r="BL49" s="301">
        <f t="shared" si="39"/>
        <v>339.97988953532195</v>
      </c>
      <c r="BM49" s="104">
        <v>0</v>
      </c>
      <c r="BN49" s="302">
        <f t="shared" si="40"/>
        <v>339.97988953532195</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48">
        <f t="shared" si="8"/>
        <v>0.13527885904981399</v>
      </c>
      <c r="X50" s="914">
        <f>'Baseline data (from input)'!AS36*W50</f>
        <v>4708.4828108779766</v>
      </c>
      <c r="Y50" s="908">
        <f>Parameters!S151</f>
        <v>0.71500000000000008</v>
      </c>
      <c r="Z50" s="908">
        <f t="shared" si="9"/>
        <v>0.4</v>
      </c>
      <c r="AA50" s="906">
        <f t="shared" si="10"/>
        <v>673.31304195555072</v>
      </c>
      <c r="AB50" s="906">
        <f t="shared" si="11"/>
        <v>673.31304195555072</v>
      </c>
      <c r="AC50" s="286">
        <f t="shared" si="12"/>
        <v>0</v>
      </c>
      <c r="AD50" s="906">
        <f t="shared" si="13"/>
        <v>6657.507765780525</v>
      </c>
      <c r="AE50" s="906">
        <f t="shared" si="14"/>
        <v>306.81622441812476</v>
      </c>
      <c r="AF50" s="1072">
        <f t="shared" si="15"/>
        <v>204.54414961208317</v>
      </c>
      <c r="AG50" s="1448">
        <f t="shared" si="16"/>
        <v>0.13527885904981399</v>
      </c>
      <c r="AH50" s="914">
        <f>'Baseline data (from input)'!AS36*AG50</f>
        <v>4708.4828108779766</v>
      </c>
      <c r="AI50" s="908">
        <f>Parameters!S151</f>
        <v>0.71500000000000008</v>
      </c>
      <c r="AJ50" s="908">
        <f t="shared" si="17"/>
        <v>0.4</v>
      </c>
      <c r="AK50" s="906">
        <f t="shared" si="18"/>
        <v>673.31304195555072</v>
      </c>
      <c r="AL50" s="906">
        <f t="shared" si="19"/>
        <v>673.31304195555072</v>
      </c>
      <c r="AM50" s="286">
        <f t="shared" si="20"/>
        <v>0</v>
      </c>
      <c r="AN50" s="906">
        <f t="shared" si="21"/>
        <v>6657.507765780525</v>
      </c>
      <c r="AO50" s="906">
        <f t="shared" si="22"/>
        <v>306.81622441812476</v>
      </c>
      <c r="AP50" s="1072">
        <f t="shared" si="23"/>
        <v>204.54414961208317</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204.54414961208317</v>
      </c>
      <c r="BD50" s="1080">
        <f t="shared" si="33"/>
        <v>0</v>
      </c>
      <c r="BE50" s="301">
        <f t="shared" si="34"/>
        <v>360.16075635100594</v>
      </c>
      <c r="BF50" s="104">
        <v>0</v>
      </c>
      <c r="BG50" s="302">
        <f t="shared" si="35"/>
        <v>360.16075635100594</v>
      </c>
      <c r="BI50" s="300">
        <f t="shared" si="36"/>
        <v>155.61660673892274</v>
      </c>
      <c r="BJ50" s="301">
        <f t="shared" si="37"/>
        <v>204.54414961208317</v>
      </c>
      <c r="BK50" s="1080">
        <f t="shared" si="38"/>
        <v>0</v>
      </c>
      <c r="BL50" s="301">
        <f t="shared" si="39"/>
        <v>360.16075635100594</v>
      </c>
      <c r="BM50" s="104">
        <v>0</v>
      </c>
      <c r="BN50" s="302">
        <f t="shared" si="40"/>
        <v>360.16075635100594</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48">
        <f t="shared" si="8"/>
        <v>0.13527885904981399</v>
      </c>
      <c r="X51" s="914">
        <f>'Baseline data (from input)'!AS37*W51</f>
        <v>4960.8922107878961</v>
      </c>
      <c r="Y51" s="908">
        <f>Parameters!S152</f>
        <v>0.71500000000000008</v>
      </c>
      <c r="Z51" s="908">
        <f t="shared" si="9"/>
        <v>0.4</v>
      </c>
      <c r="AA51" s="906">
        <f t="shared" si="10"/>
        <v>709.40758614266929</v>
      </c>
      <c r="AB51" s="906">
        <f t="shared" si="11"/>
        <v>709.40758614266929</v>
      </c>
      <c r="AC51" s="286">
        <f t="shared" si="12"/>
        <v>0</v>
      </c>
      <c r="AD51" s="906">
        <f t="shared" si="13"/>
        <v>7042.2248667951126</v>
      </c>
      <c r="AE51" s="906">
        <f t="shared" si="14"/>
        <v>324.69048512808183</v>
      </c>
      <c r="AF51" s="1072">
        <f t="shared" si="15"/>
        <v>216.46032341872123</v>
      </c>
      <c r="AG51" s="1448">
        <f t="shared" si="16"/>
        <v>0.13527885904981399</v>
      </c>
      <c r="AH51" s="914">
        <f>'Baseline data (from input)'!AS37*AG51</f>
        <v>4960.8922107878961</v>
      </c>
      <c r="AI51" s="908">
        <f>Parameters!S152</f>
        <v>0.71500000000000008</v>
      </c>
      <c r="AJ51" s="908">
        <f t="shared" si="17"/>
        <v>0.4</v>
      </c>
      <c r="AK51" s="906">
        <f t="shared" si="18"/>
        <v>709.40758614266929</v>
      </c>
      <c r="AL51" s="906">
        <f t="shared" si="19"/>
        <v>709.40758614266929</v>
      </c>
      <c r="AM51" s="286">
        <f t="shared" si="20"/>
        <v>0</v>
      </c>
      <c r="AN51" s="906">
        <f t="shared" si="21"/>
        <v>7042.2248667951126</v>
      </c>
      <c r="AO51" s="906">
        <f t="shared" si="22"/>
        <v>324.69048512808183</v>
      </c>
      <c r="AP51" s="1072">
        <f t="shared" si="23"/>
        <v>216.46032341872123</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216.46032341872123</v>
      </c>
      <c r="BD51" s="1080">
        <f t="shared" si="33"/>
        <v>0</v>
      </c>
      <c r="BE51" s="301">
        <f t="shared" si="34"/>
        <v>381.09929073785275</v>
      </c>
      <c r="BF51" s="104">
        <v>0</v>
      </c>
      <c r="BG51" s="302">
        <f t="shared" si="35"/>
        <v>381.09929073785275</v>
      </c>
      <c r="BI51" s="300">
        <f t="shared" si="36"/>
        <v>164.63896731913152</v>
      </c>
      <c r="BJ51" s="301">
        <f t="shared" si="37"/>
        <v>216.46032341872123</v>
      </c>
      <c r="BK51" s="1080">
        <f t="shared" si="38"/>
        <v>0</v>
      </c>
      <c r="BL51" s="301">
        <f t="shared" si="39"/>
        <v>381.09929073785275</v>
      </c>
      <c r="BM51" s="104">
        <v>0</v>
      </c>
      <c r="BN51" s="302">
        <f t="shared" si="40"/>
        <v>381.09929073785275</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48">
        <f t="shared" si="8"/>
        <v>0.13527885904981399</v>
      </c>
      <c r="X52" s="914">
        <f>'Baseline data (from input)'!AS38*W52</f>
        <v>4941.8726079916951</v>
      </c>
      <c r="Y52" s="908">
        <f>Parameters!S153</f>
        <v>0.71500000000000008</v>
      </c>
      <c r="Z52" s="908">
        <f t="shared" si="9"/>
        <v>0.4</v>
      </c>
      <c r="AA52" s="906">
        <f t="shared" si="10"/>
        <v>706.68778294281242</v>
      </c>
      <c r="AB52" s="906">
        <f t="shared" si="11"/>
        <v>706.68778294281242</v>
      </c>
      <c r="AC52" s="286">
        <f t="shared" si="12"/>
        <v>0</v>
      </c>
      <c r="AD52" s="906">
        <f t="shared" si="13"/>
        <v>7405.4592901889446</v>
      </c>
      <c r="AE52" s="906">
        <f t="shared" si="14"/>
        <v>343.45335954898025</v>
      </c>
      <c r="AF52" s="1072">
        <f t="shared" si="15"/>
        <v>228.96890636598684</v>
      </c>
      <c r="AG52" s="1448">
        <f t="shared" si="16"/>
        <v>0.13527885904981399</v>
      </c>
      <c r="AH52" s="914">
        <f>'Baseline data (from input)'!AS38*AG52</f>
        <v>4941.8726079916951</v>
      </c>
      <c r="AI52" s="908">
        <f>Parameters!S153</f>
        <v>0.71500000000000008</v>
      </c>
      <c r="AJ52" s="908">
        <f t="shared" si="17"/>
        <v>0.4</v>
      </c>
      <c r="AK52" s="906">
        <f t="shared" si="18"/>
        <v>706.68778294281242</v>
      </c>
      <c r="AL52" s="906">
        <f t="shared" si="19"/>
        <v>706.68778294281242</v>
      </c>
      <c r="AM52" s="286">
        <f t="shared" si="20"/>
        <v>0</v>
      </c>
      <c r="AN52" s="906">
        <f t="shared" si="21"/>
        <v>7405.4592901889446</v>
      </c>
      <c r="AO52" s="906">
        <f t="shared" si="22"/>
        <v>343.45335954898025</v>
      </c>
      <c r="AP52" s="1072">
        <f t="shared" si="23"/>
        <v>228.96890636598684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228.96890636598684</v>
      </c>
      <c r="BD52" s="1080">
        <f t="shared" si="33"/>
        <v>0</v>
      </c>
      <c r="BE52" s="301">
        <f t="shared" si="34"/>
        <v>402.59924035486131</v>
      </c>
      <c r="BF52" s="104">
        <v>0</v>
      </c>
      <c r="BG52" s="302">
        <f t="shared" si="35"/>
        <v>402.59924035486131</v>
      </c>
      <c r="BI52" s="300">
        <f t="shared" si="36"/>
        <v>173.63033398887444</v>
      </c>
      <c r="BJ52" s="301">
        <f t="shared" si="37"/>
        <v>228.96890636598684</v>
      </c>
      <c r="BK52" s="1080">
        <f t="shared" si="38"/>
        <v>0</v>
      </c>
      <c r="BL52" s="301">
        <f t="shared" si="39"/>
        <v>402.59924035486131</v>
      </c>
      <c r="BM52" s="104">
        <v>0</v>
      </c>
      <c r="BN52" s="302">
        <f t="shared" si="40"/>
        <v>402.59924035486131</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48">
        <f t="shared" si="8"/>
        <v>0.13527885904981399</v>
      </c>
      <c r="X53" s="914">
        <f>'Baseline data (from input)'!AS39*W53</f>
        <v>4850.6187322884489</v>
      </c>
      <c r="Y53" s="908">
        <f>Parameters!S154</f>
        <v>0.71500000000000008</v>
      </c>
      <c r="Z53" s="908">
        <f t="shared" si="9"/>
        <v>0.4</v>
      </c>
      <c r="AA53" s="906">
        <f t="shared" si="10"/>
        <v>693.63847871724829</v>
      </c>
      <c r="AB53" s="906">
        <f t="shared" si="11"/>
        <v>693.63847871724829</v>
      </c>
      <c r="AC53" s="286">
        <f t="shared" si="12"/>
        <v>0</v>
      </c>
      <c r="AD53" s="906">
        <f t="shared" si="13"/>
        <v>7737.9292574871442</v>
      </c>
      <c r="AE53" s="906">
        <f t="shared" si="14"/>
        <v>361.16851141904874</v>
      </c>
      <c r="AF53" s="1072">
        <f t="shared" si="15"/>
        <v>240.77900761269916</v>
      </c>
      <c r="AG53" s="1448">
        <f t="shared" si="16"/>
        <v>0.13527885904981399</v>
      </c>
      <c r="AH53" s="914">
        <f>'Baseline data (from input)'!AS39*AG53</f>
        <v>4850.6187322884489</v>
      </c>
      <c r="AI53" s="908">
        <f>Parameters!S154</f>
        <v>0.71500000000000008</v>
      </c>
      <c r="AJ53" s="908">
        <f t="shared" si="17"/>
        <v>0.4</v>
      </c>
      <c r="AK53" s="906">
        <f t="shared" si="18"/>
        <v>693.63847871724829</v>
      </c>
      <c r="AL53" s="906">
        <f t="shared" si="19"/>
        <v>693.63847871724829</v>
      </c>
      <c r="AM53" s="286">
        <f t="shared" si="20"/>
        <v>0</v>
      </c>
      <c r="AN53" s="906">
        <f t="shared" si="21"/>
        <v>7737.9292574871442</v>
      </c>
      <c r="AO53" s="906">
        <f t="shared" si="22"/>
        <v>361.16851141904874</v>
      </c>
      <c r="AP53" s="1072">
        <f t="shared" si="23"/>
        <v>240.77900761269916</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240.77900761269916</v>
      </c>
      <c r="BD53" s="1080">
        <f t="shared" si="33"/>
        <v>0</v>
      </c>
      <c r="BE53" s="301">
        <f t="shared" si="34"/>
        <v>423.39411727523702</v>
      </c>
      <c r="BF53" s="104">
        <v>0</v>
      </c>
      <c r="BG53" s="302">
        <f t="shared" si="35"/>
        <v>423.39411727523702</v>
      </c>
      <c r="BI53" s="300">
        <f t="shared" si="36"/>
        <v>182.61510966253783</v>
      </c>
      <c r="BJ53" s="301">
        <f t="shared" si="37"/>
        <v>240.77900761269916</v>
      </c>
      <c r="BK53" s="1080">
        <f t="shared" si="38"/>
        <v>0</v>
      </c>
      <c r="BL53" s="301">
        <f t="shared" si="39"/>
        <v>423.39411727523702</v>
      </c>
      <c r="BM53" s="104">
        <v>0</v>
      </c>
      <c r="BN53" s="302">
        <f t="shared" si="40"/>
        <v>423.39411727523702</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48">
        <f t="shared" si="8"/>
        <v>0.13527885904981399</v>
      </c>
      <c r="X54" s="914">
        <f>'Baseline data (from input)'!AS40*W54</f>
        <v>5097.9573552938209</v>
      </c>
      <c r="Y54" s="908">
        <f>Parameters!S155</f>
        <v>0.71500000000000008</v>
      </c>
      <c r="Z54" s="908">
        <f t="shared" si="9"/>
        <v>0.4</v>
      </c>
      <c r="AA54" s="906">
        <f t="shared" si="10"/>
        <v>729.00790180701654</v>
      </c>
      <c r="AB54" s="906">
        <f t="shared" si="11"/>
        <v>729.00790180701654</v>
      </c>
      <c r="AC54" s="286">
        <f t="shared" si="12"/>
        <v>0</v>
      </c>
      <c r="AD54" s="906">
        <f t="shared" si="13"/>
        <v>8089.5538962337496</v>
      </c>
      <c r="AE54" s="906">
        <f t="shared" si="14"/>
        <v>377.38326306041068</v>
      </c>
      <c r="AF54" s="1072">
        <f t="shared" si="15"/>
        <v>251.58884204027379</v>
      </c>
      <c r="AG54" s="1448">
        <f t="shared" si="16"/>
        <v>0.13527885904981399</v>
      </c>
      <c r="AH54" s="914">
        <f>'Baseline data (from input)'!AS40*AG54</f>
        <v>5097.9573552938209</v>
      </c>
      <c r="AI54" s="908">
        <f>Parameters!S155</f>
        <v>0.71500000000000008</v>
      </c>
      <c r="AJ54" s="908">
        <f t="shared" si="17"/>
        <v>0.4</v>
      </c>
      <c r="AK54" s="906">
        <f t="shared" si="18"/>
        <v>729.00790180701654</v>
      </c>
      <c r="AL54" s="906">
        <f t="shared" si="19"/>
        <v>729.00790180701654</v>
      </c>
      <c r="AM54" s="286">
        <f t="shared" si="20"/>
        <v>0</v>
      </c>
      <c r="AN54" s="906">
        <f t="shared" si="21"/>
        <v>8089.5538962337496</v>
      </c>
      <c r="AO54" s="906">
        <f t="shared" si="22"/>
        <v>377.38326306041068</v>
      </c>
      <c r="AP54" s="1072">
        <f t="shared" si="23"/>
        <v>251.58884204027379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251.58884204027379</v>
      </c>
      <c r="BD54" s="1080">
        <f t="shared" si="33"/>
        <v>0</v>
      </c>
      <c r="BE54" s="301">
        <f t="shared" si="34"/>
        <v>443.20354194085053</v>
      </c>
      <c r="BF54" s="104">
        <v>0</v>
      </c>
      <c r="BG54" s="302">
        <f t="shared" si="35"/>
        <v>443.20354194085053</v>
      </c>
      <c r="BI54" s="300">
        <f t="shared" si="36"/>
        <v>191.61469990057671</v>
      </c>
      <c r="BJ54" s="301">
        <f t="shared" si="37"/>
        <v>251.58884204027379</v>
      </c>
      <c r="BK54" s="1080">
        <f t="shared" si="38"/>
        <v>0</v>
      </c>
      <c r="BL54" s="301">
        <f t="shared" si="39"/>
        <v>443.20354194085053</v>
      </c>
      <c r="BM54" s="104">
        <v>0</v>
      </c>
      <c r="BN54" s="302">
        <f t="shared" si="40"/>
        <v>443.20354194085053</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48">
        <f t="shared" si="8"/>
        <v>0.13527885904981399</v>
      </c>
      <c r="X55" s="914">
        <f>'Baseline data (from input)'!AS41*W55</f>
        <v>5036.1964319328727</v>
      </c>
      <c r="Y55" s="908">
        <f>Parameters!S156</f>
        <v>0.71500000000000008</v>
      </c>
      <c r="Z55" s="908">
        <f t="shared" si="9"/>
        <v>0.4</v>
      </c>
      <c r="AA55" s="906">
        <f t="shared" si="10"/>
        <v>720.17608976640088</v>
      </c>
      <c r="AB55" s="906">
        <f t="shared" si="11"/>
        <v>720.17608976640088</v>
      </c>
      <c r="AC55" s="286">
        <f t="shared" si="12"/>
        <v>0</v>
      </c>
      <c r="AD55" s="906">
        <f t="shared" si="13"/>
        <v>8415.1977869483399</v>
      </c>
      <c r="AE55" s="906">
        <f t="shared" si="14"/>
        <v>394.53219905181118</v>
      </c>
      <c r="AF55" s="1072">
        <f t="shared" si="15"/>
        <v>263.02146603454077</v>
      </c>
      <c r="AG55" s="1448">
        <f t="shared" si="16"/>
        <v>0.13527885904981399</v>
      </c>
      <c r="AH55" s="914">
        <f>'Baseline data (from input)'!AS41*AG55</f>
        <v>5036.1964319328727</v>
      </c>
      <c r="AI55" s="908">
        <f>Parameters!S156</f>
        <v>0.71500000000000008</v>
      </c>
      <c r="AJ55" s="908">
        <f t="shared" si="17"/>
        <v>0.4</v>
      </c>
      <c r="AK55" s="906">
        <f t="shared" si="18"/>
        <v>720.17608976640088</v>
      </c>
      <c r="AL55" s="906">
        <f t="shared" si="19"/>
        <v>720.17608976640088</v>
      </c>
      <c r="AM55" s="286">
        <f t="shared" si="20"/>
        <v>0</v>
      </c>
      <c r="AN55" s="906">
        <f t="shared" si="21"/>
        <v>8415.1977869483399</v>
      </c>
      <c r="AO55" s="906">
        <f t="shared" si="22"/>
        <v>394.53219905181118</v>
      </c>
      <c r="AP55" s="1072">
        <f t="shared" si="23"/>
        <v>263.02146603454077</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263.02146603454077</v>
      </c>
      <c r="BD55" s="1080">
        <f t="shared" si="33"/>
        <v>0</v>
      </c>
      <c r="BE55" s="301">
        <f t="shared" si="34"/>
        <v>463.66731791697907</v>
      </c>
      <c r="BF55" s="104">
        <v>0</v>
      </c>
      <c r="BG55" s="302">
        <f t="shared" si="35"/>
        <v>463.66731791697907</v>
      </c>
      <c r="BI55" s="300">
        <f t="shared" si="36"/>
        <v>200.64585188243828</v>
      </c>
      <c r="BJ55" s="301">
        <f t="shared" si="37"/>
        <v>263.02146603454077</v>
      </c>
      <c r="BK55" s="1080">
        <f t="shared" si="38"/>
        <v>0</v>
      </c>
      <c r="BL55" s="301">
        <f t="shared" si="39"/>
        <v>463.66731791697907</v>
      </c>
      <c r="BM55" s="104">
        <v>0</v>
      </c>
      <c r="BN55" s="302">
        <f t="shared" si="40"/>
        <v>463.66731791697907</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48">
        <f t="shared" si="8"/>
        <v>0.13527885904981399</v>
      </c>
      <c r="X56" s="914">
        <f>'Baseline data (from input)'!AS42*W56</f>
        <v>5037.0946263861515</v>
      </c>
      <c r="Y56" s="908">
        <f>Parameters!S157</f>
        <v>0.71500000000000008</v>
      </c>
      <c r="Z56" s="908">
        <f t="shared" si="9"/>
        <v>0.4</v>
      </c>
      <c r="AA56" s="906">
        <f t="shared" si="10"/>
        <v>720.30453157321972</v>
      </c>
      <c r="AB56" s="906">
        <f t="shared" si="11"/>
        <v>720.30453157321972</v>
      </c>
      <c r="AC56" s="286">
        <f t="shared" si="12"/>
        <v>0</v>
      </c>
      <c r="AD56" s="906">
        <f t="shared" si="13"/>
        <v>8725.0882795117723</v>
      </c>
      <c r="AE56" s="906">
        <f t="shared" si="14"/>
        <v>410.41403900978833</v>
      </c>
      <c r="AF56" s="1072">
        <f t="shared" si="15"/>
        <v>273.60935933985888</v>
      </c>
      <c r="AG56" s="1448">
        <f t="shared" si="16"/>
        <v>0.13527885904981399</v>
      </c>
      <c r="AH56" s="914">
        <f>'Baseline data (from input)'!AS42*AG56</f>
        <v>5037.0946263861515</v>
      </c>
      <c r="AI56" s="908">
        <f>Parameters!S157</f>
        <v>0.71500000000000008</v>
      </c>
      <c r="AJ56" s="908">
        <f t="shared" si="17"/>
        <v>0.4</v>
      </c>
      <c r="AK56" s="906">
        <f t="shared" si="18"/>
        <v>720.30453157321972</v>
      </c>
      <c r="AL56" s="906">
        <f t="shared" si="19"/>
        <v>720.30453157321972</v>
      </c>
      <c r="AM56" s="286">
        <f t="shared" si="20"/>
        <v>0</v>
      </c>
      <c r="AN56" s="906">
        <f t="shared" si="21"/>
        <v>8725.0882795117723</v>
      </c>
      <c r="AO56" s="906">
        <f t="shared" si="22"/>
        <v>410.41403900978833</v>
      </c>
      <c r="AP56" s="1072">
        <f t="shared" si="23"/>
        <v>273.60935933985888</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273.60935933985888</v>
      </c>
      <c r="BD56" s="1080">
        <f t="shared" si="33"/>
        <v>0</v>
      </c>
      <c r="BE56" s="301">
        <f t="shared" si="34"/>
        <v>483.32963853509216</v>
      </c>
      <c r="BF56" s="104">
        <v>0</v>
      </c>
      <c r="BG56" s="302">
        <f t="shared" si="35"/>
        <v>483.32963853509216</v>
      </c>
      <c r="BI56" s="300">
        <f t="shared" si="36"/>
        <v>209.7202791952333</v>
      </c>
      <c r="BJ56" s="301">
        <f t="shared" si="37"/>
        <v>273.60935933985888</v>
      </c>
      <c r="BK56" s="1080">
        <f t="shared" si="38"/>
        <v>0</v>
      </c>
      <c r="BL56" s="301">
        <f t="shared" si="39"/>
        <v>483.32963853509216</v>
      </c>
      <c r="BM56" s="104">
        <v>0</v>
      </c>
      <c r="BN56" s="302">
        <f t="shared" si="40"/>
        <v>483.32963853509216</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48">
        <f t="shared" si="8"/>
        <v>0.13527885904981399</v>
      </c>
      <c r="X57" s="914">
        <f>'Baseline data (from input)'!AS43*W57</f>
        <v>5142.9106473177444</v>
      </c>
      <c r="Y57" s="908">
        <f>Parameters!S158</f>
        <v>0.71500000000000008</v>
      </c>
      <c r="Z57" s="908">
        <f t="shared" si="9"/>
        <v>0.4</v>
      </c>
      <c r="AA57" s="906">
        <f t="shared" si="10"/>
        <v>735.43622256643755</v>
      </c>
      <c r="AB57" s="906">
        <f t="shared" si="11"/>
        <v>735.43622256643755</v>
      </c>
      <c r="AC57" s="286">
        <f t="shared" si="12"/>
        <v>0</v>
      </c>
      <c r="AD57" s="906">
        <f t="shared" si="13"/>
        <v>9034.9969254043444</v>
      </c>
      <c r="AE57" s="906">
        <f t="shared" si="14"/>
        <v>425.52757667386413</v>
      </c>
      <c r="AF57" s="1072">
        <f t="shared" si="15"/>
        <v>283.6850511159094</v>
      </c>
      <c r="AG57" s="1448">
        <f t="shared" si="16"/>
        <v>0.13527885904981399</v>
      </c>
      <c r="AH57" s="914">
        <f>'Baseline data (from input)'!AS43*AG57</f>
        <v>5142.9106473177444</v>
      </c>
      <c r="AI57" s="908">
        <f>Parameters!S158</f>
        <v>0.71500000000000008</v>
      </c>
      <c r="AJ57" s="908">
        <f t="shared" si="17"/>
        <v>0.4</v>
      </c>
      <c r="AK57" s="906">
        <f t="shared" si="18"/>
        <v>735.43622256643755</v>
      </c>
      <c r="AL57" s="906">
        <f t="shared" si="19"/>
        <v>735.43622256643755</v>
      </c>
      <c r="AM57" s="286">
        <f t="shared" si="20"/>
        <v>0</v>
      </c>
      <c r="AN57" s="906">
        <f t="shared" si="21"/>
        <v>9034.9969254043444</v>
      </c>
      <c r="AO57" s="906">
        <f t="shared" si="22"/>
        <v>425.52757667386413</v>
      </c>
      <c r="AP57" s="1072">
        <f t="shared" si="23"/>
        <v>283.6850511159094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283.6850511159094</v>
      </c>
      <c r="BD57" s="1080">
        <f t="shared" si="33"/>
        <v>0</v>
      </c>
      <c r="BE57" s="301">
        <f t="shared" si="34"/>
        <v>502.52694642458613</v>
      </c>
      <c r="BF57" s="104">
        <v>0</v>
      </c>
      <c r="BG57" s="302">
        <f t="shared" si="35"/>
        <v>502.52694642458613</v>
      </c>
      <c r="BI57" s="300">
        <f t="shared" si="36"/>
        <v>218.84189530867673</v>
      </c>
      <c r="BJ57" s="301">
        <f t="shared" si="37"/>
        <v>283.6850511159094</v>
      </c>
      <c r="BK57" s="1080">
        <f t="shared" si="38"/>
        <v>0</v>
      </c>
      <c r="BL57" s="301">
        <f t="shared" si="39"/>
        <v>502.52694642458613</v>
      </c>
      <c r="BM57" s="104">
        <v>0</v>
      </c>
      <c r="BN57" s="302">
        <f t="shared" si="40"/>
        <v>502.52694642458613</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48">
        <f t="shared" si="8"/>
        <v>0.13527885904981399</v>
      </c>
      <c r="X58" s="914">
        <f>'Baseline data (from input)'!AS44*W58</f>
        <v>5358.9197113817227</v>
      </c>
      <c r="Y58" s="908">
        <f>Parameters!S159</f>
        <v>0.71500000000000008</v>
      </c>
      <c r="Z58" s="908">
        <f t="shared" si="9"/>
        <v>0.4</v>
      </c>
      <c r="AA58" s="906">
        <f t="shared" si="10"/>
        <v>766.32551872758643</v>
      </c>
      <c r="AB58" s="906">
        <f t="shared" si="11"/>
        <v>766.32551872758643</v>
      </c>
      <c r="AC58" s="286">
        <f t="shared" si="12"/>
        <v>0</v>
      </c>
      <c r="AD58" s="906">
        <f t="shared" si="13"/>
        <v>9360.6804444456811</v>
      </c>
      <c r="AE58" s="906">
        <f t="shared" si="14"/>
        <v>440.64199968624933</v>
      </c>
      <c r="AF58" s="1072">
        <f t="shared" si="15"/>
        <v>293.76133312416624</v>
      </c>
      <c r="AG58" s="1448">
        <f t="shared" si="16"/>
        <v>0.13527885904981399</v>
      </c>
      <c r="AH58" s="914">
        <f>'Baseline data (from input)'!AS44*AG58</f>
        <v>5358.9197113817227</v>
      </c>
      <c r="AI58" s="908">
        <f>Parameters!S159</f>
        <v>0.71500000000000008</v>
      </c>
      <c r="AJ58" s="908">
        <f t="shared" si="17"/>
        <v>0.4</v>
      </c>
      <c r="AK58" s="906">
        <f t="shared" si="18"/>
        <v>766.32551872758643</v>
      </c>
      <c r="AL58" s="906">
        <f t="shared" si="19"/>
        <v>766.32551872758643</v>
      </c>
      <c r="AM58" s="286">
        <f t="shared" si="20"/>
        <v>0</v>
      </c>
      <c r="AN58" s="906">
        <f t="shared" si="21"/>
        <v>9360.6804444456811</v>
      </c>
      <c r="AO58" s="906">
        <f t="shared" si="22"/>
        <v>440.64199968624933</v>
      </c>
      <c r="AP58" s="1072">
        <f t="shared" si="23"/>
        <v>293.76133312416624</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293.76133312416624</v>
      </c>
      <c r="BD58" s="1080">
        <f t="shared" si="33"/>
        <v>0</v>
      </c>
      <c r="BE58" s="301">
        <f t="shared" si="34"/>
        <v>521.76912951871907</v>
      </c>
      <c r="BF58" s="104">
        <v>0</v>
      </c>
      <c r="BG58" s="302">
        <f t="shared" si="35"/>
        <v>521.76912951871907</v>
      </c>
      <c r="BI58" s="300">
        <f t="shared" si="36"/>
        <v>228.00779639455286</v>
      </c>
      <c r="BJ58" s="301">
        <f t="shared" si="37"/>
        <v>293.76133312416624</v>
      </c>
      <c r="BK58" s="1080">
        <f t="shared" si="38"/>
        <v>0</v>
      </c>
      <c r="BL58" s="301">
        <f t="shared" si="39"/>
        <v>521.76912951871907</v>
      </c>
      <c r="BM58" s="104">
        <v>0</v>
      </c>
      <c r="BN58" s="302">
        <f t="shared" si="40"/>
        <v>521.76912951871907</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48">
        <f t="shared" si="8"/>
        <v>0.13527885904981399</v>
      </c>
      <c r="X59" s="914">
        <f>'Baseline data (from input)'!AS45*W59</f>
        <v>5487.2542717234219</v>
      </c>
      <c r="Y59" s="908">
        <f>Parameters!S160</f>
        <v>0.71500000000000008</v>
      </c>
      <c r="Z59" s="908">
        <f t="shared" si="9"/>
        <v>0.4</v>
      </c>
      <c r="AA59" s="906">
        <f t="shared" si="10"/>
        <v>784.67736085644935</v>
      </c>
      <c r="AB59" s="906">
        <f t="shared" si="11"/>
        <v>784.67736085644935</v>
      </c>
      <c r="AC59" s="286">
        <f t="shared" si="12"/>
        <v>0</v>
      </c>
      <c r="AD59" s="906">
        <f t="shared" si="13"/>
        <v>9688.8320329616017</v>
      </c>
      <c r="AE59" s="906">
        <f t="shared" si="14"/>
        <v>456.52577234052796</v>
      </c>
      <c r="AF59" s="1072">
        <f t="shared" si="15"/>
        <v>304.35051489368533</v>
      </c>
      <c r="AG59" s="1448">
        <f t="shared" si="16"/>
        <v>0.13527885904981399</v>
      </c>
      <c r="AH59" s="914">
        <f>'Baseline data (from input)'!AS45*AG59</f>
        <v>5487.2542717234219</v>
      </c>
      <c r="AI59" s="908">
        <f>Parameters!S160</f>
        <v>0.71500000000000008</v>
      </c>
      <c r="AJ59" s="908">
        <f t="shared" si="17"/>
        <v>0.4</v>
      </c>
      <c r="AK59" s="906">
        <f t="shared" si="18"/>
        <v>784.67736085644935</v>
      </c>
      <c r="AL59" s="906">
        <f t="shared" si="19"/>
        <v>784.67736085644935</v>
      </c>
      <c r="AM59" s="286">
        <f t="shared" si="20"/>
        <v>0</v>
      </c>
      <c r="AN59" s="906">
        <f t="shared" si="21"/>
        <v>9688.8320329616017</v>
      </c>
      <c r="AO59" s="906">
        <f t="shared" si="22"/>
        <v>456.52577234052796</v>
      </c>
      <c r="AP59" s="1072">
        <f t="shared" si="23"/>
        <v>304.35051489368533</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304.35051489368533</v>
      </c>
      <c r="BD59" s="1080">
        <f t="shared" si="33"/>
        <v>0</v>
      </c>
      <c r="BE59" s="301">
        <f t="shared" si="34"/>
        <v>541.55609668768943</v>
      </c>
      <c r="BF59" s="104">
        <v>0</v>
      </c>
      <c r="BG59" s="302">
        <f t="shared" si="35"/>
        <v>541.55609668768943</v>
      </c>
      <c r="BI59" s="300">
        <f t="shared" si="36"/>
        <v>237.20558179400405</v>
      </c>
      <c r="BJ59" s="301">
        <f t="shared" si="37"/>
        <v>304.35051489368533</v>
      </c>
      <c r="BK59" s="1080">
        <f t="shared" si="38"/>
        <v>0</v>
      </c>
      <c r="BL59" s="301">
        <f t="shared" si="39"/>
        <v>541.55609668768943</v>
      </c>
      <c r="BM59" s="104">
        <v>0</v>
      </c>
      <c r="BN59" s="302">
        <f t="shared" si="40"/>
        <v>541.55609668768943</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48">
        <f t="shared" si="8"/>
        <v>0.13527885904981399</v>
      </c>
      <c r="X60" s="914">
        <f>'Baseline data (from input)'!AS46*W60</f>
        <v>5469.8165636421863</v>
      </c>
      <c r="Y60" s="908">
        <f>Parameters!S161</f>
        <v>0.71500000000000008</v>
      </c>
      <c r="Z60" s="908">
        <f t="shared" si="9"/>
        <v>0.4</v>
      </c>
      <c r="AA60" s="906">
        <f t="shared" si="10"/>
        <v>782.18376860083276</v>
      </c>
      <c r="AB60" s="906">
        <f t="shared" si="11"/>
        <v>782.18376860083276</v>
      </c>
      <c r="AC60" s="286">
        <f t="shared" si="12"/>
        <v>0</v>
      </c>
      <c r="AD60" s="906">
        <f t="shared" si="13"/>
        <v>9998.4858873989797</v>
      </c>
      <c r="AE60" s="906">
        <f t="shared" si="14"/>
        <v>472.52991416345429</v>
      </c>
      <c r="AF60" s="1072">
        <f t="shared" si="15"/>
        <v>315.0199427756362</v>
      </c>
      <c r="AG60" s="1448">
        <f t="shared" si="16"/>
        <v>0.13527885904981399</v>
      </c>
      <c r="AH60" s="914">
        <f>'Baseline data (from input)'!AS46*AG60</f>
        <v>5469.8165636421863</v>
      </c>
      <c r="AI60" s="908">
        <f>Parameters!S161</f>
        <v>0.71500000000000008</v>
      </c>
      <c r="AJ60" s="908">
        <f t="shared" si="17"/>
        <v>0.4</v>
      </c>
      <c r="AK60" s="906">
        <f t="shared" si="18"/>
        <v>782.18376860083276</v>
      </c>
      <c r="AL60" s="906">
        <f t="shared" si="19"/>
        <v>782.18376860083276</v>
      </c>
      <c r="AM60" s="286">
        <f t="shared" si="20"/>
        <v>0</v>
      </c>
      <c r="AN60" s="906">
        <f t="shared" si="21"/>
        <v>9998.4858873989797</v>
      </c>
      <c r="AO60" s="906">
        <f t="shared" si="22"/>
        <v>472.52991416345429</v>
      </c>
      <c r="AP60" s="1072">
        <f t="shared" si="23"/>
        <v>315.0199427756362</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315.0199427756362</v>
      </c>
      <c r="BD60" s="1080">
        <f t="shared" si="33"/>
        <v>0</v>
      </c>
      <c r="BE60" s="301">
        <f t="shared" si="34"/>
        <v>561.43436236231378</v>
      </c>
      <c r="BF60" s="104">
        <v>0</v>
      </c>
      <c r="BG60" s="302">
        <f t="shared" si="35"/>
        <v>561.43436236231378</v>
      </c>
      <c r="BI60" s="300">
        <f t="shared" si="36"/>
        <v>246.41441958667755</v>
      </c>
      <c r="BJ60" s="301">
        <f t="shared" si="37"/>
        <v>315.0199427756362</v>
      </c>
      <c r="BK60" s="1080">
        <f t="shared" si="38"/>
        <v>0</v>
      </c>
      <c r="BL60" s="301">
        <f t="shared" si="39"/>
        <v>561.43436236231378</v>
      </c>
      <c r="BM60" s="104">
        <v>0</v>
      </c>
      <c r="BN60" s="302">
        <f t="shared" si="40"/>
        <v>561.43436236231378</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48">
        <f t="shared" si="8"/>
        <v>0.13527885904981399</v>
      </c>
      <c r="X61" s="914">
        <f>'Baseline data (from input)'!AS47*W61</f>
        <v>5414.1218043745357</v>
      </c>
      <c r="Y61" s="908">
        <f>Parameters!S162</f>
        <v>0.71500000000000008</v>
      </c>
      <c r="Z61" s="908">
        <f t="shared" si="9"/>
        <v>0.4</v>
      </c>
      <c r="AA61" s="906">
        <f t="shared" si="10"/>
        <v>774.21941802555864</v>
      </c>
      <c r="AB61" s="906">
        <f t="shared" si="11"/>
        <v>774.21941802555864</v>
      </c>
      <c r="AC61" s="286">
        <f t="shared" si="12"/>
        <v>0</v>
      </c>
      <c r="AD61" s="906">
        <f t="shared" si="13"/>
        <v>10285.073394574601</v>
      </c>
      <c r="AE61" s="906">
        <f t="shared" si="14"/>
        <v>487.63191084993736</v>
      </c>
      <c r="AF61" s="1072">
        <f t="shared" si="15"/>
        <v>325.08794056662492</v>
      </c>
      <c r="AG61" s="1448">
        <f t="shared" si="16"/>
        <v>0.13527885904981399</v>
      </c>
      <c r="AH61" s="914">
        <f>'Baseline data (from input)'!AS47*AG61</f>
        <v>5414.1218043745357</v>
      </c>
      <c r="AI61" s="908">
        <f>Parameters!S162</f>
        <v>0.71500000000000008</v>
      </c>
      <c r="AJ61" s="908">
        <f t="shared" si="17"/>
        <v>0.4</v>
      </c>
      <c r="AK61" s="906">
        <f t="shared" si="18"/>
        <v>774.21941802555864</v>
      </c>
      <c r="AL61" s="906">
        <f t="shared" si="19"/>
        <v>774.21941802555864</v>
      </c>
      <c r="AM61" s="286">
        <f t="shared" si="20"/>
        <v>0</v>
      </c>
      <c r="AN61" s="906">
        <f t="shared" si="21"/>
        <v>10285.073394574601</v>
      </c>
      <c r="AO61" s="906">
        <f t="shared" si="22"/>
        <v>487.63191084993736</v>
      </c>
      <c r="AP61" s="1072">
        <f t="shared" si="23"/>
        <v>325.08794056662492</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325.08794056662492</v>
      </c>
      <c r="BD61" s="1080">
        <f t="shared" si="33"/>
        <v>0</v>
      </c>
      <c r="BE61" s="301">
        <f t="shared" si="34"/>
        <v>580.68918153206914</v>
      </c>
      <c r="BF61" s="104">
        <v>0</v>
      </c>
      <c r="BG61" s="302">
        <f t="shared" si="35"/>
        <v>580.68918153206914</v>
      </c>
      <c r="BI61" s="300">
        <f t="shared" si="36"/>
        <v>255.60124096544416</v>
      </c>
      <c r="BJ61" s="301">
        <f t="shared" si="37"/>
        <v>325.08794056662492</v>
      </c>
      <c r="BK61" s="1080">
        <f t="shared" si="38"/>
        <v>0</v>
      </c>
      <c r="BL61" s="301">
        <f t="shared" si="39"/>
        <v>580.68918153206914</v>
      </c>
      <c r="BM61" s="104">
        <v>0</v>
      </c>
      <c r="BN61" s="302">
        <f t="shared" si="40"/>
        <v>580.68918153206914</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48">
        <f t="shared" si="8"/>
        <v>0.13527885904981399</v>
      </c>
      <c r="X62" s="914">
        <f>'Baseline data (from input)'!AS48*W62</f>
        <v>5298.4189413752983</v>
      </c>
      <c r="Y62" s="908">
        <f>Parameters!S163</f>
        <v>0.71500000000000008</v>
      </c>
      <c r="Z62" s="908">
        <f t="shared" si="9"/>
        <v>0.4</v>
      </c>
      <c r="AA62" s="906">
        <f t="shared" si="10"/>
        <v>757.67390861666775</v>
      </c>
      <c r="AB62" s="906">
        <f t="shared" si="11"/>
        <v>757.67390861666775</v>
      </c>
      <c r="AC62" s="286">
        <f t="shared" si="12"/>
        <v>0</v>
      </c>
      <c r="AD62" s="906">
        <f t="shared" si="13"/>
        <v>10541.13835468547</v>
      </c>
      <c r="AE62" s="906">
        <f t="shared" si="14"/>
        <v>501.6089485057982</v>
      </c>
      <c r="AF62" s="1072">
        <f t="shared" si="15"/>
        <v>334.40596567053211</v>
      </c>
      <c r="AG62" s="1448">
        <f t="shared" si="16"/>
        <v>0.13527885904981399</v>
      </c>
      <c r="AH62" s="914">
        <f>'Baseline data (from input)'!AS48*AG62</f>
        <v>5298.4189413752983</v>
      </c>
      <c r="AI62" s="908">
        <f>Parameters!S163</f>
        <v>0.71500000000000008</v>
      </c>
      <c r="AJ62" s="908">
        <f t="shared" si="17"/>
        <v>0.4</v>
      </c>
      <c r="AK62" s="906">
        <f t="shared" si="18"/>
        <v>757.67390861666775</v>
      </c>
      <c r="AL62" s="906">
        <f t="shared" si="19"/>
        <v>757.67390861666775</v>
      </c>
      <c r="AM62" s="286">
        <f t="shared" si="20"/>
        <v>0</v>
      </c>
      <c r="AN62" s="906">
        <f t="shared" si="21"/>
        <v>10541.13835468547</v>
      </c>
      <c r="AO62" s="906">
        <f t="shared" si="22"/>
        <v>501.6089485057982</v>
      </c>
      <c r="AP62" s="1072">
        <f t="shared" si="23"/>
        <v>334.40596567053211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334.40596567053211</v>
      </c>
      <c r="BD62" s="1080">
        <f t="shared" si="33"/>
        <v>0</v>
      </c>
      <c r="BE62" s="301">
        <f t="shared" si="34"/>
        <v>599.18754303203536</v>
      </c>
      <c r="BF62" s="104">
        <v>0</v>
      </c>
      <c r="BG62" s="302">
        <f t="shared" si="35"/>
        <v>599.18754303203536</v>
      </c>
      <c r="BI62" s="300">
        <f t="shared" si="36"/>
        <v>264.78157736150325</v>
      </c>
      <c r="BJ62" s="301">
        <f t="shared" si="37"/>
        <v>334.40596567053211</v>
      </c>
      <c r="BK62" s="1080">
        <f t="shared" si="38"/>
        <v>0</v>
      </c>
      <c r="BL62" s="301">
        <f t="shared" si="39"/>
        <v>599.18754303203536</v>
      </c>
      <c r="BM62" s="104">
        <v>0</v>
      </c>
      <c r="BN62" s="302">
        <f t="shared" si="40"/>
        <v>599.18754303203536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48">
        <f t="shared" si="8"/>
        <v>0.13527885904981399</v>
      </c>
      <c r="X63" s="914">
        <f>'Baseline data (from input)'!AS49*W63</f>
        <v>5363.7759940913274</v>
      </c>
      <c r="Y63" s="908">
        <f>Parameters!S164</f>
        <v>0.71500000000000008</v>
      </c>
      <c r="Z63" s="908">
        <f t="shared" si="9"/>
        <v>0.4</v>
      </c>
      <c r="AA63" s="906">
        <f t="shared" si="10"/>
        <v>767.01996715506004</v>
      </c>
      <c r="AB63" s="906">
        <f t="shared" si="11"/>
        <v>767.01996715506004</v>
      </c>
      <c r="AC63" s="286">
        <f t="shared" si="12"/>
        <v>0</v>
      </c>
      <c r="AD63" s="906">
        <f t="shared" si="13"/>
        <v>10794.060937864924</v>
      </c>
      <c r="AE63" s="906">
        <f t="shared" si="14"/>
        <v>514.09738397560693</v>
      </c>
      <c r="AF63" s="1072">
        <f t="shared" si="15"/>
        <v>342.73158931707127</v>
      </c>
      <c r="AG63" s="1448">
        <f t="shared" si="16"/>
        <v>0.13527885904981399</v>
      </c>
      <c r="AH63" s="914">
        <f>'Baseline data (from input)'!AS49*AG63</f>
        <v>5363.7759940913274</v>
      </c>
      <c r="AI63" s="908">
        <f>Parameters!S164</f>
        <v>0.71500000000000008</v>
      </c>
      <c r="AJ63" s="908">
        <f t="shared" si="17"/>
        <v>0.4</v>
      </c>
      <c r="AK63" s="906">
        <f t="shared" si="18"/>
        <v>767.01996715506004</v>
      </c>
      <c r="AL63" s="906">
        <f t="shared" si="19"/>
        <v>767.01996715506004</v>
      </c>
      <c r="AM63" s="286">
        <f t="shared" si="20"/>
        <v>0</v>
      </c>
      <c r="AN63" s="906">
        <f t="shared" si="21"/>
        <v>10794.060937864924</v>
      </c>
      <c r="AO63" s="906">
        <f t="shared" si="22"/>
        <v>514.09738397560693</v>
      </c>
      <c r="AP63" s="1072">
        <f t="shared" si="23"/>
        <v>342.73158931707127</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342.73158931707127</v>
      </c>
      <c r="BD63" s="1080">
        <f t="shared" si="33"/>
        <v>0</v>
      </c>
      <c r="BE63" s="301">
        <f t="shared" si="34"/>
        <v>616.70239444953859</v>
      </c>
      <c r="BF63" s="104">
        <v>0</v>
      </c>
      <c r="BG63" s="302">
        <f t="shared" si="35"/>
        <v>616.70239444953859</v>
      </c>
      <c r="BI63" s="300">
        <f t="shared" si="36"/>
        <v>273.97080513246732</v>
      </c>
      <c r="BJ63" s="301">
        <f t="shared" si="37"/>
        <v>342.73158931707127</v>
      </c>
      <c r="BK63" s="1080">
        <f t="shared" si="38"/>
        <v>0</v>
      </c>
      <c r="BL63" s="301">
        <f t="shared" si="39"/>
        <v>616.70239444953859</v>
      </c>
      <c r="BM63" s="104">
        <v>0</v>
      </c>
      <c r="BN63" s="302">
        <f t="shared" si="40"/>
        <v>616.70239444953859</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48">
        <f t="shared" si="8"/>
        <v>0.13527885904981399</v>
      </c>
      <c r="X64" s="914">
        <f>'Baseline data (from input)'!AS50*W64</f>
        <v>5535.4168821682597</v>
      </c>
      <c r="Y64" s="908">
        <f>Parameters!S165</f>
        <v>0.71500000000000008</v>
      </c>
      <c r="Z64" s="908">
        <f t="shared" si="9"/>
        <v>0.4</v>
      </c>
      <c r="AA64" s="906">
        <f t="shared" si="10"/>
        <v>791.56461415006117</v>
      </c>
      <c r="AB64" s="906">
        <f t="shared" si="11"/>
        <v>791.56461415006117</v>
      </c>
      <c r="AC64" s="286">
        <f t="shared" si="12"/>
        <v>0</v>
      </c>
      <c r="AD64" s="906">
        <f t="shared" si="13"/>
        <v>11059.192988100951</v>
      </c>
      <c r="AE64" s="906">
        <f t="shared" si="14"/>
        <v>526.43256391403497</v>
      </c>
      <c r="AF64" s="1072">
        <f t="shared" si="15"/>
        <v>350.95504260935667</v>
      </c>
      <c r="AG64" s="1448">
        <f t="shared" si="16"/>
        <v>0.13527885904981399</v>
      </c>
      <c r="AH64" s="914">
        <f>'Baseline data (from input)'!AS50*AG64</f>
        <v>5535.4168821682597</v>
      </c>
      <c r="AI64" s="908">
        <f>Parameters!S165</f>
        <v>0.71500000000000008</v>
      </c>
      <c r="AJ64" s="908">
        <f t="shared" si="17"/>
        <v>0.4</v>
      </c>
      <c r="AK64" s="906">
        <f t="shared" si="18"/>
        <v>791.56461415006117</v>
      </c>
      <c r="AL64" s="906">
        <f t="shared" si="19"/>
        <v>791.56461415006117</v>
      </c>
      <c r="AM64" s="286">
        <f t="shared" si="20"/>
        <v>0</v>
      </c>
      <c r="AN64" s="906">
        <f t="shared" si="21"/>
        <v>11059.192988100951</v>
      </c>
      <c r="AO64" s="906">
        <f t="shared" si="22"/>
        <v>526.43256391403497</v>
      </c>
      <c r="AP64" s="1072">
        <f t="shared" si="23"/>
        <v>350.95504260935667</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350.95504260935667</v>
      </c>
      <c r="BD64" s="1080">
        <f t="shared" si="33"/>
        <v>0</v>
      </c>
      <c r="BE64" s="301">
        <f t="shared" si="34"/>
        <v>634.13859333149549</v>
      </c>
      <c r="BF64" s="104">
        <v>0</v>
      </c>
      <c r="BG64" s="302">
        <f t="shared" si="35"/>
        <v>634.13859333149549</v>
      </c>
      <c r="BI64" s="300">
        <f t="shared" si="36"/>
        <v>283.18355072213882</v>
      </c>
      <c r="BJ64" s="301">
        <f t="shared" si="37"/>
        <v>350.95504260935667</v>
      </c>
      <c r="BK64" s="1080">
        <f t="shared" si="38"/>
        <v>0</v>
      </c>
      <c r="BL64" s="301">
        <f t="shared" si="39"/>
        <v>634.13859333149549</v>
      </c>
      <c r="BM64" s="104">
        <v>0</v>
      </c>
      <c r="BN64" s="302">
        <f t="shared" si="40"/>
        <v>634.13859333149549</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48">
        <f t="shared" si="8"/>
        <v>0.13527885904981399</v>
      </c>
      <c r="X65" s="914">
        <f>'Baseline data (from input)'!AS51*W65</f>
        <v>5707.014551882673</v>
      </c>
      <c r="Y65" s="908">
        <f>Parameters!S166</f>
        <v>0.71500000000000008</v>
      </c>
      <c r="Z65" s="908">
        <f t="shared" si="9"/>
        <v>0.4</v>
      </c>
      <c r="AA65" s="906">
        <f t="shared" si="10"/>
        <v>816.10308091922241</v>
      </c>
      <c r="AB65" s="906">
        <f t="shared" si="11"/>
        <v>816.10308091922241</v>
      </c>
      <c r="AC65" s="286">
        <f t="shared" si="12"/>
        <v>0</v>
      </c>
      <c r="AD65" s="906">
        <f t="shared" si="13"/>
        <v>11335.932862432821</v>
      </c>
      <c r="AE65" s="906">
        <f t="shared" si="14"/>
        <v>539.36320658735156</v>
      </c>
      <c r="AF65" s="1072">
        <f t="shared" si="15"/>
        <v>359.57547105823437</v>
      </c>
      <c r="AG65" s="1448">
        <f t="shared" si="16"/>
        <v>0.13527885904981399</v>
      </c>
      <c r="AH65" s="914">
        <f>'Baseline data (from input)'!AS51*AG65</f>
        <v>5707.014551882673</v>
      </c>
      <c r="AI65" s="908">
        <f>Parameters!S166</f>
        <v>0.71500000000000008</v>
      </c>
      <c r="AJ65" s="908">
        <f t="shared" si="17"/>
        <v>0.4</v>
      </c>
      <c r="AK65" s="906">
        <f t="shared" si="18"/>
        <v>816.10308091922241</v>
      </c>
      <c r="AL65" s="906">
        <f t="shared" si="19"/>
        <v>816.10308091922241</v>
      </c>
      <c r="AM65" s="286">
        <f t="shared" si="20"/>
        <v>0</v>
      </c>
      <c r="AN65" s="906">
        <f t="shared" si="21"/>
        <v>11335.932862432821</v>
      </c>
      <c r="AO65" s="906">
        <f t="shared" si="22"/>
        <v>539.36320658735156</v>
      </c>
      <c r="AP65" s="1072">
        <f t="shared" si="23"/>
        <v>359.57547105823437</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359.57547105823437</v>
      </c>
      <c r="BD65" s="1080">
        <f t="shared" si="33"/>
        <v>0</v>
      </c>
      <c r="BE65" s="301">
        <f t="shared" si="34"/>
        <v>652.00980069572392</v>
      </c>
      <c r="BF65" s="104">
        <v>0</v>
      </c>
      <c r="BG65" s="302">
        <f t="shared" si="35"/>
        <v>652.00980069572392</v>
      </c>
      <c r="BI65" s="300">
        <f t="shared" si="36"/>
        <v>292.43432963748961</v>
      </c>
      <c r="BJ65" s="301">
        <f t="shared" si="37"/>
        <v>359.57547105823437</v>
      </c>
      <c r="BK65" s="1080">
        <f t="shared" si="38"/>
        <v>0</v>
      </c>
      <c r="BL65" s="301">
        <f t="shared" si="39"/>
        <v>652.00980069572392</v>
      </c>
      <c r="BM65" s="104">
        <v>0</v>
      </c>
      <c r="BN65" s="302">
        <f t="shared" si="40"/>
        <v>652.00980069572392</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48">
        <f t="shared" si="8"/>
        <v>0.13527885904981399</v>
      </c>
      <c r="X66" s="914">
        <f>'Baseline data (from input)'!AS52*W66</f>
        <v>5952.4161183177466</v>
      </c>
      <c r="Y66" s="908">
        <f>Parameters!S167</f>
        <v>0.71500000000000008</v>
      </c>
      <c r="Z66" s="908">
        <f t="shared" si="9"/>
        <v>0.4</v>
      </c>
      <c r="AA66" s="906">
        <f t="shared" si="10"/>
        <v>851.19550491943789</v>
      </c>
      <c r="AB66" s="906">
        <f t="shared" si="11"/>
        <v>851.19550491943789</v>
      </c>
      <c r="AC66" s="286">
        <f t="shared" si="12"/>
        <v>0</v>
      </c>
      <c r="AD66" s="906">
        <f t="shared" si="13"/>
        <v>11634.268397830143</v>
      </c>
      <c r="AE66" s="906">
        <f t="shared" si="14"/>
        <v>552.85996952211701</v>
      </c>
      <c r="AF66" s="1072">
        <f t="shared" si="15"/>
        <v>368.57331301474466</v>
      </c>
      <c r="AG66" s="1448">
        <f t="shared" si="16"/>
        <v>0.13527885904981399</v>
      </c>
      <c r="AH66" s="914">
        <f>'Baseline data (from input)'!AS52*AG66</f>
        <v>5952.4161183177466</v>
      </c>
      <c r="AI66" s="908">
        <f>Parameters!S167</f>
        <v>0.71500000000000008</v>
      </c>
      <c r="AJ66" s="908">
        <f t="shared" si="17"/>
        <v>0.4</v>
      </c>
      <c r="AK66" s="906">
        <f t="shared" si="18"/>
        <v>851.19550491943789</v>
      </c>
      <c r="AL66" s="906">
        <f t="shared" si="19"/>
        <v>851.19550491943789</v>
      </c>
      <c r="AM66" s="286">
        <f t="shared" si="20"/>
        <v>0</v>
      </c>
      <c r="AN66" s="906">
        <f t="shared" si="21"/>
        <v>11634.268397830143</v>
      </c>
      <c r="AO66" s="906">
        <f t="shared" si="22"/>
        <v>552.85996952211701</v>
      </c>
      <c r="AP66" s="1072">
        <f t="shared" si="23"/>
        <v>368.57331301474466</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368.57331301474466</v>
      </c>
      <c r="BD66" s="1080">
        <f t="shared" si="33"/>
        <v>0</v>
      </c>
      <c r="BE66" s="301">
        <f t="shared" si="34"/>
        <v>670.31146727710927</v>
      </c>
      <c r="BF66" s="104">
        <v>0</v>
      </c>
      <c r="BG66" s="302">
        <f t="shared" si="35"/>
        <v>670.31146727710927</v>
      </c>
      <c r="BI66" s="300">
        <f t="shared" si="36"/>
        <v>301.73815426236462</v>
      </c>
      <c r="BJ66" s="301">
        <f t="shared" si="37"/>
        <v>368.57331301474466</v>
      </c>
      <c r="BK66" s="1080">
        <f t="shared" si="38"/>
        <v>0</v>
      </c>
      <c r="BL66" s="301">
        <f t="shared" si="39"/>
        <v>670.31146727710927</v>
      </c>
      <c r="BM66" s="104">
        <v>0</v>
      </c>
      <c r="BN66" s="302">
        <f t="shared" si="40"/>
        <v>670.31146727710927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48">
        <f t="shared" si="8"/>
        <v>0.13527885904981399</v>
      </c>
      <c r="X67" s="914">
        <f>'Baseline data (from input)'!AS53*W67</f>
        <v>6107.1790633471337</v>
      </c>
      <c r="Y67" s="908">
        <f>Parameters!S168</f>
        <v>0.71500000000000008</v>
      </c>
      <c r="Z67" s="908">
        <f t="shared" si="9"/>
        <v>0.4</v>
      </c>
      <c r="AA67" s="906">
        <f t="shared" si="10"/>
        <v>873.32660605864021</v>
      </c>
      <c r="AB67" s="906">
        <f t="shared" si="11"/>
        <v>873.32660605864021</v>
      </c>
      <c r="AC67" s="286">
        <f t="shared" si="12"/>
        <v>0</v>
      </c>
      <c r="AD67" s="906">
        <f t="shared" si="13"/>
        <v>11940.18503861345</v>
      </c>
      <c r="AE67" s="906">
        <f t="shared" si="14"/>
        <v>567.40996527533196</v>
      </c>
      <c r="AF67" s="1072">
        <f t="shared" si="15"/>
        <v>378.27331018355466</v>
      </c>
      <c r="AG67" s="1448">
        <f t="shared" si="16"/>
        <v>0.13527885904981399</v>
      </c>
      <c r="AH67" s="914">
        <f>'Baseline data (from input)'!AS53*AG67</f>
        <v>6107.1790633471337</v>
      </c>
      <c r="AI67" s="908">
        <f>Parameters!S168</f>
        <v>0.71500000000000008</v>
      </c>
      <c r="AJ67" s="908">
        <f t="shared" si="17"/>
        <v>0.4</v>
      </c>
      <c r="AK67" s="906">
        <f t="shared" si="18"/>
        <v>873.32660605864021</v>
      </c>
      <c r="AL67" s="906">
        <f t="shared" si="19"/>
        <v>873.32660605864021</v>
      </c>
      <c r="AM67" s="286">
        <f t="shared" si="20"/>
        <v>0</v>
      </c>
      <c r="AN67" s="906">
        <f t="shared" si="21"/>
        <v>11940.18503861345</v>
      </c>
      <c r="AO67" s="906">
        <f t="shared" si="22"/>
        <v>567.40996527533196</v>
      </c>
      <c r="AP67" s="1072">
        <f t="shared" si="23"/>
        <v>378.27331018355466</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378.27331018355466</v>
      </c>
      <c r="BD67" s="1080">
        <f t="shared" si="33"/>
        <v>0</v>
      </c>
      <c r="BE67" s="301">
        <f t="shared" si="34"/>
        <v>689.39165105032805</v>
      </c>
      <c r="BF67" s="104">
        <v>0</v>
      </c>
      <c r="BG67" s="302">
        <f t="shared" si="35"/>
        <v>689.39165105032805</v>
      </c>
      <c r="BI67" s="300">
        <f t="shared" si="36"/>
        <v>311.11834086677339</v>
      </c>
      <c r="BJ67" s="301">
        <f t="shared" si="37"/>
        <v>378.27331018355466</v>
      </c>
      <c r="BK67" s="1080">
        <f t="shared" si="38"/>
        <v>0</v>
      </c>
      <c r="BL67" s="301">
        <f t="shared" si="39"/>
        <v>689.39165105032805</v>
      </c>
      <c r="BM67" s="104">
        <v>0</v>
      </c>
      <c r="BN67" s="302">
        <f t="shared" si="40"/>
        <v>689.39165105032805</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48">
        <f t="shared" si="8"/>
        <v>0.13527885904981399</v>
      </c>
      <c r="X68" s="914">
        <f>'Baseline data (from input)'!AS54*W68</f>
        <v>6137.7150139338401</v>
      </c>
      <c r="Y68" s="908">
        <f>Parameters!S169</f>
        <v>0.71500000000000008</v>
      </c>
      <c r="Z68" s="908">
        <f t="shared" si="9"/>
        <v>0.4</v>
      </c>
      <c r="AA68" s="906">
        <f t="shared" si="10"/>
        <v>877.69324699253923</v>
      </c>
      <c r="AB68" s="906">
        <f t="shared" si="11"/>
        <v>877.69324699253923</v>
      </c>
      <c r="AC68" s="286">
        <f t="shared" si="12"/>
        <v>0</v>
      </c>
      <c r="AD68" s="906">
        <f t="shared" si="13"/>
        <v>12235.548589704847</v>
      </c>
      <c r="AE68" s="906">
        <f t="shared" si="14"/>
        <v>582.32969590114226</v>
      </c>
      <c r="AF68" s="1072">
        <f t="shared" si="15"/>
        <v>388.21979726742819</v>
      </c>
      <c r="AG68" s="1448">
        <f t="shared" si="16"/>
        <v>0.13527885904981399</v>
      </c>
      <c r="AH68" s="914">
        <f>'Baseline data (from input)'!AS54*AG68</f>
        <v>6137.7150139338401</v>
      </c>
      <c r="AI68" s="908">
        <f>Parameters!S169</f>
        <v>0.71500000000000008</v>
      </c>
      <c r="AJ68" s="908">
        <f t="shared" si="17"/>
        <v>0.4</v>
      </c>
      <c r="AK68" s="906">
        <f t="shared" si="18"/>
        <v>877.69324699253923</v>
      </c>
      <c r="AL68" s="906">
        <f t="shared" si="19"/>
        <v>877.69324699253923</v>
      </c>
      <c r="AM68" s="286">
        <f t="shared" si="20"/>
        <v>0</v>
      </c>
      <c r="AN68" s="906">
        <f t="shared" si="21"/>
        <v>12235.548589704847</v>
      </c>
      <c r="AO68" s="906">
        <f t="shared" si="22"/>
        <v>582.32969590114226</v>
      </c>
      <c r="AP68" s="1072">
        <f t="shared" si="23"/>
        <v>388.21979726742819</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388.21979726742819</v>
      </c>
      <c r="BD68" s="1080">
        <f t="shared" si="33"/>
        <v>0</v>
      </c>
      <c r="BE68" s="301">
        <f t="shared" si="34"/>
        <v>708.81867304999946</v>
      </c>
      <c r="BF68" s="104">
        <v>0</v>
      </c>
      <c r="BG68" s="302">
        <f t="shared" si="35"/>
        <v>708.81867304999946</v>
      </c>
      <c r="BI68" s="300">
        <f t="shared" si="36"/>
        <v>320.59887578257127</v>
      </c>
      <c r="BJ68" s="301">
        <f t="shared" si="37"/>
        <v>388.21979726742819</v>
      </c>
      <c r="BK68" s="1080">
        <f t="shared" si="38"/>
        <v>0</v>
      </c>
      <c r="BL68" s="301">
        <f t="shared" si="39"/>
        <v>708.81867304999946</v>
      </c>
      <c r="BM68" s="104">
        <v>0</v>
      </c>
      <c r="BN68" s="302">
        <f t="shared" si="40"/>
        <v>708.81867304999946</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48">
        <f t="shared" si="8"/>
        <v>0.13527885904981399</v>
      </c>
      <c r="X69" s="914">
        <f>'Baseline data (from input)'!AS55*W69</f>
        <v>6285.0199437970532</v>
      </c>
      <c r="Y69" s="917">
        <f>Parameters!S170</f>
        <v>0.71500000000000008</v>
      </c>
      <c r="Z69" s="917">
        <f t="shared" si="9"/>
        <v>0.4</v>
      </c>
      <c r="AA69" s="918">
        <f t="shared" si="10"/>
        <v>898.75785196297875</v>
      </c>
      <c r="AB69" s="918">
        <f t="shared" si="11"/>
        <v>898.75785196297875</v>
      </c>
      <c r="AC69" s="919">
        <f t="shared" si="12"/>
        <v>0</v>
      </c>
      <c r="AD69" s="918">
        <f t="shared" si="13"/>
        <v>12537.571695398445</v>
      </c>
      <c r="AE69" s="918">
        <f t="shared" si="14"/>
        <v>596.73474626938241</v>
      </c>
      <c r="AF69" s="1077">
        <f t="shared" si="15"/>
        <v>397.82316417958828</v>
      </c>
      <c r="AG69" s="1448">
        <f t="shared" si="16"/>
        <v>0.13527885904981399</v>
      </c>
      <c r="AH69" s="914">
        <f>'Baseline data (from input)'!AS55*AG69</f>
        <v>6285.0199437970532</v>
      </c>
      <c r="AI69" s="917">
        <f>Parameters!S170</f>
        <v>0.71500000000000008</v>
      </c>
      <c r="AJ69" s="917">
        <f t="shared" si="17"/>
        <v>0.4</v>
      </c>
      <c r="AK69" s="918">
        <f t="shared" si="18"/>
        <v>898.75785196297875</v>
      </c>
      <c r="AL69" s="918">
        <f t="shared" si="19"/>
        <v>898.75785196297875</v>
      </c>
      <c r="AM69" s="919">
        <f t="shared" si="20"/>
        <v>0</v>
      </c>
      <c r="AN69" s="918">
        <f t="shared" si="21"/>
        <v>12537.571695398445</v>
      </c>
      <c r="AO69" s="918">
        <f t="shared" si="22"/>
        <v>596.73474626938241</v>
      </c>
      <c r="AP69" s="1077">
        <f t="shared" si="23"/>
        <v>397.82316417958828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397.82316417958828</v>
      </c>
      <c r="BD69" s="1080">
        <f t="shared" si="33"/>
        <v>0</v>
      </c>
      <c r="BE69" s="301">
        <f t="shared" si="34"/>
        <v>728.02694450049512</v>
      </c>
      <c r="BF69" s="104">
        <v>0</v>
      </c>
      <c r="BG69" s="302">
        <f t="shared" si="35"/>
        <v>728.02694450049512</v>
      </c>
      <c r="BI69" s="300">
        <f t="shared" si="36"/>
        <v>330.2037803209069</v>
      </c>
      <c r="BJ69" s="301">
        <f t="shared" si="37"/>
        <v>397.82316417958828</v>
      </c>
      <c r="BK69" s="1080">
        <f t="shared" si="38"/>
        <v>0</v>
      </c>
      <c r="BL69" s="301">
        <f t="shared" si="39"/>
        <v>728.02694450049512</v>
      </c>
      <c r="BM69" s="104">
        <v>0</v>
      </c>
      <c r="BN69" s="302">
        <f t="shared" si="40"/>
        <v>728.02694450049512</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48">
        <f t="shared" si="8"/>
        <v>0.13527885904981399</v>
      </c>
      <c r="X70" s="887">
        <f>'Baseline data (from input)'!AS56*W70</f>
        <v>6548.9909999038236</v>
      </c>
      <c r="Y70" s="888">
        <f>Parameters!S171</f>
        <v>0.71500000000000008</v>
      </c>
      <c r="Z70" s="888">
        <f t="shared" si="9"/>
        <v>0.4</v>
      </c>
      <c r="AA70" s="889">
        <f t="shared" si="10"/>
        <v>936.50571298624698</v>
      </c>
      <c r="AB70" s="889">
        <f t="shared" si="11"/>
        <v>936.50571298624698</v>
      </c>
      <c r="AC70" s="890">
        <f t="shared" si="12"/>
        <v>0</v>
      </c>
      <c r="AD70" s="889">
        <f t="shared" si="13"/>
        <v>12862.612821436551</v>
      </c>
      <c r="AE70" s="889">
        <f t="shared" si="14"/>
        <v>611.46458694814078</v>
      </c>
      <c r="AF70" s="896">
        <f t="shared" si="15"/>
        <v>407.6430579654272</v>
      </c>
      <c r="AG70" s="1448">
        <f t="shared" si="16"/>
        <v>0.13527885904981399</v>
      </c>
      <c r="AH70" s="887">
        <f>'Baseline data (from input)'!AS56*AG70</f>
        <v>6548.9909999038236</v>
      </c>
      <c r="AI70" s="888">
        <f>Parameters!S171</f>
        <v>0.71500000000000008</v>
      </c>
      <c r="AJ70" s="888">
        <f t="shared" si="17"/>
        <v>0.4</v>
      </c>
      <c r="AK70" s="889">
        <f t="shared" si="18"/>
        <v>936.50571298624698</v>
      </c>
      <c r="AL70" s="889">
        <f t="shared" si="19"/>
        <v>936.50571298624698</v>
      </c>
      <c r="AM70" s="890">
        <f t="shared" si="20"/>
        <v>0</v>
      </c>
      <c r="AN70" s="889">
        <f t="shared" si="21"/>
        <v>12862.612821436551</v>
      </c>
      <c r="AO70" s="889">
        <f t="shared" si="22"/>
        <v>611.46458694814078</v>
      </c>
      <c r="AP70" s="896">
        <f t="shared" si="23"/>
        <v>407.6430579654272</v>
      </c>
      <c r="AR70" s="1597">
        <v>501</v>
      </c>
      <c r="AS70" s="888">
        <v>1</v>
      </c>
      <c r="AT70" s="888">
        <f t="shared" si="24"/>
        <v>0.05</v>
      </c>
      <c r="AU70" s="889">
        <f t="shared" si="25"/>
        <v>12.525</v>
      </c>
      <c r="AV70" s="889">
        <f t="shared" si="26"/>
        <v>12.525</v>
      </c>
      <c r="AW70" s="890">
        <f t="shared" si="27"/>
        <v>0</v>
      </c>
      <c r="AX70" s="889">
        <f t="shared" si="44"/>
        <v>12.525</v>
      </c>
      <c r="AY70" s="889">
        <f>AW70+AX69*(1-$E$8)</f>
        <v>0</v>
      </c>
      <c r="AZ70" s="1598">
        <f>AY70*16/12*$E$11</f>
        <v>0</v>
      </c>
      <c r="BB70" s="1599">
        <f t="shared" si="31"/>
        <v>339.95650666301094</v>
      </c>
      <c r="BC70" s="1600">
        <f t="shared" si="32"/>
        <v>407.6430579654272</v>
      </c>
      <c r="BD70" s="1601">
        <f>AZ70</f>
        <v>0</v>
      </c>
      <c r="BE70" s="1600">
        <f t="shared" si="34"/>
        <v>747.5995646284382</v>
      </c>
      <c r="BF70" s="495">
        <v>0</v>
      </c>
      <c r="BG70" s="1602">
        <f t="shared" si="35"/>
        <v>747.5995646284382</v>
      </c>
      <c r="BI70" s="1599">
        <f t="shared" si="36"/>
        <v>339.95650666301094</v>
      </c>
      <c r="BJ70" s="1600">
        <f t="shared" si="37"/>
        <v>407.6430579654272</v>
      </c>
      <c r="BK70" s="1601">
        <f t="shared" si="38"/>
        <v>0</v>
      </c>
      <c r="BL70" s="1600">
        <f t="shared" si="39"/>
        <v>747.5995646284382</v>
      </c>
      <c r="BM70" s="495">
        <v>0</v>
      </c>
      <c r="BN70" s="1602">
        <f t="shared" si="40"/>
        <v>747.5995646284382</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48">
        <f t="shared" si="8"/>
        <v>0.13527885904981399</v>
      </c>
      <c r="X71" s="891">
        <f>'Baseline data (from input)'!AS57*W71</f>
        <v>6725.813401094546</v>
      </c>
      <c r="Y71" s="885">
        <f>Parameters!S172</f>
        <v>0.71500000000000008</v>
      </c>
      <c r="Z71" s="885">
        <f t="shared" si="9"/>
        <v>0.4</v>
      </c>
      <c r="AA71" s="884">
        <f t="shared" si="10"/>
        <v>961.79131635652027</v>
      </c>
      <c r="AB71" s="884">
        <f t="shared" si="11"/>
        <v>961.79131635652027</v>
      </c>
      <c r="AC71" s="886">
        <f t="shared" si="12"/>
        <v>0</v>
      </c>
      <c r="AD71" s="884">
        <f t="shared" si="13"/>
        <v>13197.087108067117</v>
      </c>
      <c r="AE71" s="884">
        <f t="shared" si="14"/>
        <v>627.31702972595519</v>
      </c>
      <c r="AF71" s="897">
        <f t="shared" si="15"/>
        <v>418.2113531506368</v>
      </c>
      <c r="AG71" s="1448">
        <f>$D$12</f>
        <v>0.13527885904981399</v>
      </c>
      <c r="AH71" s="891">
        <f>'Baseline data (from input)'!AS57*AG71</f>
        <v>6725.813401094546</v>
      </c>
      <c r="AI71" s="885">
        <f>Parameters!S172</f>
        <v>0.71500000000000008</v>
      </c>
      <c r="AJ71" s="885">
        <f t="shared" si="17"/>
        <v>0.4</v>
      </c>
      <c r="AK71" s="884">
        <f t="shared" si="18"/>
        <v>961.79131635652027</v>
      </c>
      <c r="AL71" s="884">
        <f t="shared" si="19"/>
        <v>961.79131635652027</v>
      </c>
      <c r="AM71" s="886">
        <f t="shared" si="20"/>
        <v>0</v>
      </c>
      <c r="AN71" s="884">
        <f t="shared" si="21"/>
        <v>13197.087108067117</v>
      </c>
      <c r="AO71" s="884">
        <f t="shared" si="22"/>
        <v>627.31702972595519</v>
      </c>
      <c r="AP71" s="897">
        <f t="shared" si="23"/>
        <v>418.2113531506368</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3">
        <f t="shared" si="31"/>
        <v>352.50382234400405</v>
      </c>
      <c r="BC71" s="1604">
        <f t="shared" si="32"/>
        <v>418.2113531506368</v>
      </c>
      <c r="BD71" s="1605">
        <f t="shared" ref="BD71:BD87" si="48">AZ71</f>
        <v>0.48626614457152323</v>
      </c>
      <c r="BE71" s="1604">
        <f t="shared" si="34"/>
        <v>771.20144163921236</v>
      </c>
      <c r="BF71" s="1606">
        <v>0</v>
      </c>
      <c r="BG71" s="1607">
        <f t="shared" si="35"/>
        <v>771.20144163921236</v>
      </c>
      <c r="BI71" s="1603">
        <f t="shared" si="36"/>
        <v>352.50382234400405</v>
      </c>
      <c r="BJ71" s="1604">
        <f t="shared" si="37"/>
        <v>418.2113531506368</v>
      </c>
      <c r="BK71" s="1605">
        <f t="shared" si="38"/>
        <v>0.48626614457152323</v>
      </c>
      <c r="BL71" s="1604">
        <f t="shared" si="39"/>
        <v>771.20144163921236</v>
      </c>
      <c r="BM71" s="1606">
        <v>0</v>
      </c>
      <c r="BN71" s="1607">
        <f t="shared" si="40"/>
        <v>771.20144163921236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48">
        <f t="shared" si="8"/>
        <v>0.13527885904981399</v>
      </c>
      <c r="X72" s="891">
        <f>'Baseline data (from input)'!AS58*W72</f>
        <v>6974.6942132170998</v>
      </c>
      <c r="Y72" s="885">
        <f>Parameters!S173</f>
        <v>0.71500000000000008</v>
      </c>
      <c r="Z72" s="885">
        <f t="shared" si="9"/>
        <v>0.4</v>
      </c>
      <c r="AA72" s="884">
        <f t="shared" si="10"/>
        <v>997.38127249004538</v>
      </c>
      <c r="AB72" s="884">
        <f t="shared" si="11"/>
        <v>997.38127249004538</v>
      </c>
      <c r="AC72" s="886">
        <f t="shared" si="12"/>
        <v>0</v>
      </c>
      <c r="AD72" s="884">
        <f t="shared" si="13"/>
        <v>13550.838847382522</v>
      </c>
      <c r="AE72" s="884">
        <f t="shared" si="14"/>
        <v>643.6295331746411</v>
      </c>
      <c r="AF72" s="897">
        <f t="shared" si="15"/>
        <v>429.08635544976073</v>
      </c>
      <c r="AG72" s="1448">
        <f t="shared" si="16"/>
        <v>0.13527885904981399</v>
      </c>
      <c r="AH72" s="891">
        <f>'Baseline data (from input)'!AS58*AG72</f>
        <v>6974.6942132170998</v>
      </c>
      <c r="AI72" s="885">
        <f>Parameters!S173</f>
        <v>0.71500000000000008</v>
      </c>
      <c r="AJ72" s="885">
        <f t="shared" si="17"/>
        <v>0.4</v>
      </c>
      <c r="AK72" s="884">
        <f t="shared" si="18"/>
        <v>997.38127249004538</v>
      </c>
      <c r="AL72" s="884">
        <f t="shared" si="19"/>
        <v>997.38127249004538</v>
      </c>
      <c r="AM72" s="886">
        <f t="shared" si="20"/>
        <v>0</v>
      </c>
      <c r="AN72" s="884">
        <f t="shared" si="21"/>
        <v>13550.838847382522</v>
      </c>
      <c r="AO72" s="884">
        <f t="shared" si="22"/>
        <v>643.6295331746411</v>
      </c>
      <c r="AP72" s="897">
        <f t="shared" si="23"/>
        <v>429.08635544976073</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3">
        <f t="shared" si="31"/>
        <v>365.04160146921089</v>
      </c>
      <c r="BC72" s="1604">
        <f t="shared" si="32"/>
        <v>429.08635544976073</v>
      </c>
      <c r="BD72" s="1605">
        <f t="shared" si="48"/>
        <v>0.94421435341173465</v>
      </c>
      <c r="BE72" s="1604">
        <f t="shared" si="34"/>
        <v>795.07217127238346</v>
      </c>
      <c r="BF72" s="1606">
        <v>0</v>
      </c>
      <c r="BG72" s="1607">
        <f t="shared" si="35"/>
        <v>795.07217127238346</v>
      </c>
      <c r="BI72" s="1603">
        <f t="shared" si="36"/>
        <v>365.04160146921089</v>
      </c>
      <c r="BJ72" s="1604">
        <f t="shared" si="37"/>
        <v>429.08635544976073</v>
      </c>
      <c r="BK72" s="1605">
        <f t="shared" si="38"/>
        <v>0.94421435341173465</v>
      </c>
      <c r="BL72" s="1604">
        <f t="shared" si="39"/>
        <v>795.07217127238346</v>
      </c>
      <c r="BM72" s="1606">
        <v>0</v>
      </c>
      <c r="BN72" s="1607">
        <f t="shared" si="40"/>
        <v>795.07217127238346</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48">
        <f>($W$82-$W$72)/($A$82-$A$72)+W72</f>
        <v>0.12394828525545966</v>
      </c>
      <c r="X73" s="891">
        <f>'Baseline data (from input)'!AS59*W73</f>
        <v>6502.7565836069707</v>
      </c>
      <c r="Y73" s="885">
        <f>Parameters!S174</f>
        <v>0.71500000000000008</v>
      </c>
      <c r="Z73" s="885">
        <f t="shared" si="9"/>
        <v>0.4</v>
      </c>
      <c r="AA73" s="884">
        <f t="shared" si="10"/>
        <v>929.894191455797</v>
      </c>
      <c r="AB73" s="884">
        <f t="shared" si="11"/>
        <v>929.894191455797</v>
      </c>
      <c r="AC73" s="886">
        <f t="shared" si="12"/>
        <v>0</v>
      </c>
      <c r="AD73" s="884">
        <f t="shared" si="13"/>
        <v>13819.850829753392</v>
      </c>
      <c r="AE73" s="884">
        <f t="shared" si="14"/>
        <v>660.88220908492679</v>
      </c>
      <c r="AF73" s="897">
        <f t="shared" si="15"/>
        <v>440.58813938995121</v>
      </c>
      <c r="AG73" s="1448">
        <f>($AG$82-$AG$72)/($A$82-$A$72)+AG72</f>
        <v>0.12394828525545966</v>
      </c>
      <c r="AH73" s="891">
        <f>'Baseline data (from input)'!AS59*AG73</f>
        <v>6502.7565836069707</v>
      </c>
      <c r="AI73" s="885">
        <f>Parameters!S174</f>
        <v>0.71500000000000008</v>
      </c>
      <c r="AJ73" s="885">
        <f t="shared" si="17"/>
        <v>0.4</v>
      </c>
      <c r="AK73" s="884">
        <f t="shared" si="18"/>
        <v>929.894191455797</v>
      </c>
      <c r="AL73" s="884">
        <f t="shared" si="19"/>
        <v>929.894191455797</v>
      </c>
      <c r="AM73" s="886">
        <f t="shared" si="20"/>
        <v>0</v>
      </c>
      <c r="AN73" s="884">
        <f t="shared" si="21"/>
        <v>13819.850829753392</v>
      </c>
      <c r="AO73" s="884">
        <f t="shared" si="22"/>
        <v>660.88220908492679</v>
      </c>
      <c r="AP73" s="897">
        <f t="shared" si="23"/>
        <v>440.58813938995121</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3">
        <f t="shared" si="31"/>
        <v>377.380320424339</v>
      </c>
      <c r="BC73" s="1604">
        <f t="shared" si="32"/>
        <v>440.58813938995121</v>
      </c>
      <c r="BD73" s="1605">
        <f t="shared" si="48"/>
        <v>1.3754937347158787</v>
      </c>
      <c r="BE73" s="1604">
        <f t="shared" si="34"/>
        <v>819.34395354900607</v>
      </c>
      <c r="BF73" s="1606">
        <v>0</v>
      </c>
      <c r="BG73" s="1607">
        <f t="shared" si="35"/>
        <v>819.34395354900607</v>
      </c>
      <c r="BI73" s="1603">
        <f t="shared" si="36"/>
        <v>377.380320424339</v>
      </c>
      <c r="BJ73" s="1604">
        <f t="shared" si="37"/>
        <v>440.58813938995121</v>
      </c>
      <c r="BK73" s="1605">
        <f t="shared" si="38"/>
        <v>1.3754937347158787</v>
      </c>
      <c r="BL73" s="1604">
        <f t="shared" si="39"/>
        <v>819.34395354900607</v>
      </c>
      <c r="BM73" s="1606">
        <v>0</v>
      </c>
      <c r="BN73" s="1607">
        <f t="shared" si="40"/>
        <v>819.34395354900607</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48">
        <f t="shared" ref="W74:W81" si="50">($W$82-$W$72)/($A$82-$A$72)+W73</f>
        <v>0.11261771146110533</v>
      </c>
      <c r="X74" s="891">
        <f>'Baseline data (from input)'!AS60*W74</f>
        <v>6105.0077739403678</v>
      </c>
      <c r="Y74" s="885">
        <f>Parameters!S175</f>
        <v>0.71500000000000008</v>
      </c>
      <c r="Z74" s="885">
        <f t="shared" si="9"/>
        <v>0.4</v>
      </c>
      <c r="AA74" s="884">
        <f t="shared" si="10"/>
        <v>873.01611167347278</v>
      </c>
      <c r="AB74" s="884">
        <f t="shared" si="11"/>
        <v>873.01611167347278</v>
      </c>
      <c r="AC74" s="886">
        <f t="shared" si="12"/>
        <v>0</v>
      </c>
      <c r="AD74" s="884">
        <f t="shared" si="13"/>
        <v>14018.864863145507</v>
      </c>
      <c r="AE74" s="884">
        <f t="shared" si="14"/>
        <v>674.00207828135785</v>
      </c>
      <c r="AF74" s="897">
        <f t="shared" si="15"/>
        <v>449.33471885423859</v>
      </c>
      <c r="AG74" s="1448">
        <f t="shared" ref="AG74:AG81" si="51">($AG$82-$AG$72)/($A$82-$A$72)+AG73</f>
        <v>0.11261771146110533</v>
      </c>
      <c r="AH74" s="891">
        <f>'Baseline data (from input)'!AS60*AG74</f>
        <v>6105.0077739403678</v>
      </c>
      <c r="AI74" s="885">
        <f>Parameters!S175</f>
        <v>0.71500000000000008</v>
      </c>
      <c r="AJ74" s="885">
        <f t="shared" si="17"/>
        <v>0.4</v>
      </c>
      <c r="AK74" s="884">
        <f t="shared" si="18"/>
        <v>873.01611167347278</v>
      </c>
      <c r="AL74" s="884">
        <f t="shared" si="19"/>
        <v>873.01611167347278</v>
      </c>
      <c r="AM74" s="886">
        <f t="shared" si="20"/>
        <v>0</v>
      </c>
      <c r="AN74" s="884">
        <f t="shared" si="21"/>
        <v>14018.864863145507</v>
      </c>
      <c r="AO74" s="884">
        <f t="shared" si="22"/>
        <v>674.00207828135785</v>
      </c>
      <c r="AP74" s="897">
        <f t="shared" si="23"/>
        <v>449.33471885423859</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3">
        <f t="shared" si="31"/>
        <v>389.50320822466421</v>
      </c>
      <c r="BC74" s="1604">
        <f t="shared" si="32"/>
        <v>449.33471885423859</v>
      </c>
      <c r="BD74" s="1605">
        <f t="shared" si="48"/>
        <v>1.7816573600942787</v>
      </c>
      <c r="BE74" s="1604">
        <f t="shared" si="34"/>
        <v>840.61958443899709</v>
      </c>
      <c r="BF74" s="1606">
        <v>0</v>
      </c>
      <c r="BG74" s="1607">
        <f t="shared" si="35"/>
        <v>840.61958443899709</v>
      </c>
      <c r="BI74" s="1603">
        <f t="shared" si="36"/>
        <v>389.50320822466421</v>
      </c>
      <c r="BJ74" s="1604">
        <f t="shared" si="37"/>
        <v>449.33471885423859</v>
      </c>
      <c r="BK74" s="1605">
        <f t="shared" si="38"/>
        <v>1.7816573600942787</v>
      </c>
      <c r="BL74" s="1604">
        <f t="shared" si="39"/>
        <v>840.61958443899709</v>
      </c>
      <c r="BM74" s="1606">
        <v>0</v>
      </c>
      <c r="BN74" s="1607">
        <f t="shared" si="40"/>
        <v>840.61958443899709</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48">
        <f t="shared" si="50"/>
        <v>0.101287137666751</v>
      </c>
      <c r="X75" s="891">
        <f>'Baseline data (from input)'!AS61*W75</f>
        <v>5711.9719256039971</v>
      </c>
      <c r="Y75" s="885">
        <f>Parameters!S176</f>
        <v>0.71500000000000008</v>
      </c>
      <c r="Z75" s="885">
        <f t="shared" si="9"/>
        <v>0.4</v>
      </c>
      <c r="AA75" s="884">
        <f t="shared" si="10"/>
        <v>816.81198536137163</v>
      </c>
      <c r="AB75" s="884">
        <f t="shared" si="11"/>
        <v>816.81198536137163</v>
      </c>
      <c r="AC75" s="886">
        <f t="shared" si="12"/>
        <v>0</v>
      </c>
      <c r="AD75" s="884">
        <f t="shared" si="13"/>
        <v>14151.968741284554</v>
      </c>
      <c r="AE75" s="884">
        <f t="shared" si="14"/>
        <v>683.70810722232545</v>
      </c>
      <c r="AF75" s="897">
        <f t="shared" si="15"/>
        <v>455.80540481488362</v>
      </c>
      <c r="AG75" s="1448">
        <f t="shared" si="51"/>
        <v>0.101287137666751</v>
      </c>
      <c r="AH75" s="891">
        <f>'Baseline data (from input)'!AS61*AG75</f>
        <v>5711.9719256039971</v>
      </c>
      <c r="AI75" s="885">
        <f>Parameters!S176</f>
        <v>0.71500000000000008</v>
      </c>
      <c r="AJ75" s="885">
        <f t="shared" si="17"/>
        <v>0.4</v>
      </c>
      <c r="AK75" s="884">
        <f t="shared" si="18"/>
        <v>816.81198536137163</v>
      </c>
      <c r="AL75" s="884">
        <f t="shared" si="19"/>
        <v>816.81198536137163</v>
      </c>
      <c r="AM75" s="886">
        <f t="shared" si="20"/>
        <v>0</v>
      </c>
      <c r="AN75" s="884">
        <f t="shared" si="21"/>
        <v>14151.968741284554</v>
      </c>
      <c r="AO75" s="884">
        <f t="shared" si="22"/>
        <v>683.70810722232545</v>
      </c>
      <c r="AP75" s="897">
        <f t="shared" si="23"/>
        <v>455.80540481488362</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3">
        <f t="shared" si="31"/>
        <v>401.39828370560582</v>
      </c>
      <c r="BC75" s="1604">
        <f t="shared" si="32"/>
        <v>455.80540481488362</v>
      </c>
      <c r="BD75" s="1605">
        <f t="shared" si="48"/>
        <v>2.1641678573076555</v>
      </c>
      <c r="BE75" s="1604">
        <f t="shared" si="34"/>
        <v>859.36785637779712</v>
      </c>
      <c r="BF75" s="1606">
        <v>0</v>
      </c>
      <c r="BG75" s="1607">
        <f t="shared" si="35"/>
        <v>859.36785637779712</v>
      </c>
      <c r="BI75" s="1603">
        <f t="shared" si="36"/>
        <v>401.39828370560582</v>
      </c>
      <c r="BJ75" s="1604">
        <f t="shared" si="37"/>
        <v>455.80540481488362</v>
      </c>
      <c r="BK75" s="1605">
        <f t="shared" si="38"/>
        <v>2.1641678573076555</v>
      </c>
      <c r="BL75" s="1604">
        <f t="shared" si="39"/>
        <v>859.36785637779712</v>
      </c>
      <c r="BM75" s="1606">
        <v>0</v>
      </c>
      <c r="BN75" s="1607">
        <f t="shared" si="40"/>
        <v>859.36785637779712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48">
        <f t="shared" si="50"/>
        <v>8.9956563872396672E-2</v>
      </c>
      <c r="X76" s="891">
        <f>'Baseline data (from input)'!AS62*W76</f>
        <v>5292.9781703872795</v>
      </c>
      <c r="Y76" s="885">
        <f>Parameters!S177</f>
        <v>0.71500000000000008</v>
      </c>
      <c r="Z76" s="885">
        <f t="shared" si="9"/>
        <v>0.4</v>
      </c>
      <c r="AA76" s="884">
        <f t="shared" si="10"/>
        <v>756.89587836538112</v>
      </c>
      <c r="AB76" s="884">
        <f t="shared" si="11"/>
        <v>756.89587836538112</v>
      </c>
      <c r="AC76" s="886">
        <f t="shared" si="12"/>
        <v>0</v>
      </c>
      <c r="AD76" s="884">
        <f t="shared" si="13"/>
        <v>14218.664959689582</v>
      </c>
      <c r="AE76" s="884">
        <f t="shared" si="14"/>
        <v>690.19965996035364</v>
      </c>
      <c r="AF76" s="897">
        <f t="shared" si="15"/>
        <v>460.13310664023578</v>
      </c>
      <c r="AG76" s="1448">
        <f t="shared" si="51"/>
        <v>8.9956563872396672E-2</v>
      </c>
      <c r="AH76" s="891">
        <f>'Baseline data (from input)'!AS62*AG76</f>
        <v>5292.9781703872795</v>
      </c>
      <c r="AI76" s="885">
        <f>Parameters!S177</f>
        <v>0.71500000000000008</v>
      </c>
      <c r="AJ76" s="885">
        <f t="shared" si="17"/>
        <v>0.4</v>
      </c>
      <c r="AK76" s="884">
        <f t="shared" si="18"/>
        <v>756.89587836538112</v>
      </c>
      <c r="AL76" s="884">
        <f t="shared" si="19"/>
        <v>756.89587836538112</v>
      </c>
      <c r="AM76" s="886">
        <f t="shared" si="20"/>
        <v>0</v>
      </c>
      <c r="AN76" s="884">
        <f t="shared" si="21"/>
        <v>14218.664959689582</v>
      </c>
      <c r="AO76" s="884">
        <f t="shared" si="22"/>
        <v>690.19965996035364</v>
      </c>
      <c r="AP76" s="897">
        <f t="shared" si="23"/>
        <v>460.13310664023578</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3">
        <f t="shared" si="31"/>
        <v>413.06606569957484</v>
      </c>
      <c r="BC76" s="1604">
        <f t="shared" si="32"/>
        <v>460.13310664023578</v>
      </c>
      <c r="BD76" s="1605">
        <f t="shared" si="48"/>
        <v>2.5244026773068904</v>
      </c>
      <c r="BE76" s="1604">
        <f t="shared" si="34"/>
        <v>875.72357501711747</v>
      </c>
      <c r="BF76" s="1606">
        <v>0</v>
      </c>
      <c r="BG76" s="1607">
        <f t="shared" si="35"/>
        <v>875.72357501711747</v>
      </c>
      <c r="BI76" s="1603">
        <f t="shared" si="36"/>
        <v>413.06606569957484</v>
      </c>
      <c r="BJ76" s="1604">
        <f t="shared" si="37"/>
        <v>460.13310664023578</v>
      </c>
      <c r="BK76" s="1605">
        <f t="shared" si="38"/>
        <v>2.5244026773068904</v>
      </c>
      <c r="BL76" s="1604">
        <f t="shared" si="39"/>
        <v>875.72357501711747</v>
      </c>
      <c r="BM76" s="1606">
        <v>0</v>
      </c>
      <c r="BN76" s="1607">
        <f t="shared" si="40"/>
        <v>875.72357501711747</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48">
        <f t="shared" si="50"/>
        <v>7.8625990078042343E-2</v>
      </c>
      <c r="X77" s="891">
        <f>'Baseline data (from input)'!AS63*W77</f>
        <v>4815.073735273575</v>
      </c>
      <c r="Y77" s="885">
        <f>Parameters!S178</f>
        <v>0.71500000000000008</v>
      </c>
      <c r="Z77" s="885">
        <f t="shared" si="9"/>
        <v>0.4</v>
      </c>
      <c r="AA77" s="884">
        <f t="shared" si="10"/>
        <v>688.55554414412131</v>
      </c>
      <c r="AB77" s="884">
        <f t="shared" si="11"/>
        <v>688.55554414412131</v>
      </c>
      <c r="AC77" s="886">
        <f t="shared" si="12"/>
        <v>0</v>
      </c>
      <c r="AD77" s="884">
        <f t="shared" si="13"/>
        <v>14213.768030918111</v>
      </c>
      <c r="AE77" s="884">
        <f t="shared" si="14"/>
        <v>693.45247291559292</v>
      </c>
      <c r="AF77" s="897">
        <f t="shared" si="15"/>
        <v>462.30164861039526</v>
      </c>
      <c r="AG77" s="1448">
        <f t="shared" si="51"/>
        <v>7.8625990078042343E-2</v>
      </c>
      <c r="AH77" s="891">
        <f>'Baseline data (from input)'!AS63*AG77</f>
        <v>4815.073735273575</v>
      </c>
      <c r="AI77" s="885">
        <f>Parameters!S178</f>
        <v>0.71500000000000008</v>
      </c>
      <c r="AJ77" s="885">
        <f t="shared" si="17"/>
        <v>0.4</v>
      </c>
      <c r="AK77" s="884">
        <f t="shared" si="18"/>
        <v>688.55554414412131</v>
      </c>
      <c r="AL77" s="884">
        <f t="shared" si="19"/>
        <v>688.55554414412131</v>
      </c>
      <c r="AM77" s="886">
        <f t="shared" si="20"/>
        <v>0</v>
      </c>
      <c r="AN77" s="884">
        <f t="shared" si="21"/>
        <v>14213.768030918111</v>
      </c>
      <c r="AO77" s="884">
        <f t="shared" si="22"/>
        <v>693.45247291559292</v>
      </c>
      <c r="AP77" s="897">
        <f t="shared" si="23"/>
        <v>462.30164861039526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3">
        <f t="shared" si="31"/>
        <v>424.51763944073804</v>
      </c>
      <c r="BC77" s="1604">
        <f t="shared" si="32"/>
        <v>462.30164861039526</v>
      </c>
      <c r="BD77" s="1605">
        <f t="shared" si="48"/>
        <v>2.8636590545442755</v>
      </c>
      <c r="BE77" s="1604">
        <f t="shared" si="34"/>
        <v>889.68294710567761</v>
      </c>
      <c r="BF77" s="1606">
        <v>0</v>
      </c>
      <c r="BG77" s="1607">
        <f t="shared" si="35"/>
        <v>889.68294710567761</v>
      </c>
      <c r="BI77" s="1603">
        <f t="shared" si="36"/>
        <v>424.51763944073804</v>
      </c>
      <c r="BJ77" s="1604">
        <f t="shared" si="37"/>
        <v>462.30164861039526</v>
      </c>
      <c r="BK77" s="1605">
        <f t="shared" si="38"/>
        <v>2.8636590545442755</v>
      </c>
      <c r="BL77" s="1604">
        <f t="shared" si="39"/>
        <v>889.68294710567761</v>
      </c>
      <c r="BM77" s="1606">
        <v>0</v>
      </c>
      <c r="BN77" s="1607">
        <f t="shared" si="40"/>
        <v>889.68294710567761</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48">
        <f t="shared" si="50"/>
        <v>6.7295416283688014E-2</v>
      </c>
      <c r="X78" s="891">
        <f>'Baseline data (from input)'!AS64*W78</f>
        <v>4200.3983642001422</v>
      </c>
      <c r="Y78" s="885">
        <f>Parameters!S179</f>
        <v>0.71500000000000008</v>
      </c>
      <c r="Z78" s="885">
        <f t="shared" si="9"/>
        <v>0.4</v>
      </c>
      <c r="AA78" s="884">
        <f t="shared" si="10"/>
        <v>600.65696608062046</v>
      </c>
      <c r="AB78" s="884">
        <f t="shared" si="11"/>
        <v>600.65696608062046</v>
      </c>
      <c r="AC78" s="886">
        <f t="shared" si="12"/>
        <v>0</v>
      </c>
      <c r="AD78" s="884">
        <f t="shared" si="13"/>
        <v>14121.211350117501</v>
      </c>
      <c r="AE78" s="884">
        <f t="shared" si="14"/>
        <v>693.21364688122924</v>
      </c>
      <c r="AF78" s="897">
        <f t="shared" si="15"/>
        <v>462.14243125415283</v>
      </c>
      <c r="AG78" s="1448">
        <f t="shared" si="51"/>
        <v>6.7295416283688014E-2</v>
      </c>
      <c r="AH78" s="891">
        <f>'Baseline data (from input)'!AS64*AG78</f>
        <v>4200.3983642001422</v>
      </c>
      <c r="AI78" s="885">
        <f>Parameters!S179</f>
        <v>0.71500000000000008</v>
      </c>
      <c r="AJ78" s="885">
        <f t="shared" si="17"/>
        <v>0.4</v>
      </c>
      <c r="AK78" s="884">
        <f t="shared" si="18"/>
        <v>600.65696608062046</v>
      </c>
      <c r="AL78" s="884">
        <f t="shared" si="19"/>
        <v>600.65696608062046</v>
      </c>
      <c r="AM78" s="886">
        <f t="shared" si="20"/>
        <v>0</v>
      </c>
      <c r="AN78" s="884">
        <f t="shared" si="21"/>
        <v>14121.211350117501</v>
      </c>
      <c r="AO78" s="884">
        <f t="shared" si="22"/>
        <v>693.21364688122924</v>
      </c>
      <c r="AP78" s="897">
        <f t="shared" si="23"/>
        <v>462.14243125415283</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3">
        <f t="shared" si="31"/>
        <v>435.75891565885144</v>
      </c>
      <c r="BC78" s="1604">
        <f t="shared" si="32"/>
        <v>462.14243125415283</v>
      </c>
      <c r="BD78" s="1605">
        <f t="shared" si="48"/>
        <v>3.183158678418724</v>
      </c>
      <c r="BE78" s="1604">
        <f t="shared" si="34"/>
        <v>901.08450559142307</v>
      </c>
      <c r="BF78" s="1606">
        <v>0</v>
      </c>
      <c r="BG78" s="1607">
        <f t="shared" si="35"/>
        <v>901.08450559142307</v>
      </c>
      <c r="BI78" s="1603">
        <f t="shared" si="36"/>
        <v>435.75891565885144</v>
      </c>
      <c r="BJ78" s="1604">
        <f t="shared" si="37"/>
        <v>462.14243125415283</v>
      </c>
      <c r="BK78" s="1605">
        <f t="shared" si="38"/>
        <v>3.183158678418724</v>
      </c>
      <c r="BL78" s="1604">
        <f t="shared" si="39"/>
        <v>901.08450559142307</v>
      </c>
      <c r="BM78" s="1606">
        <v>0</v>
      </c>
      <c r="BN78" s="1607">
        <f t="shared" si="40"/>
        <v>901.08450559142307</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48">
        <f t="shared" si="50"/>
        <v>5.5964842489333685E-2</v>
      </c>
      <c r="X79" s="891">
        <f>'Baseline data (from input)'!AS65*W79</f>
        <v>3396.6232443219792</v>
      </c>
      <c r="Y79" s="885">
        <f>Parameters!S180</f>
        <v>0.71500000000000008</v>
      </c>
      <c r="Z79" s="885">
        <f t="shared" si="9"/>
        <v>0.4</v>
      </c>
      <c r="AA79" s="884">
        <f t="shared" si="10"/>
        <v>485.71712393804307</v>
      </c>
      <c r="AB79" s="884">
        <f t="shared" si="11"/>
        <v>485.71712393804307</v>
      </c>
      <c r="AC79" s="886">
        <f t="shared" si="12"/>
        <v>0</v>
      </c>
      <c r="AD79" s="884">
        <f t="shared" si="13"/>
        <v>13918.228869763263</v>
      </c>
      <c r="AE79" s="884">
        <f t="shared" si="14"/>
        <v>688.69960429227979</v>
      </c>
      <c r="AF79" s="897">
        <f t="shared" si="15"/>
        <v>459.13306952818652</v>
      </c>
      <c r="AG79" s="1448">
        <f t="shared" si="51"/>
        <v>5.5964842489333685E-2</v>
      </c>
      <c r="AH79" s="891">
        <f>'Baseline data (from input)'!AS65*AG79</f>
        <v>3396.6232443219792</v>
      </c>
      <c r="AI79" s="885">
        <f>Parameters!S180</f>
        <v>0.71500000000000008</v>
      </c>
      <c r="AJ79" s="885">
        <f t="shared" si="17"/>
        <v>0.4</v>
      </c>
      <c r="AK79" s="884">
        <f t="shared" si="18"/>
        <v>485.71712393804307</v>
      </c>
      <c r="AL79" s="884">
        <f t="shared" si="19"/>
        <v>485.71712393804307</v>
      </c>
      <c r="AM79" s="886">
        <f t="shared" si="20"/>
        <v>0</v>
      </c>
      <c r="AN79" s="884">
        <f t="shared" si="21"/>
        <v>13918.228869763263</v>
      </c>
      <c r="AO79" s="884">
        <f t="shared" si="22"/>
        <v>688.69960429227979</v>
      </c>
      <c r="AP79" s="897">
        <f t="shared" si="23"/>
        <v>459.13306952818652</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3">
        <f t="shared" si="31"/>
        <v>446.80677050108471</v>
      </c>
      <c r="BC79" s="1604">
        <f t="shared" si="32"/>
        <v>459.13306952818652</v>
      </c>
      <c r="BD79" s="1605">
        <f t="shared" si="48"/>
        <v>3.484052092677187</v>
      </c>
      <c r="BE79" s="1604">
        <f t="shared" si="34"/>
        <v>909.42389212194837</v>
      </c>
      <c r="BF79" s="1606">
        <v>0</v>
      </c>
      <c r="BG79" s="1607">
        <f t="shared" si="35"/>
        <v>909.42389212194837</v>
      </c>
      <c r="BI79" s="1603">
        <f t="shared" si="36"/>
        <v>446.80677050108471</v>
      </c>
      <c r="BJ79" s="1604">
        <f t="shared" si="37"/>
        <v>459.13306952818652</v>
      </c>
      <c r="BK79" s="1605">
        <f t="shared" si="38"/>
        <v>3.484052092677187</v>
      </c>
      <c r="BL79" s="1604">
        <f t="shared" si="39"/>
        <v>909.42389212194837</v>
      </c>
      <c r="BM79" s="1606">
        <v>0</v>
      </c>
      <c r="BN79" s="1607">
        <f t="shared" si="40"/>
        <v>909.42389212194837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48">
        <f t="shared" si="50"/>
        <v>4.4634268694979357E-2</v>
      </c>
      <c r="X80" s="891">
        <f>'Baseline data (from input)'!AS66*W80</f>
        <v>2756.100370229422</v>
      </c>
      <c r="Y80" s="885">
        <f>Parameters!S181</f>
        <v>0.71500000000000008</v>
      </c>
      <c r="Z80" s="885">
        <f t="shared" si="9"/>
        <v>0.4</v>
      </c>
      <c r="AA80" s="884">
        <f t="shared" si="10"/>
        <v>394.12235294280742</v>
      </c>
      <c r="AB80" s="884">
        <f t="shared" si="11"/>
        <v>394.12235294280742</v>
      </c>
      <c r="AC80" s="886">
        <f t="shared" si="12"/>
        <v>0</v>
      </c>
      <c r="AD80" s="884">
        <f t="shared" si="13"/>
        <v>13633.551190796939</v>
      </c>
      <c r="AE80" s="884">
        <f t="shared" si="14"/>
        <v>678.80003190913101</v>
      </c>
      <c r="AF80" s="897">
        <f t="shared" si="15"/>
        <v>452.53335460608736</v>
      </c>
      <c r="AG80" s="1448">
        <f t="shared" si="51"/>
        <v>4.4634268694979357E-2</v>
      </c>
      <c r="AH80" s="891">
        <f>'Baseline data (from input)'!AS66*AG80</f>
        <v>2756.100370229422</v>
      </c>
      <c r="AI80" s="885">
        <f>Parameters!S181</f>
        <v>0.71500000000000008</v>
      </c>
      <c r="AJ80" s="885">
        <f t="shared" si="17"/>
        <v>0.4</v>
      </c>
      <c r="AK80" s="884">
        <f t="shared" si="18"/>
        <v>394.12235294280742</v>
      </c>
      <c r="AL80" s="884">
        <f t="shared" si="19"/>
        <v>394.12235294280742</v>
      </c>
      <c r="AM80" s="886">
        <f t="shared" si="20"/>
        <v>0</v>
      </c>
      <c r="AN80" s="884">
        <f t="shared" si="21"/>
        <v>13633.551190796939</v>
      </c>
      <c r="AO80" s="884">
        <f t="shared" si="22"/>
        <v>678.80003190913101</v>
      </c>
      <c r="AP80" s="897">
        <f t="shared" si="23"/>
        <v>452.53335460608736</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3">
        <f t="shared" si="31"/>
        <v>457.66467940490338</v>
      </c>
      <c r="BC80" s="1604">
        <f t="shared" si="32"/>
        <v>452.53335460608736</v>
      </c>
      <c r="BD80" s="1605">
        <f t="shared" si="48"/>
        <v>3.76742283861488</v>
      </c>
      <c r="BE80" s="1604">
        <f t="shared" si="34"/>
        <v>913.96545684960563</v>
      </c>
      <c r="BF80" s="1606">
        <v>0</v>
      </c>
      <c r="BG80" s="1607">
        <f t="shared" si="35"/>
        <v>913.96545684960563</v>
      </c>
      <c r="BI80" s="1603">
        <f t="shared" si="36"/>
        <v>457.66467940490338</v>
      </c>
      <c r="BJ80" s="1604">
        <f t="shared" si="37"/>
        <v>452.53335460608736</v>
      </c>
      <c r="BK80" s="1605">
        <f t="shared" si="38"/>
        <v>3.76742283861488</v>
      </c>
      <c r="BL80" s="1604">
        <f t="shared" si="39"/>
        <v>913.96545684960563</v>
      </c>
      <c r="BM80" s="1606">
        <v>0</v>
      </c>
      <c r="BN80" s="1607">
        <f t="shared" si="40"/>
        <v>913.96545684960563</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48">
        <f t="shared" si="50"/>
        <v>3.3303694900625028E-2</v>
      </c>
      <c r="X81" s="891">
        <f>'Baseline data (from input)'!AS67*W81</f>
        <v>2096.8712682712498</v>
      </c>
      <c r="Y81" s="885">
        <f>Parameters!S182</f>
        <v>0.71500000000000008</v>
      </c>
      <c r="Z81" s="885">
        <f t="shared" si="9"/>
        <v>0.4</v>
      </c>
      <c r="AA81" s="884">
        <f t="shared" si="10"/>
        <v>299.85259136278876</v>
      </c>
      <c r="AB81" s="884">
        <f t="shared" si="11"/>
        <v>299.85259136278876</v>
      </c>
      <c r="AC81" s="886">
        <f t="shared" si="12"/>
        <v>0</v>
      </c>
      <c r="AD81" s="884">
        <f t="shared" si="13"/>
        <v>13268.487644485585</v>
      </c>
      <c r="AE81" s="884">
        <f t="shared" si="14"/>
        <v>664.91613767414242</v>
      </c>
      <c r="AF81" s="897">
        <f t="shared" si="15"/>
        <v>443.27742511609495</v>
      </c>
      <c r="AG81" s="1448">
        <f t="shared" si="51"/>
        <v>3.3303694900625028E-2</v>
      </c>
      <c r="AH81" s="891">
        <f>'Baseline data (from input)'!AS67*AG81</f>
        <v>2096.8712682712498</v>
      </c>
      <c r="AI81" s="885">
        <f>Parameters!S182</f>
        <v>0.71500000000000008</v>
      </c>
      <c r="AJ81" s="885">
        <f t="shared" si="17"/>
        <v>0.4</v>
      </c>
      <c r="AK81" s="884">
        <f t="shared" si="18"/>
        <v>299.85259136278876</v>
      </c>
      <c r="AL81" s="884">
        <f t="shared" si="19"/>
        <v>299.85259136278876</v>
      </c>
      <c r="AM81" s="886">
        <f t="shared" si="20"/>
        <v>0</v>
      </c>
      <c r="AN81" s="884">
        <f t="shared" si="21"/>
        <v>13268.487644485585</v>
      </c>
      <c r="AO81" s="884">
        <f t="shared" si="22"/>
        <v>664.91613767414242</v>
      </c>
      <c r="AP81" s="897">
        <f t="shared" si="23"/>
        <v>443.27742511609495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3">
        <f t="shared" si="31"/>
        <v>465.58393089502232</v>
      </c>
      <c r="BC81" s="1604">
        <f t="shared" si="32"/>
        <v>443.27742511609495</v>
      </c>
      <c r="BD81" s="1605">
        <f t="shared" si="48"/>
        <v>4.034291356994312</v>
      </c>
      <c r="BE81" s="1604">
        <f t="shared" si="34"/>
        <v>912.89564736811167</v>
      </c>
      <c r="BF81" s="1606">
        <v>0</v>
      </c>
      <c r="BG81" s="1607">
        <f t="shared" si="35"/>
        <v>912.89564736811167</v>
      </c>
      <c r="BI81" s="1603">
        <f t="shared" si="36"/>
        <v>465.58393089502232</v>
      </c>
      <c r="BJ81" s="1604">
        <f t="shared" si="37"/>
        <v>443.27742511609495</v>
      </c>
      <c r="BK81" s="1605">
        <f t="shared" si="38"/>
        <v>4.034291356994312</v>
      </c>
      <c r="BL81" s="1604">
        <f t="shared" si="39"/>
        <v>912.89564736811167</v>
      </c>
      <c r="BM81" s="1606">
        <v>0</v>
      </c>
      <c r="BN81" s="1607">
        <f t="shared" si="40"/>
        <v>912.89564736811167</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49">
        <f>D13</f>
        <v>2.197312110627072E-2</v>
      </c>
      <c r="X82" s="891">
        <f>'Baseline data (from input)'!AS68*W82</f>
        <v>1395.8060443495283</v>
      </c>
      <c r="Y82" s="885">
        <f>Parameters!S183</f>
        <v>0.71500000000000008</v>
      </c>
      <c r="Z82" s="885">
        <f t="shared" si="9"/>
        <v>0.4</v>
      </c>
      <c r="AA82" s="884">
        <f t="shared" si="10"/>
        <v>199.60026434198258</v>
      </c>
      <c r="AB82" s="884">
        <f t="shared" si="11"/>
        <v>199.60026434198258</v>
      </c>
      <c r="AC82" s="886">
        <f t="shared" si="12"/>
        <v>0</v>
      </c>
      <c r="AD82" s="884">
        <f t="shared" si="13"/>
        <v>12820.976130400841</v>
      </c>
      <c r="AE82" s="884">
        <f t="shared" si="14"/>
        <v>647.11177842672748</v>
      </c>
      <c r="AF82" s="897">
        <f t="shared" si="15"/>
        <v>431.40785228448499</v>
      </c>
      <c r="AG82" s="1449">
        <f>$D$13</f>
        <v>2.197312110627072E-2</v>
      </c>
      <c r="AH82" s="891">
        <f>'Baseline data (from input)'!AS68*AG82</f>
        <v>1395.8060443495283</v>
      </c>
      <c r="AI82" s="885">
        <f>Parameters!S183</f>
        <v>0.71500000000000008</v>
      </c>
      <c r="AJ82" s="885">
        <f t="shared" si="17"/>
        <v>0.4</v>
      </c>
      <c r="AK82" s="884">
        <f t="shared" si="18"/>
        <v>199.60026434198258</v>
      </c>
      <c r="AL82" s="884">
        <f t="shared" si="19"/>
        <v>199.60026434198258</v>
      </c>
      <c r="AM82" s="886">
        <f t="shared" si="20"/>
        <v>0</v>
      </c>
      <c r="AN82" s="884">
        <f t="shared" si="21"/>
        <v>12820.976130400841</v>
      </c>
      <c r="AO82" s="884">
        <f t="shared" si="22"/>
        <v>647.11177842672748</v>
      </c>
      <c r="AP82" s="897">
        <f t="shared" si="23"/>
        <v>431.40785228448499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3">
        <f t="shared" si="31"/>
        <v>471.51055951772577</v>
      </c>
      <c r="BC82" s="1604">
        <f t="shared" si="32"/>
        <v>431.40785228448499</v>
      </c>
      <c r="BD82" s="1605">
        <f t="shared" si="48"/>
        <v>4.2856186627342376</v>
      </c>
      <c r="BE82" s="1604">
        <f t="shared" si="34"/>
        <v>907.20403046494505</v>
      </c>
      <c r="BF82" s="1606">
        <v>0</v>
      </c>
      <c r="BG82" s="1607">
        <f t="shared" si="35"/>
        <v>907.20403046494505</v>
      </c>
      <c r="BI82" s="1603">
        <f t="shared" si="36"/>
        <v>471.51055951772577</v>
      </c>
      <c r="BJ82" s="1604">
        <f t="shared" si="37"/>
        <v>431.40785228448499</v>
      </c>
      <c r="BK82" s="1605">
        <f t="shared" si="38"/>
        <v>4.2856186627342376</v>
      </c>
      <c r="BL82" s="1604">
        <f t="shared" si="39"/>
        <v>907.20403046494505</v>
      </c>
      <c r="BM82" s="1606">
        <v>0</v>
      </c>
      <c r="BN82" s="1607">
        <f t="shared" si="40"/>
        <v>907.20403046494505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49">
        <f>W82</f>
        <v>2.197312110627072E-2</v>
      </c>
      <c r="X83" s="891">
        <f>'Baseline data (from input)'!AS69*W83</f>
        <v>1432.2892865957431</v>
      </c>
      <c r="Y83" s="885">
        <f>Parameters!S184</f>
        <v>0.71500000000000008</v>
      </c>
      <c r="Z83" s="885">
        <f t="shared" si="9"/>
        <v>0.4</v>
      </c>
      <c r="AA83" s="884">
        <f t="shared" si="10"/>
        <v>204.81736798319128</v>
      </c>
      <c r="AB83" s="884">
        <f t="shared" si="11"/>
        <v>204.81736798319128</v>
      </c>
      <c r="AC83" s="886">
        <f t="shared" si="12"/>
        <v>0</v>
      </c>
      <c r="AD83" s="884">
        <f t="shared" si="13"/>
        <v>12400.507114041773</v>
      </c>
      <c r="AE83" s="884">
        <f t="shared" si="14"/>
        <v>625.28638434225763</v>
      </c>
      <c r="AF83" s="897">
        <f t="shared" si="15"/>
        <v>416.85758956150511</v>
      </c>
      <c r="AG83" s="1449">
        <f>AG82</f>
        <v>2.197312110627072E-2</v>
      </c>
      <c r="AH83" s="891">
        <f>'Baseline data (from input)'!AS69*AG83</f>
        <v>1432.2892865957431</v>
      </c>
      <c r="AI83" s="885">
        <f>Parameters!S184</f>
        <v>0.71500000000000008</v>
      </c>
      <c r="AJ83" s="885">
        <f t="shared" si="17"/>
        <v>0.4</v>
      </c>
      <c r="AK83" s="884">
        <f t="shared" si="18"/>
        <v>204.81736798319128</v>
      </c>
      <c r="AL83" s="884">
        <f t="shared" si="19"/>
        <v>204.81736798319128</v>
      </c>
      <c r="AM83" s="886">
        <f t="shared" si="20"/>
        <v>0</v>
      </c>
      <c r="AN83" s="884">
        <f t="shared" si="21"/>
        <v>12400.507114041773</v>
      </c>
      <c r="AO83" s="884">
        <f t="shared" si="22"/>
        <v>625.28638434225763</v>
      </c>
      <c r="AP83" s="897">
        <f t="shared" si="23"/>
        <v>416.85758956150511</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3">
        <f t="shared" si="31"/>
        <v>474.78721249604229</v>
      </c>
      <c r="BC83" s="1604">
        <f t="shared" si="32"/>
        <v>416.85758956150511</v>
      </c>
      <c r="BD83" s="1605">
        <f t="shared" si="48"/>
        <v>4.5223098056013837</v>
      </c>
      <c r="BE83" s="1604">
        <f t="shared" si="34"/>
        <v>896.16711186314876</v>
      </c>
      <c r="BF83" s="1606">
        <v>0</v>
      </c>
      <c r="BG83" s="1607">
        <f t="shared" si="35"/>
        <v>896.16711186314876</v>
      </c>
      <c r="BI83" s="1603">
        <f t="shared" si="36"/>
        <v>474.78721249604229</v>
      </c>
      <c r="BJ83" s="1604">
        <f t="shared" si="37"/>
        <v>416.85758956150511</v>
      </c>
      <c r="BK83" s="1605">
        <f t="shared" si="38"/>
        <v>4.5223098056013837</v>
      </c>
      <c r="BL83" s="1604">
        <f t="shared" si="39"/>
        <v>896.16711186314876</v>
      </c>
      <c r="BM83" s="1606">
        <v>0</v>
      </c>
      <c r="BN83" s="1607">
        <f t="shared" si="40"/>
        <v>896.16711186314876</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49">
        <f t="shared" ref="W84:W87" si="52">W83</f>
        <v>2.197312110627072E-2</v>
      </c>
      <c r="X84" s="891">
        <f>'Baseline data (from input)'!AS70*W84</f>
        <v>1457.8657341151111</v>
      </c>
      <c r="Y84" s="885">
        <f>Parameters!S185</f>
        <v>0.71500000000000008</v>
      </c>
      <c r="Z84" s="885">
        <f t="shared" si="9"/>
        <v>0.4</v>
      </c>
      <c r="AA84" s="884">
        <f t="shared" si="10"/>
        <v>208.47479997846091</v>
      </c>
      <c r="AB84" s="884">
        <f t="shared" si="11"/>
        <v>208.47479997846091</v>
      </c>
      <c r="AC84" s="886">
        <f t="shared" si="12"/>
        <v>0</v>
      </c>
      <c r="AD84" s="884">
        <f t="shared" si="13"/>
        <v>12004.202045585427</v>
      </c>
      <c r="AE84" s="884">
        <f t="shared" si="14"/>
        <v>604.77986843480721</v>
      </c>
      <c r="AF84" s="897">
        <f t="shared" si="15"/>
        <v>403.18657895653814</v>
      </c>
      <c r="AG84" s="1449">
        <f t="shared" ref="AG84:AG87" si="53">AG83</f>
        <v>2.197312110627072E-2</v>
      </c>
      <c r="AH84" s="891">
        <f>'Baseline data (from input)'!AS70*AG84</f>
        <v>1457.8657341151111</v>
      </c>
      <c r="AI84" s="885">
        <f>Parameters!S185</f>
        <v>0.71500000000000008</v>
      </c>
      <c r="AJ84" s="885">
        <f t="shared" si="17"/>
        <v>0.4</v>
      </c>
      <c r="AK84" s="884">
        <f t="shared" si="18"/>
        <v>208.47479997846091</v>
      </c>
      <c r="AL84" s="884">
        <f t="shared" si="19"/>
        <v>208.47479997846091</v>
      </c>
      <c r="AM84" s="886">
        <f t="shared" si="20"/>
        <v>0</v>
      </c>
      <c r="AN84" s="884">
        <f t="shared" si="21"/>
        <v>12004.202045585427</v>
      </c>
      <c r="AO84" s="884">
        <f t="shared" si="22"/>
        <v>604.77986843480721</v>
      </c>
      <c r="AP84" s="897">
        <f t="shared" si="23"/>
        <v>403.18657895653814</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3">
        <f t="shared" si="31"/>
        <v>475.71077220994249</v>
      </c>
      <c r="BC84" s="1604">
        <f t="shared" si="32"/>
        <v>403.18657895653814</v>
      </c>
      <c r="BD84" s="1605">
        <f t="shared" si="48"/>
        <v>4.7452171293671848</v>
      </c>
      <c r="BE84" s="1604">
        <f t="shared" ref="BE84:BE120" si="54">SUM(BB84:BD84)</f>
        <v>883.64256829584781</v>
      </c>
      <c r="BF84" s="1606">
        <v>0</v>
      </c>
      <c r="BG84" s="1607">
        <f t="shared" si="35"/>
        <v>883.64256829584781</v>
      </c>
      <c r="BI84" s="1603">
        <f t="shared" si="36"/>
        <v>475.71077220994249</v>
      </c>
      <c r="BJ84" s="1604">
        <f t="shared" si="37"/>
        <v>403.18657895653814</v>
      </c>
      <c r="BK84" s="1605">
        <f t="shared" si="38"/>
        <v>4.7452171293671848</v>
      </c>
      <c r="BL84" s="1604">
        <f t="shared" ref="BL84:BL120" si="55">SUM(BI84:BK84)</f>
        <v>883.64256829584781</v>
      </c>
      <c r="BM84" s="1606">
        <v>0</v>
      </c>
      <c r="BN84" s="1607">
        <f t="shared" si="40"/>
        <v>883.64256829584781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49">
        <f t="shared" si="52"/>
        <v>2.197312110627072E-2</v>
      </c>
      <c r="X85" s="891">
        <f>'Baseline data (from input)'!AS71*W85</f>
        <v>1476.20316835363</v>
      </c>
      <c r="Y85" s="885">
        <f>Parameters!S186</f>
        <v>0.71500000000000008</v>
      </c>
      <c r="Z85" s="885">
        <f t="shared" ref="Z85:Z120" si="63">$D$3</f>
        <v>0.4</v>
      </c>
      <c r="AA85" s="884">
        <f t="shared" ref="AA85:AA119" si="64">X85*Z85*Y85*$D$4</f>
        <v>211.09705307456915</v>
      </c>
      <c r="AB85" s="884">
        <f t="shared" ref="AB85:AB120" si="65">AA85*$D$10</f>
        <v>211.09705307456915</v>
      </c>
      <c r="AC85" s="886">
        <f t="shared" ref="AC85:AC120" si="66">AA85*(1-$D$10)</f>
        <v>0</v>
      </c>
      <c r="AD85" s="884">
        <f t="shared" ref="AD85:AD120" si="67">AB85+(AD84*$D$8)</f>
        <v>11629.847256487088</v>
      </c>
      <c r="AE85" s="884">
        <f t="shared" ref="AE85:AE120" si="68">AC85+AD84*(1-$D$8)</f>
        <v>585.45184217290728</v>
      </c>
      <c r="AF85" s="897">
        <f t="shared" ref="AF85:AF120" si="69">AE85*16/12*$D$11</f>
        <v>390.3012281152715</v>
      </c>
      <c r="AG85" s="1449">
        <f t="shared" si="53"/>
        <v>2.197312110627072E-2</v>
      </c>
      <c r="AH85" s="891">
        <f>'Baseline data (from input)'!AS71*AG85</f>
        <v>1476.20316835363</v>
      </c>
      <c r="AI85" s="885">
        <f>Parameters!S186</f>
        <v>0.71500000000000008</v>
      </c>
      <c r="AJ85" s="885">
        <f t="shared" ref="AJ85:AJ120" si="70">$D$3</f>
        <v>0.4</v>
      </c>
      <c r="AK85" s="884">
        <f t="shared" ref="AK85:AK120" si="71">AH85*AJ85*AI85*$D$4</f>
        <v>211.09705307456915</v>
      </c>
      <c r="AL85" s="884">
        <f t="shared" ref="AL85:AL120" si="72">AK85*$D$10</f>
        <v>211.09705307456915</v>
      </c>
      <c r="AM85" s="886">
        <f t="shared" ref="AM85:AM120" si="73">AK85*(1-$D$10)</f>
        <v>0</v>
      </c>
      <c r="AN85" s="884">
        <f t="shared" ref="AN85:AN120" si="74">AL85+(AN84*$D$8)</f>
        <v>11629.847256487088</v>
      </c>
      <c r="AO85" s="884">
        <f t="shared" ref="AO85:AO120" si="75">AM85+AN84*(1-$D$8)</f>
        <v>585.45184217290728</v>
      </c>
      <c r="AP85" s="897">
        <f t="shared" ref="AP85:AP120" si="76">AO85*16/12*$D$11</f>
        <v>390.3012281152715</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3">
        <f t="shared" ref="BB85:BB120" si="81">V85</f>
        <v>474.45668773704853</v>
      </c>
      <c r="BC85" s="1604">
        <f t="shared" ref="BC85:BC120" si="82">AF85</f>
        <v>390.3012281152715</v>
      </c>
      <c r="BD85" s="1605">
        <f t="shared" si="48"/>
        <v>4.9551433411659982</v>
      </c>
      <c r="BE85" s="1604">
        <f t="shared" si="54"/>
        <v>869.71305919348606</v>
      </c>
      <c r="BF85" s="1606">
        <v>0</v>
      </c>
      <c r="BG85" s="1607">
        <f t="shared" ref="BG85:BG120" si="83">BE85-BF85</f>
        <v>869.71305919348606</v>
      </c>
      <c r="BI85" s="1603">
        <f t="shared" ref="BI85:BI120" si="84">V85</f>
        <v>474.45668773704853</v>
      </c>
      <c r="BJ85" s="1604">
        <f t="shared" ref="BJ85:BJ120" si="85">AP85</f>
        <v>390.3012281152715</v>
      </c>
      <c r="BK85" s="1605">
        <f t="shared" ref="BK85:BK120" si="86">AZ85</f>
        <v>4.9551433411659982</v>
      </c>
      <c r="BL85" s="1604">
        <f t="shared" si="55"/>
        <v>869.71305919348606</v>
      </c>
      <c r="BM85" s="1606">
        <v>0</v>
      </c>
      <c r="BN85" s="1607">
        <f t="shared" ref="BN85:BN120" si="87">BL85-BM85</f>
        <v>869.71305919348606</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49">
        <f t="shared" si="52"/>
        <v>2.197312110627072E-2</v>
      </c>
      <c r="X86" s="891">
        <f>'Baseline data (from input)'!AS72*W86</f>
        <v>1487.1215458011513</v>
      </c>
      <c r="Y86" s="885">
        <f>Parameters!S187</f>
        <v>0.71500000000000008</v>
      </c>
      <c r="Z86" s="885">
        <f t="shared" si="63"/>
        <v>0.4</v>
      </c>
      <c r="AA86" s="884">
        <f t="shared" si="64"/>
        <v>212.65838104956467</v>
      </c>
      <c r="AB86" s="884">
        <f t="shared" si="65"/>
        <v>212.65838104956467</v>
      </c>
      <c r="AC86" s="886">
        <f t="shared" si="66"/>
        <v>0</v>
      </c>
      <c r="AD86" s="884">
        <f t="shared" si="67"/>
        <v>11275.311293868985</v>
      </c>
      <c r="AE86" s="884">
        <f t="shared" si="68"/>
        <v>567.19434366766745</v>
      </c>
      <c r="AF86" s="897">
        <f t="shared" si="69"/>
        <v>378.12956244511162</v>
      </c>
      <c r="AG86" s="1449">
        <f t="shared" si="53"/>
        <v>2.197312110627072E-2</v>
      </c>
      <c r="AH86" s="891">
        <f>'Baseline data (from input)'!AS72*AG86</f>
        <v>1487.1215458011513</v>
      </c>
      <c r="AI86" s="885">
        <f>Parameters!S187</f>
        <v>0.71500000000000008</v>
      </c>
      <c r="AJ86" s="885">
        <f t="shared" si="70"/>
        <v>0.4</v>
      </c>
      <c r="AK86" s="884">
        <f t="shared" si="71"/>
        <v>212.65838104956467</v>
      </c>
      <c r="AL86" s="884">
        <f t="shared" si="72"/>
        <v>212.65838104956467</v>
      </c>
      <c r="AM86" s="886">
        <f t="shared" si="73"/>
        <v>0</v>
      </c>
      <c r="AN86" s="884">
        <f t="shared" si="74"/>
        <v>11275.311293868985</v>
      </c>
      <c r="AO86" s="884">
        <f t="shared" si="75"/>
        <v>567.19434366766745</v>
      </c>
      <c r="AP86" s="897">
        <f t="shared" si="76"/>
        <v>378.12956244511162</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3">
        <f t="shared" si="81"/>
        <v>471.19383124565587</v>
      </c>
      <c r="BC86" s="1604">
        <f t="shared" si="82"/>
        <v>378.12956244511162</v>
      </c>
      <c r="BD86" s="1605">
        <f t="shared" si="48"/>
        <v>5.1528444021078155</v>
      </c>
      <c r="BE86" s="1604">
        <f t="shared" si="54"/>
        <v>854.47623809287529</v>
      </c>
      <c r="BF86" s="1606">
        <v>0</v>
      </c>
      <c r="BG86" s="1607">
        <f t="shared" si="83"/>
        <v>854.47623809287529</v>
      </c>
      <c r="BI86" s="1603">
        <f t="shared" si="84"/>
        <v>471.19383124565587</v>
      </c>
      <c r="BJ86" s="1604">
        <f t="shared" si="85"/>
        <v>378.12956244511162</v>
      </c>
      <c r="BK86" s="1605">
        <f t="shared" si="86"/>
        <v>5.1528444021078155</v>
      </c>
      <c r="BL86" s="1604">
        <f t="shared" si="55"/>
        <v>854.47623809287529</v>
      </c>
      <c r="BM86" s="1606">
        <v>0</v>
      </c>
      <c r="BN86" s="1607">
        <f t="shared" si="87"/>
        <v>854.47623809287529</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49">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10940.456135133396</v>
      </c>
      <c r="AE87" s="884">
        <f t="shared" si="68"/>
        <v>549.90342073558929</v>
      </c>
      <c r="AF87" s="897">
        <f t="shared" si="69"/>
        <v>366.60228049039284</v>
      </c>
      <c r="AG87" s="1449">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10940.456135133396</v>
      </c>
      <c r="AO87" s="884">
        <f t="shared" si="75"/>
        <v>549.90342073558929</v>
      </c>
      <c r="AP87" s="897">
        <f t="shared" si="76"/>
        <v>366.60228049039284</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08">
        <f t="shared" si="81"/>
        <v>466.08505262809604</v>
      </c>
      <c r="BC87" s="1609">
        <f t="shared" si="82"/>
        <v>366.60228049039284</v>
      </c>
      <c r="BD87" s="1610">
        <f t="shared" si="48"/>
        <v>5.3390322495547968</v>
      </c>
      <c r="BE87" s="1609">
        <f t="shared" si="54"/>
        <v>838.02636536804357</v>
      </c>
      <c r="BF87" s="1611">
        <v>0</v>
      </c>
      <c r="BG87" s="1612">
        <f t="shared" si="83"/>
        <v>838.02636536804357</v>
      </c>
      <c r="BI87" s="1608">
        <f t="shared" si="84"/>
        <v>466.08505262809604</v>
      </c>
      <c r="BJ87" s="1609">
        <f t="shared" si="85"/>
        <v>366.60228049039284</v>
      </c>
      <c r="BK87" s="1610">
        <f t="shared" si="86"/>
        <v>5.3390322495547968</v>
      </c>
      <c r="BL87" s="1609">
        <f t="shared" si="55"/>
        <v>838.02636536804357</v>
      </c>
      <c r="BM87" s="1611">
        <v>0</v>
      </c>
      <c r="BN87" s="1612">
        <f t="shared" si="87"/>
        <v>838.02636536804357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1225.3415122615597</v>
      </c>
      <c r="Y88" s="1011">
        <f>Parameters!S258</f>
        <v>0.71500000000000008</v>
      </c>
      <c r="Z88" s="1011">
        <f t="shared" si="63"/>
        <v>0.4</v>
      </c>
      <c r="AA88" s="1012">
        <f t="shared" si="64"/>
        <v>175.22383625340308</v>
      </c>
      <c r="AB88" s="1012">
        <f t="shared" si="65"/>
        <v>175.22383625340308</v>
      </c>
      <c r="AC88" s="1013">
        <f t="shared" si="66"/>
        <v>0</v>
      </c>
      <c r="AD88" s="1012">
        <f t="shared" si="67"/>
        <v>10582.107629451648</v>
      </c>
      <c r="AE88" s="1012">
        <f t="shared" si="68"/>
        <v>533.57234193514978</v>
      </c>
      <c r="AF88" s="1014">
        <f t="shared" si="69"/>
        <v>355.71489462343317</v>
      </c>
      <c r="AH88" s="1010">
        <f>'Recycling - Case 3'!AM178</f>
        <v>1225.3415122615597</v>
      </c>
      <c r="AI88" s="1011">
        <f>Parameters!S258</f>
        <v>0.71500000000000008</v>
      </c>
      <c r="AJ88" s="1011">
        <f t="shared" si="70"/>
        <v>0.4</v>
      </c>
      <c r="AK88" s="1012">
        <f t="shared" si="71"/>
        <v>175.22383625340308</v>
      </c>
      <c r="AL88" s="1012">
        <f t="shared" si="72"/>
        <v>175.22383625340308</v>
      </c>
      <c r="AM88" s="1013">
        <f t="shared" si="73"/>
        <v>0</v>
      </c>
      <c r="AN88" s="1012">
        <f t="shared" si="74"/>
        <v>10582.107629451648</v>
      </c>
      <c r="AO88" s="1012">
        <f t="shared" si="75"/>
        <v>533.57234193514978</v>
      </c>
      <c r="AP88" s="1014">
        <f t="shared" si="76"/>
        <v>355.71489462343317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355.71489462343317</v>
      </c>
      <c r="BD88" s="1081">
        <f>AZ88</f>
        <v>5.514377360864759</v>
      </c>
      <c r="BE88" s="1053">
        <f t="shared" si="54"/>
        <v>820.5169947820342</v>
      </c>
      <c r="BF88" s="1054">
        <v>0</v>
      </c>
      <c r="BG88" s="1074">
        <f t="shared" si="83"/>
        <v>820.5169947820342</v>
      </c>
      <c r="BI88" s="1052">
        <f t="shared" si="84"/>
        <v>459.28772279773631</v>
      </c>
      <c r="BJ88" s="1053">
        <f t="shared" si="85"/>
        <v>355.71489462343317</v>
      </c>
      <c r="BK88" s="1081">
        <f t="shared" si="86"/>
        <v>5.514377360864759</v>
      </c>
      <c r="BL88" s="1053">
        <f t="shared" si="55"/>
        <v>820.5169947820342</v>
      </c>
      <c r="BM88" s="1054">
        <v>0</v>
      </c>
      <c r="BN88" s="1074">
        <f t="shared" si="87"/>
        <v>820.5169947820342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882.77074787194999</v>
      </c>
      <c r="Y89" s="853">
        <f>Parameters!S259</f>
        <v>0.71500000000000008</v>
      </c>
      <c r="Z89" s="853">
        <f t="shared" si="63"/>
        <v>0.4</v>
      </c>
      <c r="AA89" s="854">
        <f t="shared" si="64"/>
        <v>126.23621694568887</v>
      </c>
      <c r="AB89" s="854">
        <f t="shared" si="65"/>
        <v>126.23621694568887</v>
      </c>
      <c r="AC89" s="855">
        <f t="shared" si="66"/>
        <v>0</v>
      </c>
      <c r="AD89" s="854">
        <f t="shared" si="67"/>
        <v>10192.248367313594</v>
      </c>
      <c r="AE89" s="854">
        <f t="shared" si="68"/>
        <v>516.09547908374179</v>
      </c>
      <c r="AF89" s="856">
        <f t="shared" si="69"/>
        <v>344.06365272249451</v>
      </c>
      <c r="AH89" s="852">
        <f>'Recycling - Case 3'!AM179</f>
        <v>882.77074787194999</v>
      </c>
      <c r="AI89" s="853">
        <f>Parameters!S259</f>
        <v>0.71500000000000008</v>
      </c>
      <c r="AJ89" s="853">
        <f t="shared" si="70"/>
        <v>0.4</v>
      </c>
      <c r="AK89" s="854">
        <f t="shared" si="71"/>
        <v>126.23621694568887</v>
      </c>
      <c r="AL89" s="854">
        <f t="shared" si="72"/>
        <v>126.23621694568887</v>
      </c>
      <c r="AM89" s="855">
        <f t="shared" si="73"/>
        <v>0</v>
      </c>
      <c r="AN89" s="854">
        <f t="shared" si="74"/>
        <v>10192.248367313594</v>
      </c>
      <c r="AO89" s="854">
        <f t="shared" si="75"/>
        <v>516.09547908374179</v>
      </c>
      <c r="AP89" s="856">
        <f t="shared" si="76"/>
        <v>344.06365272249451</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344.06365272249451</v>
      </c>
      <c r="BD89" s="1082">
        <f t="shared" ref="BD89:BD120" si="90">AZ89</f>
        <v>5.6979273858206847</v>
      </c>
      <c r="BE89" s="1056">
        <f t="shared" si="54"/>
        <v>801.90031185312534</v>
      </c>
      <c r="BF89" s="167">
        <v>0</v>
      </c>
      <c r="BG89" s="1075">
        <f t="shared" si="83"/>
        <v>801.90031185312534</v>
      </c>
      <c r="BI89" s="1055">
        <f t="shared" si="84"/>
        <v>452.13873174481023</v>
      </c>
      <c r="BJ89" s="1056">
        <f t="shared" si="85"/>
        <v>344.06365272249451</v>
      </c>
      <c r="BK89" s="1082">
        <f t="shared" si="86"/>
        <v>5.6979273858206847</v>
      </c>
      <c r="BL89" s="1056">
        <f t="shared" si="55"/>
        <v>801.90031185312534</v>
      </c>
      <c r="BM89" s="167">
        <v>0</v>
      </c>
      <c r="BN89" s="1075">
        <f t="shared" si="87"/>
        <v>801.90031185312534</v>
      </c>
    </row>
    <row r="90" spans="1:73">
      <c r="A90" s="927">
        <f>'Input data'!A120</f>
        <v>2020</v>
      </c>
      <c r="B90" s="824">
        <f>'Input data'!B120</f>
        <v>59.233695328537607</v>
      </c>
      <c r="C90" s="824">
        <f>'Recycling - Case 3'!AK100/B90</f>
        <v>397.8493879866673</v>
      </c>
      <c r="D90" s="825">
        <f>'Recycling - Case 3'!AM100</f>
        <v>0.38303620655521381</v>
      </c>
      <c r="E90" s="826">
        <f>'Recycling - Case 3'!BE100</f>
        <v>0.22351206103010784</v>
      </c>
      <c r="F90" s="826">
        <f>'Recycling - Case 3'!BF100</f>
        <v>0.28347376158239063</v>
      </c>
      <c r="G90" s="826">
        <f>'Recycling - Case 3'!BG100</f>
        <v>6.1781157599113901E-2</v>
      </c>
      <c r="H90" s="826">
        <f>'Recycling - Case 3'!BH100</f>
        <v>0</v>
      </c>
      <c r="I90" s="826">
        <f>'Recycling - Case 3'!BI100</f>
        <v>0</v>
      </c>
      <c r="J90" s="826">
        <f>'Recycling - Case 3'!BJ100</f>
        <v>0</v>
      </c>
      <c r="K90" s="826">
        <f>'Recycling - Case 3'!BK100</f>
        <v>0.43123301978838768</v>
      </c>
      <c r="L90" s="827">
        <f t="shared" si="89"/>
        <v>1</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0.11493402451063986</v>
      </c>
      <c r="Q90" s="832">
        <f t="shared" si="57"/>
        <v>410.99812449503804</v>
      </c>
      <c r="R90" s="832">
        <f t="shared" si="58"/>
        <v>410.99812449503804</v>
      </c>
      <c r="S90" s="835">
        <f t="shared" si="59"/>
        <v>0</v>
      </c>
      <c r="T90" s="832">
        <f t="shared" si="60"/>
        <v>13423.383296353275</v>
      </c>
      <c r="U90" s="832">
        <f t="shared" si="61"/>
        <v>667.15925422828968</v>
      </c>
      <c r="V90" s="839">
        <f t="shared" si="62"/>
        <v>444.77283615219312</v>
      </c>
      <c r="X90" s="852">
        <f>'Recycling - Case 3'!AM140</f>
        <v>681.01604227970654</v>
      </c>
      <c r="Y90" s="853">
        <f>Parameters!S260</f>
        <v>0.71500000000000008</v>
      </c>
      <c r="Z90" s="853">
        <f t="shared" si="63"/>
        <v>0.4</v>
      </c>
      <c r="AA90" s="854">
        <f t="shared" si="64"/>
        <v>97.385294045998052</v>
      </c>
      <c r="AB90" s="854">
        <f t="shared" si="65"/>
        <v>97.385294045998052</v>
      </c>
      <c r="AC90" s="855">
        <f t="shared" si="66"/>
        <v>0</v>
      </c>
      <c r="AD90" s="854">
        <f t="shared" si="67"/>
        <v>9792.5518428540508</v>
      </c>
      <c r="AE90" s="854">
        <f t="shared" si="68"/>
        <v>497.08181850554195</v>
      </c>
      <c r="AF90" s="856">
        <f t="shared" si="69"/>
        <v>331.38787900369465</v>
      </c>
      <c r="AH90" s="852">
        <f>'Recycling - Case 3'!AM180</f>
        <v>681.01604227970654</v>
      </c>
      <c r="AI90" s="853">
        <f>Parameters!S260</f>
        <v>0.71500000000000008</v>
      </c>
      <c r="AJ90" s="853">
        <f t="shared" si="70"/>
        <v>0.4</v>
      </c>
      <c r="AK90" s="854">
        <f t="shared" si="71"/>
        <v>97.385294045998052</v>
      </c>
      <c r="AL90" s="854">
        <f t="shared" si="72"/>
        <v>97.385294045998052</v>
      </c>
      <c r="AM90" s="855">
        <f t="shared" si="73"/>
        <v>0</v>
      </c>
      <c r="AN90" s="854">
        <f t="shared" si="74"/>
        <v>9792.5518428540508</v>
      </c>
      <c r="AO90" s="854">
        <f t="shared" si="75"/>
        <v>497.08181850554195</v>
      </c>
      <c r="AP90" s="856">
        <f t="shared" si="76"/>
        <v>331.38787900369465</v>
      </c>
      <c r="AR90" s="850">
        <f>'Recycling - Case 3'!G100</f>
        <v>558.6740082346364</v>
      </c>
      <c r="AS90" s="846">
        <v>1</v>
      </c>
      <c r="AT90" s="846">
        <f t="shared" si="77"/>
        <v>0.05</v>
      </c>
      <c r="AU90" s="832">
        <f t="shared" si="78"/>
        <v>13.96685020586591</v>
      </c>
      <c r="AV90" s="832">
        <f t="shared" si="79"/>
        <v>13.96685020586591</v>
      </c>
      <c r="AW90" s="835">
        <f t="shared" si="80"/>
        <v>0</v>
      </c>
      <c r="AX90" s="832">
        <f t="shared" si="44"/>
        <v>156.83558984556072</v>
      </c>
      <c r="AY90" s="832">
        <f t="shared" si="49"/>
        <v>8.8345094686068517</v>
      </c>
      <c r="AZ90" s="930">
        <f t="shared" si="47"/>
        <v>5.8896729790712348</v>
      </c>
      <c r="BA90" s="4"/>
      <c r="BB90" s="1055">
        <f t="shared" si="81"/>
        <v>444.77283615219312</v>
      </c>
      <c r="BC90" s="1056">
        <f t="shared" si="82"/>
        <v>331.38787900369465</v>
      </c>
      <c r="BD90" s="1082">
        <f t="shared" si="90"/>
        <v>5.8896729790712348</v>
      </c>
      <c r="BE90" s="1056">
        <f t="shared" si="54"/>
        <v>782.05038813495901</v>
      </c>
      <c r="BF90" s="167">
        <v>0</v>
      </c>
      <c r="BG90" s="1075">
        <f t="shared" si="83"/>
        <v>782.05038813495901</v>
      </c>
      <c r="BI90" s="1055">
        <f t="shared" si="84"/>
        <v>444.77283615219312</v>
      </c>
      <c r="BJ90" s="1056">
        <f t="shared" si="85"/>
        <v>331.38787900369465</v>
      </c>
      <c r="BK90" s="1082">
        <f t="shared" si="86"/>
        <v>5.8896729790712348</v>
      </c>
      <c r="BL90" s="1056">
        <f t="shared" si="55"/>
        <v>782.05038813495901</v>
      </c>
      <c r="BM90" s="167">
        <v>0</v>
      </c>
      <c r="BN90" s="1075">
        <f t="shared" si="87"/>
        <v>782.05038813495901</v>
      </c>
    </row>
    <row r="91" spans="1:73">
      <c r="A91" s="927">
        <f>'Input data'!A121</f>
        <v>2021</v>
      </c>
      <c r="B91" s="824">
        <f>'Input data'!B121</f>
        <v>60.170135702880636</v>
      </c>
      <c r="C91" s="824">
        <f>'Recycling - Case 3'!AK101/B91</f>
        <v>382.19225958949846</v>
      </c>
      <c r="D91" s="825">
        <f>'Recycling - Case 3'!AM101</f>
        <v>0.31498712956144492</v>
      </c>
      <c r="E91" s="826">
        <f>'Recycling - Case 3'!BE101</f>
        <v>0.19736152043486341</v>
      </c>
      <c r="F91" s="826">
        <f>'Recycling - Case 3'!BF101</f>
        <v>0.25030780142890974</v>
      </c>
      <c r="G91" s="826">
        <f>'Recycling - Case 3'!BG101</f>
        <v>6.8376800756689768E-2</v>
      </c>
      <c r="H91" s="826">
        <f>'Recycling - Case 3'!BH101</f>
        <v>0</v>
      </c>
      <c r="I91" s="826">
        <f>'Recycling - Case 3'!BI101</f>
        <v>0</v>
      </c>
      <c r="J91" s="826">
        <f>'Recycling - Case 3'!BJ101</f>
        <v>0</v>
      </c>
      <c r="K91" s="826">
        <f>'Recycling - Case 3'!BK101</f>
        <v>0.48395387737953699</v>
      </c>
      <c r="L91" s="827">
        <f t="shared" si="89"/>
        <v>0.99999999999999989</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0.10701650865368736</v>
      </c>
      <c r="Q91" s="832">
        <f t="shared" si="57"/>
        <v>315.1433189983041</v>
      </c>
      <c r="R91" s="832">
        <f t="shared" si="58"/>
        <v>315.1433189983041</v>
      </c>
      <c r="S91" s="835">
        <f t="shared" si="59"/>
        <v>0</v>
      </c>
      <c r="T91" s="832">
        <f t="shared" si="60"/>
        <v>13083.860486840927</v>
      </c>
      <c r="U91" s="832">
        <f t="shared" si="61"/>
        <v>654.66612851065179</v>
      </c>
      <c r="V91" s="839">
        <f t="shared" si="62"/>
        <v>436.44408567376786</v>
      </c>
      <c r="W91" s="4"/>
      <c r="X91" s="852">
        <f>'Recycling - Case 3'!AM141</f>
        <v>109.8246379386195</v>
      </c>
      <c r="Y91" s="853">
        <f>Parameters!S261</f>
        <v>0.71500000000000008</v>
      </c>
      <c r="Z91" s="853">
        <f t="shared" si="63"/>
        <v>0.4</v>
      </c>
      <c r="AA91" s="854">
        <f t="shared" si="64"/>
        <v>15.704923225222592</v>
      </c>
      <c r="AB91" s="854">
        <f t="shared" si="65"/>
        <v>15.704923225222592</v>
      </c>
      <c r="AC91" s="855">
        <f t="shared" si="66"/>
        <v>0</v>
      </c>
      <c r="AD91" s="854">
        <f t="shared" si="67"/>
        <v>9330.6683770966883</v>
      </c>
      <c r="AE91" s="854">
        <f t="shared" si="68"/>
        <v>477.58838898258557</v>
      </c>
      <c r="AF91" s="856">
        <f t="shared" si="69"/>
        <v>318.39225932172371</v>
      </c>
      <c r="AG91" s="4"/>
      <c r="AH91" s="852">
        <f>'Recycling - Case 3'!AM181</f>
        <v>109.8246379386195</v>
      </c>
      <c r="AI91" s="853">
        <f>Parameters!S261</f>
        <v>0.71500000000000008</v>
      </c>
      <c r="AJ91" s="853">
        <f t="shared" si="70"/>
        <v>0.4</v>
      </c>
      <c r="AK91" s="854">
        <f t="shared" si="71"/>
        <v>15.704923225222592</v>
      </c>
      <c r="AL91" s="854">
        <f t="shared" si="72"/>
        <v>15.704923225222592</v>
      </c>
      <c r="AM91" s="855">
        <f t="shared" si="73"/>
        <v>0</v>
      </c>
      <c r="AN91" s="854">
        <f t="shared" si="74"/>
        <v>9330.6683770966883</v>
      </c>
      <c r="AO91" s="854">
        <f t="shared" si="75"/>
        <v>477.58838898258557</v>
      </c>
      <c r="AP91" s="856">
        <f t="shared" si="76"/>
        <v>318.39225932172371</v>
      </c>
      <c r="AR91" s="850">
        <f>'Recycling - Case 3'!G101</f>
        <v>578.89601647789198</v>
      </c>
      <c r="AS91" s="846">
        <v>1</v>
      </c>
      <c r="AT91" s="846">
        <f t="shared" si="77"/>
        <v>0.05</v>
      </c>
      <c r="AU91" s="832">
        <f t="shared" si="78"/>
        <v>14.4724004119473</v>
      </c>
      <c r="AV91" s="832">
        <f t="shared" si="79"/>
        <v>14.4724004119473</v>
      </c>
      <c r="AW91" s="835">
        <f t="shared" si="80"/>
        <v>0</v>
      </c>
      <c r="AX91" s="832">
        <f t="shared" si="44"/>
        <v>162.17459653226231</v>
      </c>
      <c r="AY91" s="832">
        <f t="shared" si="49"/>
        <v>9.1333937252456945</v>
      </c>
      <c r="AZ91" s="930">
        <f t="shared" si="47"/>
        <v>6.0889291501637963</v>
      </c>
      <c r="BA91" s="4"/>
      <c r="BB91" s="1055">
        <f t="shared" si="81"/>
        <v>436.44408567376786</v>
      </c>
      <c r="BC91" s="1056">
        <f t="shared" si="82"/>
        <v>318.39225932172371</v>
      </c>
      <c r="BD91" s="1082">
        <f t="shared" si="90"/>
        <v>6.0889291501637963</v>
      </c>
      <c r="BE91" s="1056">
        <f t="shared" si="54"/>
        <v>760.92527414565541</v>
      </c>
      <c r="BF91" s="167">
        <v>0</v>
      </c>
      <c r="BG91" s="1075">
        <f t="shared" si="83"/>
        <v>760.92527414565541</v>
      </c>
      <c r="BI91" s="1055">
        <f t="shared" si="84"/>
        <v>436.44408567376786</v>
      </c>
      <c r="BJ91" s="1056">
        <f t="shared" si="85"/>
        <v>318.39225932172371</v>
      </c>
      <c r="BK91" s="1082">
        <f t="shared" si="86"/>
        <v>6.0889291501637963</v>
      </c>
      <c r="BL91" s="1056">
        <f t="shared" si="55"/>
        <v>760.92527414565541</v>
      </c>
      <c r="BM91" s="167">
        <v>0</v>
      </c>
      <c r="BN91" s="1075">
        <f t="shared" si="87"/>
        <v>760.92527414565541</v>
      </c>
    </row>
    <row r="92" spans="1:73">
      <c r="A92" s="927">
        <f>'Input data'!A122</f>
        <v>2022</v>
      </c>
      <c r="B92" s="824">
        <f>'Input data'!B122</f>
        <v>61.14166465104848</v>
      </c>
      <c r="C92" s="824">
        <f>'Recycling - Case 3'!AK102/B92</f>
        <v>355.54487188414544</v>
      </c>
      <c r="D92" s="825">
        <f>'Recycling - Case 3'!AM102</f>
        <v>0.25631891547966201</v>
      </c>
      <c r="E92" s="826">
        <f>'Recycling - Case 3'!BE102</f>
        <v>0.18360143536827261</v>
      </c>
      <c r="F92" s="826">
        <f>'Recycling - Case 3'!BF102</f>
        <v>0.23285629095764818</v>
      </c>
      <c r="G92" s="826">
        <f>'Recycling - Case 3'!BG102</f>
        <v>7.1316753843621655E-2</v>
      </c>
      <c r="H92" s="826">
        <f>'Recycling - Case 3'!BH102</f>
        <v>0</v>
      </c>
      <c r="I92" s="826">
        <f>'Recycling - Case 3'!BI102</f>
        <v>0</v>
      </c>
      <c r="J92" s="826">
        <f>'Recycling - Case 3'!BJ102</f>
        <v>0</v>
      </c>
      <c r="K92" s="826">
        <f>'Recycling - Case 3'!BK102</f>
        <v>0.51222551983045739</v>
      </c>
      <c r="L92" s="827">
        <f t="shared" si="89"/>
        <v>0.99999999999999989</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0.10263817503421918</v>
      </c>
      <c r="Q92" s="832">
        <f t="shared" si="57"/>
        <v>238.43894429889565</v>
      </c>
      <c r="R92" s="832">
        <f t="shared" si="58"/>
        <v>238.43894429889565</v>
      </c>
      <c r="S92" s="835">
        <f t="shared" si="59"/>
        <v>0</v>
      </c>
      <c r="T92" s="832">
        <f t="shared" si="60"/>
        <v>12684.192025444223</v>
      </c>
      <c r="U92" s="832">
        <f t="shared" si="61"/>
        <v>638.10740569560016</v>
      </c>
      <c r="V92" s="839">
        <f t="shared" si="62"/>
        <v>425.40493713040013</v>
      </c>
      <c r="W92" s="4"/>
      <c r="X92" s="852">
        <f>'Recycling - Case 3'!AM142</f>
        <v>0</v>
      </c>
      <c r="Y92" s="853">
        <f>Parameters!S262</f>
        <v>0.71500000000000008</v>
      </c>
      <c r="Z92" s="853">
        <f t="shared" si="63"/>
        <v>0.4</v>
      </c>
      <c r="AA92" s="854">
        <f t="shared" si="64"/>
        <v>0</v>
      </c>
      <c r="AB92" s="854">
        <f t="shared" si="65"/>
        <v>0</v>
      </c>
      <c r="AC92" s="855">
        <f t="shared" si="66"/>
        <v>0</v>
      </c>
      <c r="AD92" s="854">
        <f t="shared" si="67"/>
        <v>8875.6063105526937</v>
      </c>
      <c r="AE92" s="854">
        <f t="shared" si="68"/>
        <v>455.06206654399426</v>
      </c>
      <c r="AF92" s="856">
        <f t="shared" si="69"/>
        <v>303.37471102932949</v>
      </c>
      <c r="AG92" s="4"/>
      <c r="AH92" s="852">
        <f>'Recycling - Case 3'!AM182</f>
        <v>0</v>
      </c>
      <c r="AI92" s="853">
        <f>Parameters!S262</f>
        <v>0.71500000000000008</v>
      </c>
      <c r="AJ92" s="853">
        <f t="shared" si="70"/>
        <v>0.4</v>
      </c>
      <c r="AK92" s="854">
        <f t="shared" si="71"/>
        <v>0</v>
      </c>
      <c r="AL92" s="854">
        <f t="shared" si="72"/>
        <v>0</v>
      </c>
      <c r="AM92" s="855">
        <f t="shared" si="73"/>
        <v>0</v>
      </c>
      <c r="AN92" s="854">
        <f t="shared" si="74"/>
        <v>8875.6063105526937</v>
      </c>
      <c r="AO92" s="854">
        <f t="shared" si="75"/>
        <v>455.06206654399426</v>
      </c>
      <c r="AP92" s="856">
        <f t="shared" si="76"/>
        <v>303.37471102932949</v>
      </c>
      <c r="AR92" s="850">
        <f>'Recycling - Case 3'!G102</f>
        <v>599.81677678315214</v>
      </c>
      <c r="AS92" s="846">
        <v>1</v>
      </c>
      <c r="AT92" s="846">
        <f t="shared" si="77"/>
        <v>0.05</v>
      </c>
      <c r="AU92" s="832">
        <f t="shared" si="78"/>
        <v>14.995419419578804</v>
      </c>
      <c r="AV92" s="832">
        <f t="shared" si="79"/>
        <v>14.995419419578804</v>
      </c>
      <c r="AW92" s="835">
        <f t="shared" si="80"/>
        <v>0</v>
      </c>
      <c r="AX92" s="832">
        <f t="shared" si="44"/>
        <v>167.72570268199854</v>
      </c>
      <c r="AY92" s="832">
        <f t="shared" si="49"/>
        <v>9.444313269842576</v>
      </c>
      <c r="AZ92" s="930">
        <f t="shared" si="47"/>
        <v>6.2962088465617176</v>
      </c>
      <c r="BA92" s="4"/>
      <c r="BB92" s="1055">
        <f t="shared" si="81"/>
        <v>425.40493713040013</v>
      </c>
      <c r="BC92" s="1056">
        <f t="shared" si="82"/>
        <v>303.37471102932949</v>
      </c>
      <c r="BD92" s="1082">
        <f t="shared" si="90"/>
        <v>6.2962088465617176</v>
      </c>
      <c r="BE92" s="1056">
        <f t="shared" si="54"/>
        <v>735.07585700629136</v>
      </c>
      <c r="BF92" s="167">
        <v>0</v>
      </c>
      <c r="BG92" s="1075">
        <f t="shared" si="83"/>
        <v>735.07585700629136</v>
      </c>
      <c r="BI92" s="1055">
        <f t="shared" si="84"/>
        <v>425.40493713040013</v>
      </c>
      <c r="BJ92" s="1056">
        <f t="shared" si="85"/>
        <v>303.37471102932949</v>
      </c>
      <c r="BK92" s="1082">
        <f t="shared" si="86"/>
        <v>6.2962088465617176</v>
      </c>
      <c r="BL92" s="1056">
        <f t="shared" si="55"/>
        <v>735.07585700629136</v>
      </c>
      <c r="BM92" s="167">
        <v>0</v>
      </c>
      <c r="BN92" s="1075">
        <f t="shared" si="87"/>
        <v>735.07585700629136</v>
      </c>
    </row>
    <row r="93" spans="1:73">
      <c r="A93" s="927">
        <f>'Input data'!A123</f>
        <v>2023</v>
      </c>
      <c r="B93" s="824">
        <f>'Input data'!B123</f>
        <v>62.126086164056694</v>
      </c>
      <c r="C93" s="824">
        <f>'Recycling - Case 3'!AK103/B93</f>
        <v>346.52989939277177</v>
      </c>
      <c r="D93" s="825">
        <f>'Recycling - Case 3'!AM103</f>
        <v>0.24329068493994582</v>
      </c>
      <c r="E93" s="826">
        <f>'Recycling - Case 3'!BE103</f>
        <v>0.18745716246972946</v>
      </c>
      <c r="F93" s="826">
        <f>'Recycling - Case 3'!BF103</f>
        <v>0.2377463960376506</v>
      </c>
      <c r="G93" s="826">
        <f>'Recycling - Case 3'!BG103</f>
        <v>6.9296646547789428E-2</v>
      </c>
      <c r="H93" s="826">
        <f>'Recycling - Case 3'!BH103</f>
        <v>0</v>
      </c>
      <c r="I93" s="826">
        <f>'Recycling - Case 3'!BI103</f>
        <v>0</v>
      </c>
      <c r="J93" s="826">
        <f>'Recycling - Case 3'!BJ103</f>
        <v>0</v>
      </c>
      <c r="K93" s="826">
        <f>'Recycling - Case 3'!BK103</f>
        <v>0.50549979494483033</v>
      </c>
      <c r="L93" s="827">
        <f t="shared" si="89"/>
        <v>0.99999999999999978</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0.10338651219710532</v>
      </c>
      <c r="Q93" s="832">
        <f t="shared" si="57"/>
        <v>231.39010524170777</v>
      </c>
      <c r="R93" s="832">
        <f t="shared" si="58"/>
        <v>231.39010524170777</v>
      </c>
      <c r="S93" s="835">
        <f t="shared" si="59"/>
        <v>0</v>
      </c>
      <c r="T93" s="832">
        <f t="shared" si="60"/>
        <v>12296.966785861561</v>
      </c>
      <c r="U93" s="832">
        <f t="shared" si="61"/>
        <v>618.61534482436866</v>
      </c>
      <c r="V93" s="839">
        <f t="shared" si="62"/>
        <v>412.41022988291246</v>
      </c>
      <c r="W93" s="4"/>
      <c r="X93" s="852">
        <f>'Recycling - Case 3'!AM143</f>
        <v>0</v>
      </c>
      <c r="Y93" s="853">
        <f>Parameters!S263</f>
        <v>0.71500000000000008</v>
      </c>
      <c r="Z93" s="853">
        <f t="shared" si="63"/>
        <v>0.4</v>
      </c>
      <c r="AA93" s="854">
        <f t="shared" si="64"/>
        <v>0</v>
      </c>
      <c r="AB93" s="854">
        <f t="shared" si="65"/>
        <v>0</v>
      </c>
      <c r="AC93" s="855">
        <f t="shared" si="66"/>
        <v>0</v>
      </c>
      <c r="AD93" s="854">
        <f t="shared" si="67"/>
        <v>8442.7378828819437</v>
      </c>
      <c r="AE93" s="854">
        <f t="shared" si="68"/>
        <v>432.86842767074927</v>
      </c>
      <c r="AF93" s="856">
        <f t="shared" si="69"/>
        <v>288.57895178049949</v>
      </c>
      <c r="AG93" s="4"/>
      <c r="AH93" s="852">
        <f>'Recycling - Case 3'!AM183</f>
        <v>0</v>
      </c>
      <c r="AI93" s="853">
        <f>Parameters!S263</f>
        <v>0.71500000000000008</v>
      </c>
      <c r="AJ93" s="853">
        <f t="shared" si="70"/>
        <v>0.4</v>
      </c>
      <c r="AK93" s="854">
        <f t="shared" si="71"/>
        <v>0</v>
      </c>
      <c r="AL93" s="854">
        <f t="shared" si="72"/>
        <v>0</v>
      </c>
      <c r="AM93" s="855">
        <f t="shared" si="73"/>
        <v>0</v>
      </c>
      <c r="AN93" s="854">
        <f t="shared" si="74"/>
        <v>8442.7378828819437</v>
      </c>
      <c r="AO93" s="854">
        <f t="shared" si="75"/>
        <v>432.86842767074927</v>
      </c>
      <c r="AP93" s="856">
        <f t="shared" si="76"/>
        <v>288.57895178049949</v>
      </c>
      <c r="AQ93" s="4"/>
      <c r="AR93" s="850">
        <f>'Recycling - Case 3'!G103</f>
        <v>621.23426463587145</v>
      </c>
      <c r="AS93" s="846">
        <v>1</v>
      </c>
      <c r="AT93" s="846">
        <f t="shared" si="77"/>
        <v>0.05</v>
      </c>
      <c r="AU93" s="832">
        <f t="shared" si="78"/>
        <v>15.530856615896788</v>
      </c>
      <c r="AV93" s="832">
        <f t="shared" si="79"/>
        <v>15.530856615896788</v>
      </c>
      <c r="AW93" s="835">
        <f t="shared" si="80"/>
        <v>0</v>
      </c>
      <c r="AX93" s="832">
        <f t="shared" si="44"/>
        <v>173.48897477229951</v>
      </c>
      <c r="AY93" s="832">
        <f t="shared" si="49"/>
        <v>9.7675845255958098</v>
      </c>
      <c r="AZ93" s="930">
        <f t="shared" si="47"/>
        <v>6.5117230170638729</v>
      </c>
      <c r="BA93" s="4"/>
      <c r="BB93" s="1055">
        <f t="shared" si="81"/>
        <v>412.41022988291246</v>
      </c>
      <c r="BC93" s="1056">
        <f t="shared" si="82"/>
        <v>288.57895178049949</v>
      </c>
      <c r="BD93" s="1082">
        <f t="shared" si="90"/>
        <v>6.5117230170638729</v>
      </c>
      <c r="BE93" s="1056">
        <f t="shared" si="54"/>
        <v>707.50090468047586</v>
      </c>
      <c r="BF93" s="167">
        <v>0</v>
      </c>
      <c r="BG93" s="1075">
        <f t="shared" si="83"/>
        <v>707.50090468047586</v>
      </c>
      <c r="BI93" s="1055">
        <f t="shared" si="84"/>
        <v>412.41022988291246</v>
      </c>
      <c r="BJ93" s="1056">
        <f t="shared" si="85"/>
        <v>288.57895178049949</v>
      </c>
      <c r="BK93" s="1082">
        <f t="shared" si="86"/>
        <v>6.5117230170638729</v>
      </c>
      <c r="BL93" s="1056">
        <f t="shared" si="55"/>
        <v>707.50090468047586</v>
      </c>
      <c r="BM93" s="167">
        <v>0</v>
      </c>
      <c r="BN93" s="1075">
        <f t="shared" si="87"/>
        <v>707.50090468047586</v>
      </c>
    </row>
    <row r="94" spans="1:73">
      <c r="A94" s="927">
        <f>'Input data'!A124</f>
        <v>2024</v>
      </c>
      <c r="B94" s="824">
        <f>'Input data'!B124</f>
        <v>63.126357518916684</v>
      </c>
      <c r="C94" s="824">
        <f>'Recycling - Case 3'!AK104/B94</f>
        <v>337.77654581786828</v>
      </c>
      <c r="D94" s="825">
        <f>'Recycling - Case 3'!AM104</f>
        <v>0.2299613163419901</v>
      </c>
      <c r="E94" s="826">
        <f>'Recycling - Case 3'!BE104</f>
        <v>0.19134670304670273</v>
      </c>
      <c r="F94" s="826">
        <f>'Recycling - Case 3'!BF104</f>
        <v>0.24267938575239112</v>
      </c>
      <c r="G94" s="826">
        <f>'Recycling - Case 3'!BG104</f>
        <v>6.7253035129584013E-2</v>
      </c>
      <c r="H94" s="826">
        <f>'Recycling - Case 3'!BH104</f>
        <v>0</v>
      </c>
      <c r="I94" s="826">
        <f>'Recycling - Case 3'!BI104</f>
        <v>0</v>
      </c>
      <c r="J94" s="826">
        <f>'Recycling - Case 3'!BJ104</f>
        <v>0</v>
      </c>
      <c r="K94" s="826">
        <f>'Recycling - Case 3'!BK104</f>
        <v>0.49872087607132221</v>
      </c>
      <c r="L94" s="827">
        <f t="shared" si="89"/>
        <v>1</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0.10413909665931723</v>
      </c>
      <c r="Q94" s="832">
        <f t="shared" si="57"/>
        <v>223.50010268646156</v>
      </c>
      <c r="R94" s="832">
        <f t="shared" si="58"/>
        <v>223.50010268646156</v>
      </c>
      <c r="S94" s="835">
        <f t="shared" si="59"/>
        <v>0</v>
      </c>
      <c r="T94" s="832">
        <f t="shared" si="60"/>
        <v>11920.736741505949</v>
      </c>
      <c r="U94" s="832">
        <f t="shared" si="61"/>
        <v>599.73014704207333</v>
      </c>
      <c r="V94" s="839">
        <f t="shared" si="62"/>
        <v>399.8200980280489</v>
      </c>
      <c r="W94" s="4"/>
      <c r="X94" s="852">
        <f>'Recycling - Case 3'!AM144</f>
        <v>0</v>
      </c>
      <c r="Y94" s="853">
        <f>Parameters!S264</f>
        <v>0.71500000000000008</v>
      </c>
      <c r="Z94" s="853">
        <f t="shared" si="63"/>
        <v>0.4</v>
      </c>
      <c r="AA94" s="854">
        <f t="shared" si="64"/>
        <v>0</v>
      </c>
      <c r="AB94" s="854">
        <f t="shared" si="65"/>
        <v>0</v>
      </c>
      <c r="AC94" s="855">
        <f t="shared" si="66"/>
        <v>0</v>
      </c>
      <c r="AD94" s="854">
        <f t="shared" si="67"/>
        <v>8030.9806975441679</v>
      </c>
      <c r="AE94" s="854">
        <f t="shared" si="68"/>
        <v>411.75718533777575</v>
      </c>
      <c r="AF94" s="856">
        <f t="shared" si="69"/>
        <v>274.50479022518385</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8030.9806975441679</v>
      </c>
      <c r="AO94" s="854">
        <f t="shared" si="75"/>
        <v>411.75718533777575</v>
      </c>
      <c r="AP94" s="856">
        <f t="shared" si="76"/>
        <v>274.50479022518385</v>
      </c>
      <c r="AQ94" s="4"/>
      <c r="AR94" s="850">
        <f>'Recycling - Case 3'!G104</f>
        <v>643.18593275221235</v>
      </c>
      <c r="AS94" s="846">
        <v>1</v>
      </c>
      <c r="AT94" s="846">
        <f t="shared" si="77"/>
        <v>0.05</v>
      </c>
      <c r="AU94" s="832">
        <f t="shared" si="78"/>
        <v>16.079648318805308</v>
      </c>
      <c r="AV94" s="832">
        <f t="shared" si="79"/>
        <v>16.079648318805308</v>
      </c>
      <c r="AW94" s="835">
        <f t="shared" si="80"/>
        <v>0</v>
      </c>
      <c r="AX94" s="832">
        <f t="shared" si="44"/>
        <v>179.46541172724946</v>
      </c>
      <c r="AY94" s="832">
        <f t="shared" si="49"/>
        <v>10.103211363855369</v>
      </c>
      <c r="AZ94" s="930">
        <f t="shared" si="47"/>
        <v>6.7354742425702456</v>
      </c>
      <c r="BA94" s="4"/>
      <c r="BB94" s="1055">
        <f t="shared" si="81"/>
        <v>399.8200980280489</v>
      </c>
      <c r="BC94" s="1056">
        <f t="shared" si="82"/>
        <v>274.50479022518385</v>
      </c>
      <c r="BD94" s="1082">
        <f t="shared" si="90"/>
        <v>6.7354742425702456</v>
      </c>
      <c r="BE94" s="1056">
        <f t="shared" si="54"/>
        <v>681.06036249580302</v>
      </c>
      <c r="BF94" s="167">
        <v>0</v>
      </c>
      <c r="BG94" s="1075">
        <f t="shared" si="83"/>
        <v>681.06036249580302</v>
      </c>
      <c r="BI94" s="1055">
        <f t="shared" si="84"/>
        <v>399.8200980280489</v>
      </c>
      <c r="BJ94" s="1056">
        <f t="shared" si="85"/>
        <v>274.50479022518385</v>
      </c>
      <c r="BK94" s="1082">
        <f t="shared" si="86"/>
        <v>6.7354742425702456</v>
      </c>
      <c r="BL94" s="1056">
        <f t="shared" si="55"/>
        <v>681.06036249580302</v>
      </c>
      <c r="BM94" s="167">
        <v>0</v>
      </c>
      <c r="BN94" s="1075">
        <f t="shared" si="87"/>
        <v>681.06036249580302</v>
      </c>
    </row>
    <row r="95" spans="1:73">
      <c r="A95" s="927">
        <f>'Input data'!A125</f>
        <v>2025</v>
      </c>
      <c r="B95" s="824">
        <f>'Input data'!B125</f>
        <v>64.142733908636146</v>
      </c>
      <c r="C95" s="824">
        <f>'Recycling - Case 3'!AK105/B95</f>
        <v>329.2785704856388</v>
      </c>
      <c r="D95" s="825">
        <f>'Recycling - Case 3'!AM105</f>
        <v>0.21632925405871489</v>
      </c>
      <c r="E95" s="826">
        <f>'Recycling - Case 3'!BE105</f>
        <v>0.19527224608582083</v>
      </c>
      <c r="F95" s="826">
        <f>'Recycling - Case 3'!BF105</f>
        <v>0.24765803632911534</v>
      </c>
      <c r="G95" s="826">
        <f>'Recycling - Case 3'!BG105</f>
        <v>6.5184733616196297E-2</v>
      </c>
      <c r="H95" s="826">
        <f>'Recycling - Case 3'!BH105</f>
        <v>0</v>
      </c>
      <c r="I95" s="826">
        <f>'Recycling - Case 3'!BI105</f>
        <v>0</v>
      </c>
      <c r="J95" s="826">
        <f>'Recycling - Case 3'!BJ105</f>
        <v>0</v>
      </c>
      <c r="K95" s="826">
        <f>'Recycling - Case 3'!BK105</f>
        <v>0.49188498396886748</v>
      </c>
      <c r="L95" s="827">
        <f t="shared" si="89"/>
        <v>0.99999999999999989</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0.10489633762517471</v>
      </c>
      <c r="Q95" s="832">
        <f t="shared" si="57"/>
        <v>214.7529260127512</v>
      </c>
      <c r="R95" s="832">
        <f t="shared" si="58"/>
        <v>214.7529260127512</v>
      </c>
      <c r="S95" s="835">
        <f t="shared" si="59"/>
        <v>0</v>
      </c>
      <c r="T95" s="832">
        <f t="shared" si="60"/>
        <v>11554.108476259971</v>
      </c>
      <c r="U95" s="832">
        <f t="shared" si="61"/>
        <v>581.38119125872822</v>
      </c>
      <c r="V95" s="839">
        <f t="shared" si="62"/>
        <v>387.58746083915213</v>
      </c>
      <c r="W95" s="4"/>
      <c r="X95" s="852">
        <f>'Recycling - Case 3'!AM145</f>
        <v>0</v>
      </c>
      <c r="Y95" s="853">
        <f>Parameters!S265</f>
        <v>0.71500000000000008</v>
      </c>
      <c r="Z95" s="853">
        <f t="shared" si="63"/>
        <v>0.4</v>
      </c>
      <c r="AA95" s="854">
        <f t="shared" si="64"/>
        <v>0</v>
      </c>
      <c r="AB95" s="854">
        <f t="shared" si="65"/>
        <v>0</v>
      </c>
      <c r="AC95" s="855">
        <f t="shared" si="66"/>
        <v>0</v>
      </c>
      <c r="AD95" s="854">
        <f t="shared" si="67"/>
        <v>7639.3051471012814</v>
      </c>
      <c r="AE95" s="854">
        <f t="shared" si="68"/>
        <v>391.67555044288628</v>
      </c>
      <c r="AF95" s="856">
        <f t="shared" si="69"/>
        <v>261.11703362859083</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7639.3051471012814</v>
      </c>
      <c r="AO95" s="854">
        <f t="shared" si="75"/>
        <v>391.67555044288628</v>
      </c>
      <c r="AP95" s="856">
        <f t="shared" si="76"/>
        <v>261.11703362859083</v>
      </c>
      <c r="AQ95" s="4"/>
      <c r="AR95" s="850">
        <f>'Recycling - Case 3'!G105</f>
        <v>665.68343036180283</v>
      </c>
      <c r="AS95" s="846">
        <v>1</v>
      </c>
      <c r="AT95" s="846">
        <f t="shared" si="77"/>
        <v>0.05</v>
      </c>
      <c r="AU95" s="832">
        <f t="shared" si="78"/>
        <v>16.64208575904507</v>
      </c>
      <c r="AV95" s="832">
        <f t="shared" si="79"/>
        <v>16.64208575904507</v>
      </c>
      <c r="AW95" s="835">
        <f t="shared" si="80"/>
        <v>0</v>
      </c>
      <c r="AX95" s="832">
        <f t="shared" si="44"/>
        <v>185.65624552886331</v>
      </c>
      <c r="AY95" s="832">
        <f t="shared" si="49"/>
        <v>10.451251957431213</v>
      </c>
      <c r="AZ95" s="930">
        <f t="shared" si="47"/>
        <v>6.9675013049541414</v>
      </c>
      <c r="BA95" s="4"/>
      <c r="BB95" s="1055">
        <f t="shared" si="81"/>
        <v>387.58746083915213</v>
      </c>
      <c r="BC95" s="1056">
        <f t="shared" si="82"/>
        <v>261.11703362859083</v>
      </c>
      <c r="BD95" s="1082">
        <f t="shared" si="90"/>
        <v>6.9675013049541414</v>
      </c>
      <c r="BE95" s="1056">
        <f t="shared" si="54"/>
        <v>655.67199577269707</v>
      </c>
      <c r="BF95" s="167">
        <v>0</v>
      </c>
      <c r="BG95" s="1075">
        <f t="shared" si="83"/>
        <v>655.67199577269707</v>
      </c>
      <c r="BI95" s="1055">
        <f t="shared" si="84"/>
        <v>387.58746083915213</v>
      </c>
      <c r="BJ95" s="1056">
        <f t="shared" si="85"/>
        <v>261.11703362859083</v>
      </c>
      <c r="BK95" s="1082">
        <f t="shared" si="86"/>
        <v>6.9675013049541414</v>
      </c>
      <c r="BL95" s="1056">
        <f t="shared" si="55"/>
        <v>655.67199577269707</v>
      </c>
      <c r="BM95" s="167">
        <v>0</v>
      </c>
      <c r="BN95" s="1075">
        <f t="shared" si="87"/>
        <v>655.67199577269707</v>
      </c>
    </row>
    <row r="96" spans="1:73">
      <c r="A96" s="927">
        <f>'Input data'!A126</f>
        <v>2026</v>
      </c>
      <c r="B96" s="824">
        <f>'Input data'!B126</f>
        <v>65.115730264701668</v>
      </c>
      <c r="C96" s="824">
        <f>'Recycling - Case 3'!AK106/B96</f>
        <v>321.21084843774435</v>
      </c>
      <c r="D96" s="825">
        <f>'Recycling - Case 3'!AM106</f>
        <v>0.20246492964688823</v>
      </c>
      <c r="E96" s="826">
        <f>'Recycling - Case 3'!BE106</f>
        <v>0.19915931082501204</v>
      </c>
      <c r="F96" s="826">
        <f>'Recycling - Case 3'!BF106</f>
        <v>0.25258788601174337</v>
      </c>
      <c r="G96" s="826">
        <f>'Recycling - Case 3'!BG106</f>
        <v>6.3110553999927738E-2</v>
      </c>
      <c r="H96" s="826">
        <f>'Recycling - Case 3'!BH106</f>
        <v>0</v>
      </c>
      <c r="I96" s="826">
        <f>'Recycling - Case 3'!BI106</f>
        <v>0</v>
      </c>
      <c r="J96" s="826">
        <f>'Recycling - Case 3'!BJ106</f>
        <v>0</v>
      </c>
      <c r="K96" s="826">
        <f>'Recycling - Case 3'!BK106</f>
        <v>0.48514224916331672</v>
      </c>
      <c r="L96" s="827">
        <f t="shared" si="89"/>
        <v>0.99999999999999989</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0.10563569542607158</v>
      </c>
      <c r="Q96" s="832">
        <f t="shared" si="57"/>
        <v>205.08766007571401</v>
      </c>
      <c r="R96" s="832">
        <f t="shared" si="58"/>
        <v>205.08766007571401</v>
      </c>
      <c r="S96" s="835">
        <f t="shared" si="59"/>
        <v>0</v>
      </c>
      <c r="T96" s="832">
        <f t="shared" si="60"/>
        <v>11195.695616567309</v>
      </c>
      <c r="U96" s="832">
        <f t="shared" si="61"/>
        <v>563.5005197683771</v>
      </c>
      <c r="V96" s="839">
        <f t="shared" si="62"/>
        <v>375.66701317891807</v>
      </c>
      <c r="W96" s="4"/>
      <c r="X96" s="852">
        <f>'Recycling - Case 3'!AM146</f>
        <v>0</v>
      </c>
      <c r="Y96" s="853">
        <f>Parameters!S266</f>
        <v>0.71500000000000008</v>
      </c>
      <c r="Z96" s="853">
        <f t="shared" si="63"/>
        <v>0.4</v>
      </c>
      <c r="AA96" s="854">
        <f t="shared" si="64"/>
        <v>0</v>
      </c>
      <c r="AB96" s="854">
        <f t="shared" si="65"/>
        <v>0</v>
      </c>
      <c r="AC96" s="855">
        <f t="shared" si="66"/>
        <v>0</v>
      </c>
      <c r="AD96" s="854">
        <f t="shared" si="67"/>
        <v>7266.7318386624947</v>
      </c>
      <c r="AE96" s="854">
        <f t="shared" si="68"/>
        <v>372.57330843878708</v>
      </c>
      <c r="AF96" s="856">
        <f t="shared" si="69"/>
        <v>248.38220562585806</v>
      </c>
      <c r="AG96" s="4"/>
      <c r="AH96" s="852">
        <f>'Recycling - Case 3'!AM186</f>
        <v>0</v>
      </c>
      <c r="AI96" s="853">
        <f>Parameters!S266</f>
        <v>0.71500000000000008</v>
      </c>
      <c r="AJ96" s="853">
        <f t="shared" si="70"/>
        <v>0.4</v>
      </c>
      <c r="AK96" s="854">
        <f t="shared" si="71"/>
        <v>0</v>
      </c>
      <c r="AL96" s="854">
        <f t="shared" si="72"/>
        <v>0</v>
      </c>
      <c r="AM96" s="855">
        <f t="shared" si="73"/>
        <v>0</v>
      </c>
      <c r="AN96" s="854">
        <f t="shared" si="74"/>
        <v>7266.7318386624947</v>
      </c>
      <c r="AO96" s="854">
        <f t="shared" si="75"/>
        <v>372.57330843878708</v>
      </c>
      <c r="AP96" s="856">
        <f t="shared" si="76"/>
        <v>248.38220562585806</v>
      </c>
      <c r="AQ96" s="4"/>
      <c r="AR96" s="850">
        <f>'Recycling - Case 3'!G106</f>
        <v>688.10729762499989</v>
      </c>
      <c r="AS96" s="846">
        <v>1</v>
      </c>
      <c r="AT96" s="846">
        <f t="shared" si="77"/>
        <v>0.05</v>
      </c>
      <c r="AU96" s="832">
        <f t="shared" si="78"/>
        <v>17.202682440624997</v>
      </c>
      <c r="AV96" s="832">
        <f t="shared" si="79"/>
        <v>17.202682440624997</v>
      </c>
      <c r="AW96" s="835">
        <f t="shared" si="80"/>
        <v>0</v>
      </c>
      <c r="AX96" s="832">
        <f t="shared" si="44"/>
        <v>192.04714991811773</v>
      </c>
      <c r="AY96" s="832">
        <f t="shared" si="49"/>
        <v>10.811778051370593</v>
      </c>
      <c r="AZ96" s="930">
        <f t="shared" si="47"/>
        <v>7.207852034247062</v>
      </c>
      <c r="BA96" s="4"/>
      <c r="BB96" s="1055">
        <f t="shared" si="81"/>
        <v>375.66701317891807</v>
      </c>
      <c r="BC96" s="1056">
        <f t="shared" si="82"/>
        <v>248.38220562585806</v>
      </c>
      <c r="BD96" s="1082">
        <f t="shared" si="90"/>
        <v>7.207852034247062</v>
      </c>
      <c r="BE96" s="1056">
        <f t="shared" si="54"/>
        <v>631.25707083902319</v>
      </c>
      <c r="BF96" s="167">
        <v>0</v>
      </c>
      <c r="BG96" s="1075">
        <f t="shared" si="83"/>
        <v>631.25707083902319</v>
      </c>
      <c r="BI96" s="1055">
        <f t="shared" si="84"/>
        <v>375.66701317891807</v>
      </c>
      <c r="BJ96" s="1056">
        <f t="shared" si="85"/>
        <v>248.38220562585806</v>
      </c>
      <c r="BK96" s="1082">
        <f t="shared" si="86"/>
        <v>7.207852034247062</v>
      </c>
      <c r="BL96" s="1056">
        <f t="shared" si="55"/>
        <v>631.25707083902319</v>
      </c>
      <c r="BM96" s="167">
        <v>0</v>
      </c>
      <c r="BN96" s="1075">
        <f t="shared" si="87"/>
        <v>631.25707083902319</v>
      </c>
    </row>
    <row r="97" spans="1:66">
      <c r="A97" s="927">
        <f>'Input data'!A127</f>
        <v>2027</v>
      </c>
      <c r="B97" s="824">
        <f>'Input data'!B127</f>
        <v>66.042835586617315</v>
      </c>
      <c r="C97" s="824">
        <f>'Recycling - Case 3'!AK107/B97</f>
        <v>313.53888640026133</v>
      </c>
      <c r="D97" s="825">
        <f>'Recycling - Case 3'!AM107</f>
        <v>0.18836198195358839</v>
      </c>
      <c r="E97" s="826">
        <f>'Recycling - Case 3'!BE107</f>
        <v>0.20301543715123427</v>
      </c>
      <c r="F97" s="826">
        <f>'Recycling - Case 3'!BF107</f>
        <v>0.25747849741675316</v>
      </c>
      <c r="G97" s="826">
        <f>'Recycling - Case 3'!BG107</f>
        <v>6.1026851578819673E-2</v>
      </c>
      <c r="H97" s="826">
        <f>'Recycling - Case 3'!BH107</f>
        <v>0</v>
      </c>
      <c r="I97" s="826">
        <f>'Recycling - Case 3'!BI107</f>
        <v>0</v>
      </c>
      <c r="J97" s="826">
        <f>'Recycling - Case 3'!BJ107</f>
        <v>0</v>
      </c>
      <c r="K97" s="826">
        <f>'Recycling - Case 3'!BK107</f>
        <v>0.47847921385319281</v>
      </c>
      <c r="L97" s="827">
        <f t="shared" si="89"/>
        <v>0.99999999999999989</v>
      </c>
      <c r="M97" s="4"/>
      <c r="N97" s="838">
        <f t="shared" si="56"/>
        <v>3900.4110186862777</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0.10635875568756364</v>
      </c>
      <c r="Q97" s="832">
        <f t="shared" si="57"/>
        <v>194.4974805887596</v>
      </c>
      <c r="R97" s="832">
        <f t="shared" si="58"/>
        <v>194.4974805887596</v>
      </c>
      <c r="S97" s="835">
        <f t="shared" si="59"/>
        <v>0</v>
      </c>
      <c r="T97" s="832">
        <f t="shared" si="60"/>
        <v>10844.172578821248</v>
      </c>
      <c r="U97" s="832">
        <f t="shared" si="61"/>
        <v>546.02051833482108</v>
      </c>
      <c r="V97" s="839">
        <f t="shared" si="62"/>
        <v>364.01367888988074</v>
      </c>
      <c r="W97" s="4"/>
      <c r="X97" s="852">
        <f>'Recycling - Case 3'!AM147</f>
        <v>10.092499105524491</v>
      </c>
      <c r="Y97" s="853">
        <f>Parameters!S267</f>
        <v>0.71500000000000008</v>
      </c>
      <c r="Z97" s="853">
        <f t="shared" si="63"/>
        <v>0.4</v>
      </c>
      <c r="AA97" s="854">
        <f t="shared" si="64"/>
        <v>1.4432273720900024</v>
      </c>
      <c r="AB97" s="854">
        <f t="shared" si="65"/>
        <v>1.4432273720900024</v>
      </c>
      <c r="AC97" s="855">
        <f t="shared" si="66"/>
        <v>0</v>
      </c>
      <c r="AD97" s="854">
        <f t="shared" si="67"/>
        <v>6913.7723722640303</v>
      </c>
      <c r="AE97" s="854">
        <f t="shared" si="68"/>
        <v>354.40269377055444</v>
      </c>
      <c r="AF97" s="856">
        <f t="shared" si="69"/>
        <v>236.26846251370296</v>
      </c>
      <c r="AG97" s="4"/>
      <c r="AH97" s="852">
        <f>'Recycling - Case 3'!AM187</f>
        <v>10.092499105524491</v>
      </c>
      <c r="AI97" s="853">
        <f>Parameters!S267</f>
        <v>0.71500000000000008</v>
      </c>
      <c r="AJ97" s="853">
        <f t="shared" si="70"/>
        <v>0.4</v>
      </c>
      <c r="AK97" s="854">
        <f t="shared" si="71"/>
        <v>1.4432273720900024</v>
      </c>
      <c r="AL97" s="854">
        <f t="shared" si="72"/>
        <v>1.4432273720900024</v>
      </c>
      <c r="AM97" s="855">
        <f t="shared" si="73"/>
        <v>0</v>
      </c>
      <c r="AN97" s="854">
        <f t="shared" si="74"/>
        <v>6913.7723722640303</v>
      </c>
      <c r="AO97" s="854">
        <f t="shared" si="75"/>
        <v>354.40269377055444</v>
      </c>
      <c r="AP97" s="856">
        <f t="shared" si="76"/>
        <v>236.26846251370296</v>
      </c>
      <c r="AQ97" s="4"/>
      <c r="AR97" s="850">
        <f>'Recycling - Case 3'!G107</f>
        <v>710.40588973088313</v>
      </c>
      <c r="AS97" s="846">
        <v>1</v>
      </c>
      <c r="AT97" s="846">
        <f t="shared" si="77"/>
        <v>0.05</v>
      </c>
      <c r="AU97" s="832">
        <f t="shared" si="78"/>
        <v>17.76014724327208</v>
      </c>
      <c r="AV97" s="832">
        <f t="shared" si="79"/>
        <v>17.76014724327208</v>
      </c>
      <c r="AW97" s="835">
        <f t="shared" si="80"/>
        <v>0</v>
      </c>
      <c r="AX97" s="832">
        <f t="shared" si="44"/>
        <v>198.62334181209252</v>
      </c>
      <c r="AY97" s="832">
        <f t="shared" si="49"/>
        <v>11.183955349297296</v>
      </c>
      <c r="AZ97" s="930">
        <f t="shared" si="47"/>
        <v>7.455970232864864</v>
      </c>
      <c r="BA97" s="4"/>
      <c r="BB97" s="1055">
        <f t="shared" si="81"/>
        <v>364.01367888988074</v>
      </c>
      <c r="BC97" s="1056">
        <f t="shared" si="82"/>
        <v>236.26846251370296</v>
      </c>
      <c r="BD97" s="1082">
        <f t="shared" si="90"/>
        <v>7.455970232864864</v>
      </c>
      <c r="BE97" s="1056">
        <f t="shared" si="54"/>
        <v>607.73811163644848</v>
      </c>
      <c r="BF97" s="167">
        <v>0</v>
      </c>
      <c r="BG97" s="1075">
        <f t="shared" si="83"/>
        <v>607.73811163644848</v>
      </c>
      <c r="BI97" s="1055">
        <f t="shared" si="84"/>
        <v>364.01367888988074</v>
      </c>
      <c r="BJ97" s="1056">
        <f t="shared" si="85"/>
        <v>236.26846251370296</v>
      </c>
      <c r="BK97" s="1082">
        <f t="shared" si="86"/>
        <v>7.455970232864864</v>
      </c>
      <c r="BL97" s="1056">
        <f t="shared" si="55"/>
        <v>607.73811163644848</v>
      </c>
      <c r="BM97" s="167">
        <v>0</v>
      </c>
      <c r="BN97" s="1075">
        <f t="shared" si="87"/>
        <v>607.73811163644848</v>
      </c>
    </row>
    <row r="98" spans="1:66">
      <c r="A98" s="927">
        <f>'Input data'!A128</f>
        <v>2028</v>
      </c>
      <c r="B98" s="824">
        <f>'Input data'!B128</f>
        <v>66.921626677758155</v>
      </c>
      <c r="C98" s="824">
        <f>'Recycling - Case 3'!AK108/B98</f>
        <v>306.23009708624147</v>
      </c>
      <c r="D98" s="825">
        <f>'Recycling - Case 3'!AM108</f>
        <v>0.17401149878512756</v>
      </c>
      <c r="E98" s="826">
        <f>'Recycling - Case 3'!BE108</f>
        <v>0.20684779594173608</v>
      </c>
      <c r="F98" s="826">
        <f>'Recycling - Case 3'!BF108</f>
        <v>0.26233896515648086</v>
      </c>
      <c r="G98" s="826">
        <f>'Recycling - Case 3'!BG108</f>
        <v>5.8930043717229444E-2</v>
      </c>
      <c r="H98" s="826">
        <f>'Recycling - Case 3'!BH108</f>
        <v>0</v>
      </c>
      <c r="I98" s="826">
        <f>'Recycling - Case 3'!BI108</f>
        <v>0</v>
      </c>
      <c r="J98" s="826">
        <f>'Recycling - Case 3'!BJ108</f>
        <v>0</v>
      </c>
      <c r="K98" s="826">
        <f>'Recycling - Case 3'!BK108</f>
        <v>0.47188319518455357</v>
      </c>
      <c r="L98" s="827">
        <f t="shared" si="89"/>
        <v>1</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0.10706697990944836</v>
      </c>
      <c r="Q98" s="832">
        <f t="shared" si="57"/>
        <v>182.97533689938922</v>
      </c>
      <c r="R98" s="832">
        <f t="shared" si="58"/>
        <v>182.97533689938922</v>
      </c>
      <c r="S98" s="835">
        <f t="shared" si="59"/>
        <v>0</v>
      </c>
      <c r="T98" s="832">
        <f t="shared" si="60"/>
        <v>10498.271378237949</v>
      </c>
      <c r="U98" s="832">
        <f t="shared" si="61"/>
        <v>528.87653748268849</v>
      </c>
      <c r="V98" s="839">
        <f t="shared" si="62"/>
        <v>352.58435832179231</v>
      </c>
      <c r="W98" s="4"/>
      <c r="X98" s="852">
        <f>'Recycling - Case 3'!AM148</f>
        <v>22.103850830406991</v>
      </c>
      <c r="Y98" s="853">
        <f>Parameters!S268</f>
        <v>0.71500000000000008</v>
      </c>
      <c r="Z98" s="853">
        <f t="shared" si="63"/>
        <v>0.4</v>
      </c>
      <c r="AA98" s="854">
        <f t="shared" si="64"/>
        <v>3.1608506687482003</v>
      </c>
      <c r="AB98" s="854">
        <f t="shared" si="65"/>
        <v>3.1608506687482003</v>
      </c>
      <c r="AC98" s="855">
        <f t="shared" si="66"/>
        <v>0</v>
      </c>
      <c r="AD98" s="854">
        <f t="shared" si="67"/>
        <v>6579.7445654663979</v>
      </c>
      <c r="AE98" s="854">
        <f t="shared" si="68"/>
        <v>337.18865746638045</v>
      </c>
      <c r="AF98" s="856">
        <f t="shared" si="69"/>
        <v>224.79243831092029</v>
      </c>
      <c r="AG98" s="4"/>
      <c r="AH98" s="852">
        <f>'Recycling - Case 3'!AM188</f>
        <v>22.103850830406991</v>
      </c>
      <c r="AI98" s="853">
        <f>Parameters!S268</f>
        <v>0.71500000000000008</v>
      </c>
      <c r="AJ98" s="853">
        <f t="shared" si="70"/>
        <v>0.4</v>
      </c>
      <c r="AK98" s="854">
        <f t="shared" si="71"/>
        <v>3.1608506687482003</v>
      </c>
      <c r="AL98" s="854">
        <f t="shared" si="72"/>
        <v>3.1608506687482003</v>
      </c>
      <c r="AM98" s="855">
        <f t="shared" si="73"/>
        <v>0</v>
      </c>
      <c r="AN98" s="854">
        <f t="shared" si="74"/>
        <v>6579.7445654663979</v>
      </c>
      <c r="AO98" s="854">
        <f t="shared" si="75"/>
        <v>337.18865746638045</v>
      </c>
      <c r="AP98" s="856">
        <f t="shared" si="76"/>
        <v>224.79243831092029</v>
      </c>
      <c r="AQ98" s="4"/>
      <c r="AR98" s="850">
        <f>'Recycling - Case 3'!G108</f>
        <v>732.52662171288353</v>
      </c>
      <c r="AS98" s="846">
        <v>1</v>
      </c>
      <c r="AT98" s="846">
        <f t="shared" si="77"/>
        <v>0.05</v>
      </c>
      <c r="AU98" s="832">
        <f t="shared" si="78"/>
        <v>18.313165542822087</v>
      </c>
      <c r="AV98" s="832">
        <f t="shared" si="79"/>
        <v>18.313165542822087</v>
      </c>
      <c r="AW98" s="835">
        <f t="shared" si="80"/>
        <v>0</v>
      </c>
      <c r="AX98" s="832">
        <f t="shared" si="44"/>
        <v>205.36958440343219</v>
      </c>
      <c r="AY98" s="832">
        <f t="shared" si="49"/>
        <v>11.5669229514824</v>
      </c>
      <c r="AZ98" s="930">
        <f t="shared" si="47"/>
        <v>7.7112819676549336</v>
      </c>
      <c r="BA98" s="4"/>
      <c r="BB98" s="1055">
        <f t="shared" si="81"/>
        <v>352.58435832179231</v>
      </c>
      <c r="BC98" s="1056">
        <f t="shared" si="82"/>
        <v>224.79243831092029</v>
      </c>
      <c r="BD98" s="1082">
        <f t="shared" si="90"/>
        <v>7.7112819676549336</v>
      </c>
      <c r="BE98" s="1056">
        <f t="shared" si="54"/>
        <v>585.08807860036757</v>
      </c>
      <c r="BF98" s="167">
        <v>0</v>
      </c>
      <c r="BG98" s="1075">
        <f t="shared" si="83"/>
        <v>585.08807860036757</v>
      </c>
      <c r="BI98" s="1055">
        <f t="shared" si="84"/>
        <v>352.58435832179231</v>
      </c>
      <c r="BJ98" s="1056">
        <f t="shared" si="85"/>
        <v>224.79243831092029</v>
      </c>
      <c r="BK98" s="1082">
        <f t="shared" si="86"/>
        <v>7.7112819676549336</v>
      </c>
      <c r="BL98" s="1056">
        <f t="shared" si="55"/>
        <v>585.08807860036757</v>
      </c>
      <c r="BM98" s="167">
        <v>0</v>
      </c>
      <c r="BN98" s="1075">
        <f t="shared" si="87"/>
        <v>585.08807860036757</v>
      </c>
    </row>
    <row r="99" spans="1:66">
      <c r="A99" s="927">
        <f>'Input data'!A129</f>
        <v>2029</v>
      </c>
      <c r="B99" s="824">
        <f>'Input data'!B129</f>
        <v>67.749778587208695</v>
      </c>
      <c r="C99" s="824">
        <f>'Recycling - Case 3'!AK109/B99</f>
        <v>299.25359391420528</v>
      </c>
      <c r="D99" s="825">
        <f>'Recycling - Case 3'!AM109</f>
        <v>0.15940174565015239</v>
      </c>
      <c r="E99" s="826">
        <f>'Recycling - Case 3'!BE109</f>
        <v>0.21066324682019139</v>
      </c>
      <c r="F99" s="826">
        <f>'Recycling - Case 3'!BF109</f>
        <v>0.26717798908952428</v>
      </c>
      <c r="G99" s="826">
        <f>'Recycling - Case 3'!BG109</f>
        <v>5.6816582316776408E-2</v>
      </c>
      <c r="H99" s="826">
        <f>'Recycling - Case 3'!BH109</f>
        <v>0</v>
      </c>
      <c r="I99" s="826">
        <f>'Recycling - Case 3'!BI109</f>
        <v>0</v>
      </c>
      <c r="J99" s="826">
        <f>'Recycling - Case 3'!BJ109</f>
        <v>0</v>
      </c>
      <c r="K99" s="826">
        <f>'Recycling - Case 3'!BK109</f>
        <v>0.46534218177350811</v>
      </c>
      <c r="L99" s="827">
        <f t="shared" si="89"/>
        <v>1.0000000000000002</v>
      </c>
      <c r="M99" s="4"/>
      <c r="N99" s="838">
        <f t="shared" si="56"/>
        <v>3231.7691297686297</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0.10776171776764412</v>
      </c>
      <c r="Q99" s="832">
        <f t="shared" si="57"/>
        <v>170.51393996192033</v>
      </c>
      <c r="R99" s="832">
        <f t="shared" si="58"/>
        <v>170.51393996192033</v>
      </c>
      <c r="S99" s="835">
        <f t="shared" si="59"/>
        <v>0</v>
      </c>
      <c r="T99" s="832">
        <f t="shared" si="60"/>
        <v>10156.778581335522</v>
      </c>
      <c r="U99" s="832">
        <f t="shared" si="61"/>
        <v>512.00673686434698</v>
      </c>
      <c r="V99" s="839">
        <f t="shared" si="62"/>
        <v>341.3378245762313</v>
      </c>
      <c r="W99" s="4"/>
      <c r="X99" s="852">
        <f>'Recycling - Case 3'!AM149</f>
        <v>0</v>
      </c>
      <c r="Y99" s="853">
        <f>Parameters!S269</f>
        <v>0.71500000000000008</v>
      </c>
      <c r="Z99" s="853">
        <f t="shared" si="63"/>
        <v>0.4</v>
      </c>
      <c r="AA99" s="854">
        <f t="shared" si="64"/>
        <v>0</v>
      </c>
      <c r="AB99" s="854">
        <f t="shared" si="65"/>
        <v>0</v>
      </c>
      <c r="AC99" s="855">
        <f t="shared" si="66"/>
        <v>0</v>
      </c>
      <c r="AD99" s="854">
        <f t="shared" si="67"/>
        <v>6258.8466363703019</v>
      </c>
      <c r="AE99" s="854">
        <f t="shared" si="68"/>
        <v>320.8979290960956</v>
      </c>
      <c r="AF99" s="856">
        <f t="shared" si="69"/>
        <v>213.93195273073039</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6258.8466363703019</v>
      </c>
      <c r="AO99" s="854">
        <f t="shared" si="75"/>
        <v>320.8979290960956</v>
      </c>
      <c r="AP99" s="856">
        <f t="shared" si="76"/>
        <v>213.93195273073039</v>
      </c>
      <c r="AQ99" s="4"/>
      <c r="AR99" s="850">
        <f>'Recycling - Case 3'!G109</f>
        <v>754.41616782543099</v>
      </c>
      <c r="AS99" s="846">
        <v>1</v>
      </c>
      <c r="AT99" s="846">
        <f t="shared" si="77"/>
        <v>0.05</v>
      </c>
      <c r="AU99" s="832">
        <f t="shared" si="78"/>
        <v>18.860404195635777</v>
      </c>
      <c r="AV99" s="832">
        <f t="shared" si="79"/>
        <v>18.860404195635777</v>
      </c>
      <c r="AW99" s="835">
        <f t="shared" si="80"/>
        <v>0</v>
      </c>
      <c r="AX99" s="832">
        <f t="shared" si="44"/>
        <v>212.27019506372508</v>
      </c>
      <c r="AY99" s="832">
        <f t="shared" si="49"/>
        <v>11.959793535342873</v>
      </c>
      <c r="AZ99" s="930">
        <f t="shared" si="47"/>
        <v>7.9731956902285823</v>
      </c>
      <c r="BA99" s="4"/>
      <c r="BB99" s="1055">
        <f t="shared" si="81"/>
        <v>341.3378245762313</v>
      </c>
      <c r="BC99" s="1056">
        <f t="shared" si="82"/>
        <v>213.93195273073039</v>
      </c>
      <c r="BD99" s="1082">
        <f t="shared" si="90"/>
        <v>7.9731956902285823</v>
      </c>
      <c r="BE99" s="1056">
        <f t="shared" si="54"/>
        <v>563.24297299719035</v>
      </c>
      <c r="BF99" s="167">
        <v>0</v>
      </c>
      <c r="BG99" s="1075">
        <f t="shared" si="83"/>
        <v>563.24297299719035</v>
      </c>
      <c r="BI99" s="1055">
        <f t="shared" si="84"/>
        <v>341.3378245762313</v>
      </c>
      <c r="BJ99" s="1056">
        <f t="shared" si="85"/>
        <v>213.93195273073039</v>
      </c>
      <c r="BK99" s="1082">
        <f t="shared" si="86"/>
        <v>7.9731956902285823</v>
      </c>
      <c r="BL99" s="1056">
        <f t="shared" si="55"/>
        <v>563.24297299719035</v>
      </c>
      <c r="BM99" s="167">
        <v>0</v>
      </c>
      <c r="BN99" s="1075">
        <f t="shared" si="87"/>
        <v>563.24297299719035</v>
      </c>
    </row>
    <row r="100" spans="1:66">
      <c r="A100" s="927">
        <f>'Input data'!A130</f>
        <v>2030</v>
      </c>
      <c r="B100" s="824">
        <f>'Input data'!B130</f>
        <v>68.525074762177482</v>
      </c>
      <c r="C100" s="824">
        <f>'Recycling - Case 3'!AK110/B100</f>
        <v>292.57999915644166</v>
      </c>
      <c r="D100" s="825">
        <f>'Recycling - Case 3'!AM110</f>
        <v>0.14451786131213459</v>
      </c>
      <c r="E100" s="826">
        <f>'Recycling - Case 3'!BE110</f>
        <v>0.21446839164705511</v>
      </c>
      <c r="F100" s="826">
        <f>'Recycling - Case 3'!BF110</f>
        <v>0.27200394216098539</v>
      </c>
      <c r="G100" s="826">
        <f>'Recycling - Case 3'!BG110</f>
        <v>5.468292700681935E-2</v>
      </c>
      <c r="H100" s="826">
        <f>'Recycling - Case 3'!BH110</f>
        <v>0</v>
      </c>
      <c r="I100" s="826">
        <f>'Recycling - Case 3'!BI110</f>
        <v>0</v>
      </c>
      <c r="J100" s="826">
        <f>'Recycling - Case 3'!BJ110</f>
        <v>0</v>
      </c>
      <c r="K100" s="826">
        <f>'Recycling - Case 3'!BK110</f>
        <v>0.45884473918514024</v>
      </c>
      <c r="L100" s="827">
        <f t="shared" si="89"/>
        <v>1</v>
      </c>
      <c r="M100" s="4"/>
      <c r="N100" s="838">
        <f t="shared" si="56"/>
        <v>2897.4481853098059</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0.10844421798198309</v>
      </c>
      <c r="Q100" s="832">
        <f t="shared" si="57"/>
        <v>157.10575129961896</v>
      </c>
      <c r="R100" s="832">
        <f t="shared" si="58"/>
        <v>157.10575129961896</v>
      </c>
      <c r="S100" s="835">
        <f t="shared" si="59"/>
        <v>0</v>
      </c>
      <c r="T100" s="832">
        <f t="shared" si="60"/>
        <v>9818.5323960045862</v>
      </c>
      <c r="U100" s="832">
        <f t="shared" si="61"/>
        <v>495.35193663055486</v>
      </c>
      <c r="V100" s="839">
        <f t="shared" si="62"/>
        <v>330.23462442036993</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5953.5990839527522</v>
      </c>
      <c r="AE100" s="854">
        <f t="shared" si="68"/>
        <v>305.24755241754991</v>
      </c>
      <c r="AF100" s="856">
        <f t="shared" si="69"/>
        <v>203.4983682783666</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5953.5990839527522</v>
      </c>
      <c r="AO100" s="854">
        <f t="shared" si="75"/>
        <v>305.24755241754991</v>
      </c>
      <c r="AP100" s="856">
        <f t="shared" si="76"/>
        <v>203.4983682783666</v>
      </c>
      <c r="AQ100" s="4"/>
      <c r="AR100" s="850">
        <f>'Recycling - Case 3'!G110</f>
        <v>776.0206695023935</v>
      </c>
      <c r="AS100" s="846">
        <v>1</v>
      </c>
      <c r="AT100" s="846">
        <f t="shared" si="77"/>
        <v>0.05</v>
      </c>
      <c r="AU100" s="832">
        <f t="shared" si="78"/>
        <v>19.40051673755984</v>
      </c>
      <c r="AV100" s="832">
        <f t="shared" si="79"/>
        <v>19.40051673755984</v>
      </c>
      <c r="AW100" s="835">
        <f t="shared" si="80"/>
        <v>0</v>
      </c>
      <c r="AX100" s="832">
        <f t="shared" si="44"/>
        <v>219.30905798558638</v>
      </c>
      <c r="AY100" s="832">
        <f t="shared" si="49"/>
        <v>12.361653815698535</v>
      </c>
      <c r="AZ100" s="930">
        <f t="shared" si="47"/>
        <v>8.2411025437990233</v>
      </c>
      <c r="BA100" s="4"/>
      <c r="BB100" s="1055">
        <f t="shared" si="81"/>
        <v>330.23462442036993</v>
      </c>
      <c r="BC100" s="1056">
        <f t="shared" si="82"/>
        <v>203.4983682783666</v>
      </c>
      <c r="BD100" s="1082">
        <f t="shared" si="90"/>
        <v>8.2411025437990233</v>
      </c>
      <c r="BE100" s="1056">
        <f t="shared" si="54"/>
        <v>541.97409524253555</v>
      </c>
      <c r="BF100" s="167">
        <v>0</v>
      </c>
      <c r="BG100" s="1075">
        <f t="shared" si="83"/>
        <v>541.97409524253555</v>
      </c>
      <c r="BI100" s="1055">
        <f t="shared" si="84"/>
        <v>330.23462442036993</v>
      </c>
      <c r="BJ100" s="1056">
        <f t="shared" si="85"/>
        <v>203.4983682783666</v>
      </c>
      <c r="BK100" s="1082">
        <f t="shared" si="86"/>
        <v>8.2411025437990233</v>
      </c>
      <c r="BL100" s="1056">
        <f t="shared" si="55"/>
        <v>541.97409524253555</v>
      </c>
      <c r="BM100" s="167">
        <v>0</v>
      </c>
      <c r="BN100" s="1075">
        <f t="shared" si="87"/>
        <v>541.97409524253555</v>
      </c>
    </row>
    <row r="101" spans="1:66">
      <c r="A101" s="927">
        <f>'Input data'!A131</f>
        <v>2031</v>
      </c>
      <c r="B101" s="824">
        <f>'Input data'!B131</f>
        <v>69.286388472916428</v>
      </c>
      <c r="C101" s="824">
        <f>'Recycling - Case 3'!AK111/B101</f>
        <v>284.10027862909033</v>
      </c>
      <c r="D101" s="825">
        <f>'Recycling - Case 3'!AM111</f>
        <v>0.13021187187051261</v>
      </c>
      <c r="E101" s="826">
        <f>'Recycling - Case 3'!BE111</f>
        <v>0.21531461623499432</v>
      </c>
      <c r="F101" s="826">
        <f>'Recycling - Case 3'!BF111</f>
        <v>0.27307718387322705</v>
      </c>
      <c r="G101" s="826">
        <f>'Recycling - Case 3'!BG111</f>
        <v>5.4478532886511909E-2</v>
      </c>
      <c r="H101" s="826">
        <f>'Recycling - Case 3'!BH111</f>
        <v>0</v>
      </c>
      <c r="I101" s="826">
        <f>'Recycling - Case 3'!BI111</f>
        <v>0</v>
      </c>
      <c r="J101" s="826">
        <f>'Recycling - Case 3'!BJ111</f>
        <v>0</v>
      </c>
      <c r="K101" s="826">
        <f>'Recycling - Case 3'!BK111</f>
        <v>0.45712966700526669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0.10870404236449933</v>
      </c>
      <c r="Q101" s="832">
        <f t="shared" si="57"/>
        <v>139.31114608753376</v>
      </c>
      <c r="R101" s="832">
        <f t="shared" si="58"/>
        <v>139.31114608753376</v>
      </c>
      <c r="S101" s="835">
        <f t="shared" si="59"/>
        <v>0</v>
      </c>
      <c r="T101" s="832">
        <f t="shared" si="60"/>
        <v>9478.9880665805922</v>
      </c>
      <c r="U101" s="832">
        <f t="shared" si="61"/>
        <v>478.855475511527</v>
      </c>
      <c r="V101" s="839">
        <f t="shared" si="62"/>
        <v>319.23698367435134</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5663.2386303363546</v>
      </c>
      <c r="AE101" s="854">
        <f t="shared" si="68"/>
        <v>290.36045361639759</v>
      </c>
      <c r="AF101" s="856">
        <f t="shared" si="69"/>
        <v>193.57363574426506</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5663.2386303363546</v>
      </c>
      <c r="AO101" s="854">
        <f t="shared" si="75"/>
        <v>290.36045361639759</v>
      </c>
      <c r="AP101" s="856">
        <f t="shared" si="76"/>
        <v>193.57363574426506</v>
      </c>
      <c r="AQ101" s="4"/>
      <c r="AR101" s="850">
        <f>'Recycling - Case 3'!G111</f>
        <v>784.64226061425143</v>
      </c>
      <c r="AS101" s="846">
        <v>1</v>
      </c>
      <c r="AT101" s="846">
        <f t="shared" si="77"/>
        <v>0.05</v>
      </c>
      <c r="AU101" s="832">
        <f t="shared" si="78"/>
        <v>19.616056515356288</v>
      </c>
      <c r="AV101" s="832">
        <f t="shared" si="79"/>
        <v>19.616056515356288</v>
      </c>
      <c r="AW101" s="835">
        <f t="shared" si="80"/>
        <v>0</v>
      </c>
      <c r="AX101" s="832">
        <f t="shared" si="44"/>
        <v>226.15354921995299</v>
      </c>
      <c r="AY101" s="832">
        <f t="shared" si="49"/>
        <v>12.771565280989666</v>
      </c>
      <c r="AZ101" s="930">
        <f t="shared" si="47"/>
        <v>8.5143768539931113</v>
      </c>
      <c r="BA101" s="4"/>
      <c r="BB101" s="1055">
        <f t="shared" si="81"/>
        <v>319.23698367435134</v>
      </c>
      <c r="BC101" s="1056">
        <f t="shared" si="82"/>
        <v>193.57363574426506</v>
      </c>
      <c r="BD101" s="1082">
        <f t="shared" si="90"/>
        <v>8.5143768539931113</v>
      </c>
      <c r="BE101" s="1056">
        <f t="shared" si="54"/>
        <v>521.3249962726095</v>
      </c>
      <c r="BF101" s="167">
        <v>0</v>
      </c>
      <c r="BG101" s="1075">
        <f t="shared" si="83"/>
        <v>521.3249962726095</v>
      </c>
      <c r="BI101" s="1055">
        <f t="shared" si="84"/>
        <v>319.23698367435134</v>
      </c>
      <c r="BJ101" s="1056">
        <f t="shared" si="85"/>
        <v>193.57363574426506</v>
      </c>
      <c r="BK101" s="1082">
        <f t="shared" si="86"/>
        <v>8.5143768539931113</v>
      </c>
      <c r="BL101" s="1056">
        <f t="shared" si="55"/>
        <v>521.3249962726095</v>
      </c>
      <c r="BM101" s="167">
        <v>0</v>
      </c>
      <c r="BN101" s="1075">
        <f t="shared" si="87"/>
        <v>521.3249962726095</v>
      </c>
    </row>
    <row r="102" spans="1:66">
      <c r="A102" s="927">
        <f>'Input data'!A132</f>
        <v>2032</v>
      </c>
      <c r="B102" s="824">
        <f>'Input data'!B132</f>
        <v>70.033051881823098</v>
      </c>
      <c r="C102" s="824">
        <f>'Recycling - Case 3'!AK112/B102</f>
        <v>275.8498115338993</v>
      </c>
      <c r="D102" s="825">
        <f>'Recycling - Case 3'!AM112</f>
        <v>0.11537098009856941</v>
      </c>
      <c r="E102" s="826">
        <f>'Recycling - Case 3'!BE112</f>
        <v>0.21612075902108113</v>
      </c>
      <c r="F102" s="826">
        <f>'Recycling - Case 3'!BF112</f>
        <v>0.27409959101712505</v>
      </c>
      <c r="G102" s="826">
        <f>'Recycling - Case 3'!BG112</f>
        <v>5.4283819984106536E-2</v>
      </c>
      <c r="H102" s="826">
        <f>'Recycling - Case 3'!BH112</f>
        <v>0</v>
      </c>
      <c r="I102" s="826">
        <f>'Recycling - Case 3'!BI112</f>
        <v>0</v>
      </c>
      <c r="J102" s="826">
        <f>'Recycling - Case 3'!BJ112</f>
        <v>0</v>
      </c>
      <c r="K102" s="826">
        <f>'Recycling - Case 3'!BK112</f>
        <v>0.45549582997768723</v>
      </c>
      <c r="L102" s="827">
        <f t="shared" si="89"/>
        <v>1</v>
      </c>
      <c r="M102" s="4"/>
      <c r="N102" s="838">
        <f t="shared" si="56"/>
        <v>2228.8062963921584</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0.1089515600502298</v>
      </c>
      <c r="Q102" s="832">
        <f t="shared" si="57"/>
        <v>121.41596152085026</v>
      </c>
      <c r="R102" s="832">
        <f t="shared" si="58"/>
        <v>121.41596152085026</v>
      </c>
      <c r="S102" s="835">
        <f t="shared" si="59"/>
        <v>0</v>
      </c>
      <c r="T102" s="832">
        <f t="shared" si="60"/>
        <v>9138.1083249434432</v>
      </c>
      <c r="U102" s="832">
        <f t="shared" si="61"/>
        <v>462.29570315799964</v>
      </c>
      <c r="V102" s="839">
        <f t="shared" si="62"/>
        <v>308.19713543866641</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5387.0392231450624</v>
      </c>
      <c r="AE102" s="854">
        <f t="shared" si="68"/>
        <v>276.19940719129215</v>
      </c>
      <c r="AF102" s="856">
        <f t="shared" si="69"/>
        <v>184.13293812752809</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5387.0392231450624</v>
      </c>
      <c r="AO102" s="854">
        <f t="shared" si="75"/>
        <v>276.19940719129215</v>
      </c>
      <c r="AP102" s="856">
        <f t="shared" si="76"/>
        <v>184.13293812752809</v>
      </c>
      <c r="AQ102" s="4"/>
      <c r="AR102" s="850">
        <f>'Recycling - Case 3'!G112</f>
        <v>793.09794257422948</v>
      </c>
      <c r="AS102" s="846">
        <v>1</v>
      </c>
      <c r="AT102" s="846">
        <f t="shared" si="77"/>
        <v>0.05</v>
      </c>
      <c r="AU102" s="832">
        <f t="shared" si="78"/>
        <v>19.827448564355738</v>
      </c>
      <c r="AV102" s="832">
        <f t="shared" si="79"/>
        <v>19.827448564355738</v>
      </c>
      <c r="AW102" s="835">
        <f t="shared" si="80"/>
        <v>0</v>
      </c>
      <c r="AX102" s="832">
        <f t="shared" si="44"/>
        <v>232.8108403639072</v>
      </c>
      <c r="AY102" s="832">
        <f t="shared" si="49"/>
        <v>13.170157420401527</v>
      </c>
      <c r="AZ102" s="930">
        <f t="shared" si="47"/>
        <v>8.7801049469343511</v>
      </c>
      <c r="BA102" s="4"/>
      <c r="BB102" s="1055">
        <f t="shared" si="81"/>
        <v>308.19713543866641</v>
      </c>
      <c r="BC102" s="1056">
        <f t="shared" si="82"/>
        <v>184.13293812752809</v>
      </c>
      <c r="BD102" s="1082">
        <f t="shared" si="90"/>
        <v>8.7801049469343511</v>
      </c>
      <c r="BE102" s="1056">
        <f t="shared" si="54"/>
        <v>501.11017851312886</v>
      </c>
      <c r="BF102" s="167">
        <v>0</v>
      </c>
      <c r="BG102" s="1075">
        <f t="shared" si="83"/>
        <v>501.11017851312886</v>
      </c>
      <c r="BI102" s="1055">
        <f t="shared" si="84"/>
        <v>308.19713543866641</v>
      </c>
      <c r="BJ102" s="1056">
        <f t="shared" si="85"/>
        <v>184.13293812752809</v>
      </c>
      <c r="BK102" s="1082">
        <f t="shared" si="86"/>
        <v>8.7801049469343511</v>
      </c>
      <c r="BL102" s="1056">
        <f t="shared" si="55"/>
        <v>501.11017851312886</v>
      </c>
      <c r="BM102" s="167">
        <v>0</v>
      </c>
      <c r="BN102" s="1075">
        <f t="shared" si="87"/>
        <v>501.11017851312886</v>
      </c>
    </row>
    <row r="103" spans="1:66">
      <c r="A103" s="927">
        <f>'Input data'!A133</f>
        <v>2033</v>
      </c>
      <c r="B103" s="824">
        <f>'Input data'!B133</f>
        <v>70.764404167450692</v>
      </c>
      <c r="C103" s="824">
        <f>'Recycling - Case 3'!AK113/B103</f>
        <v>274.39862739969521</v>
      </c>
      <c r="D103" s="825">
        <f>'Recycling - Case 3'!AM113</f>
        <v>0.11478246233430292</v>
      </c>
      <c r="E103" s="826">
        <f>'Recycling - Case 3'!BE113</f>
        <v>0.2168884840584919</v>
      </c>
      <c r="F103" s="826">
        <f>'Recycling - Case 3'!BF113</f>
        <v>0.27507327406229415</v>
      </c>
      <c r="G103" s="826">
        <f>'Recycling - Case 3'!BG113</f>
        <v>5.4098386370032885E-2</v>
      </c>
      <c r="H103" s="826">
        <f>'Recycling - Case 3'!BH113</f>
        <v>0</v>
      </c>
      <c r="I103" s="826">
        <f>'Recycling - Case 3'!BI113</f>
        <v>0</v>
      </c>
      <c r="J103" s="826">
        <f>'Recycling - Case 3'!BJ113</f>
        <v>0</v>
      </c>
      <c r="K103" s="826">
        <f>'Recycling - Case 3'!BK113</f>
        <v>0.45393985550918126</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0.10918728196924576</v>
      </c>
      <c r="Q103" s="832">
        <f t="shared" si="57"/>
        <v>121.67865076950048</v>
      </c>
      <c r="R103" s="832">
        <f t="shared" si="58"/>
        <v>121.67865076950048</v>
      </c>
      <c r="S103" s="835">
        <f t="shared" si="59"/>
        <v>0</v>
      </c>
      <c r="T103" s="832">
        <f t="shared" si="60"/>
        <v>8814.1161737306356</v>
      </c>
      <c r="U103" s="832">
        <f t="shared" si="61"/>
        <v>445.67080198230798</v>
      </c>
      <c r="V103" s="839">
        <f t="shared" si="62"/>
        <v>297.1138679882053</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5124.3102199950508</v>
      </c>
      <c r="AE103" s="854">
        <f t="shared" si="68"/>
        <v>262.72900315001118</v>
      </c>
      <c r="AF103" s="856">
        <f t="shared" si="69"/>
        <v>175.15266876667411</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5124.3102199950508</v>
      </c>
      <c r="AO103" s="854">
        <f t="shared" si="75"/>
        <v>262.72900315001118</v>
      </c>
      <c r="AP103" s="856">
        <f t="shared" si="76"/>
        <v>175.15266876667411</v>
      </c>
      <c r="AQ103" s="4"/>
      <c r="AR103" s="850">
        <f>'Recycling - Case 3'!G113</f>
        <v>801.38023182826612</v>
      </c>
      <c r="AS103" s="846">
        <v>1</v>
      </c>
      <c r="AT103" s="846">
        <f t="shared" si="77"/>
        <v>0.05</v>
      </c>
      <c r="AU103" s="832">
        <f t="shared" si="78"/>
        <v>20.034505795706654</v>
      </c>
      <c r="AV103" s="832">
        <f t="shared" si="79"/>
        <v>20.034505795706654</v>
      </c>
      <c r="AW103" s="835">
        <f t="shared" si="80"/>
        <v>0</v>
      </c>
      <c r="AX103" s="832">
        <f t="shared" si="44"/>
        <v>239.2874982843787</v>
      </c>
      <c r="AY103" s="832">
        <f t="shared" si="49"/>
        <v>13.557847875235151</v>
      </c>
      <c r="AZ103" s="930">
        <f t="shared" si="47"/>
        <v>9.0385652501567666</v>
      </c>
      <c r="BA103" s="4"/>
      <c r="BB103" s="1055">
        <f t="shared" si="81"/>
        <v>297.1138679882053</v>
      </c>
      <c r="BC103" s="1056">
        <f t="shared" si="82"/>
        <v>175.15266876667411</v>
      </c>
      <c r="BD103" s="1082">
        <f t="shared" si="90"/>
        <v>9.0385652501567666</v>
      </c>
      <c r="BE103" s="1056">
        <f t="shared" si="54"/>
        <v>481.30510200503619</v>
      </c>
      <c r="BF103" s="167">
        <v>0</v>
      </c>
      <c r="BG103" s="1075">
        <f t="shared" si="83"/>
        <v>481.30510200503619</v>
      </c>
      <c r="BI103" s="1055">
        <f t="shared" si="84"/>
        <v>297.1138679882053</v>
      </c>
      <c r="BJ103" s="1056">
        <f t="shared" si="85"/>
        <v>175.15266876667411</v>
      </c>
      <c r="BK103" s="1082">
        <f t="shared" si="86"/>
        <v>9.0385652501567666</v>
      </c>
      <c r="BL103" s="1056">
        <f t="shared" si="55"/>
        <v>481.30510200503619</v>
      </c>
      <c r="BM103" s="167">
        <v>0</v>
      </c>
      <c r="BN103" s="1075">
        <f t="shared" si="87"/>
        <v>481.30510200503619</v>
      </c>
    </row>
    <row r="104" spans="1:66">
      <c r="A104" s="927">
        <f>'Input data'!A134</f>
        <v>2034</v>
      </c>
      <c r="B104" s="824">
        <f>'Input data'!B134</f>
        <v>71.479792486390252</v>
      </c>
      <c r="C104" s="824">
        <f>'Recycling - Case 3'!AK114/B104</f>
        <v>273.0089510595493</v>
      </c>
      <c r="D104" s="825">
        <f>'Recycling - Case 3'!AM114</f>
        <v>0.11421211043271122</v>
      </c>
      <c r="E104" s="826">
        <f>'Recycling - Case 3'!BE114</f>
        <v>0.21761934563581498</v>
      </c>
      <c r="F104" s="826">
        <f>'Recycling - Case 3'!BF114</f>
        <v>0.27600020426715638</v>
      </c>
      <c r="G104" s="826">
        <f>'Recycling - Case 3'!BG114</f>
        <v>5.3921856626874161E-2</v>
      </c>
      <c r="H104" s="826">
        <f>'Recycling - Case 3'!BH114</f>
        <v>0</v>
      </c>
      <c r="I104" s="826">
        <f>'Recycling - Case 3'!BI114</f>
        <v>0</v>
      </c>
      <c r="J104" s="826">
        <f>'Recycling - Case 3'!BJ114</f>
        <v>0</v>
      </c>
      <c r="K104" s="826">
        <f>'Recycling - Case 3'!BK114</f>
        <v>0.45245859347015432</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0.10941168534955319</v>
      </c>
      <c r="Q104" s="832">
        <f t="shared" si="57"/>
        <v>121.9287266029809</v>
      </c>
      <c r="R104" s="832">
        <f t="shared" si="58"/>
        <v>121.9287266029809</v>
      </c>
      <c r="S104" s="835">
        <f t="shared" si="59"/>
        <v>0</v>
      </c>
      <c r="T104" s="832">
        <f t="shared" si="60"/>
        <v>8506.1753820232079</v>
      </c>
      <c r="U104" s="832">
        <f t="shared" si="61"/>
        <v>429.86951831040767</v>
      </c>
      <c r="V104" s="839">
        <f t="shared" si="62"/>
        <v>286.57967887360513</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4874.3946615290197</v>
      </c>
      <c r="AE104" s="854">
        <f t="shared" si="68"/>
        <v>249.9155584660314</v>
      </c>
      <c r="AF104" s="856">
        <f t="shared" si="69"/>
        <v>166.61037231068761</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4874.3946615290197</v>
      </c>
      <c r="AO104" s="854">
        <f t="shared" si="75"/>
        <v>249.9155584660314</v>
      </c>
      <c r="AP104" s="856">
        <f t="shared" si="76"/>
        <v>166.61037231068761</v>
      </c>
      <c r="AQ104" s="4"/>
      <c r="AR104" s="850">
        <f>'Recycling - Case 3'!G114</f>
        <v>809.48173517057376</v>
      </c>
      <c r="AS104" s="846">
        <v>1</v>
      </c>
      <c r="AT104" s="846">
        <f t="shared" si="77"/>
        <v>0.05</v>
      </c>
      <c r="AU104" s="832">
        <f t="shared" si="78"/>
        <v>20.237043379264346</v>
      </c>
      <c r="AV104" s="832">
        <f t="shared" si="79"/>
        <v>20.237043379264346</v>
      </c>
      <c r="AW104" s="835">
        <f t="shared" si="80"/>
        <v>0</v>
      </c>
      <c r="AX104" s="832">
        <f t="shared" si="44"/>
        <v>245.58952259359398</v>
      </c>
      <c r="AY104" s="832">
        <f t="shared" si="49"/>
        <v>13.935019070049078</v>
      </c>
      <c r="AZ104" s="930">
        <f t="shared" si="47"/>
        <v>9.2900127133660515</v>
      </c>
      <c r="BA104" s="4"/>
      <c r="BB104" s="1055">
        <f t="shared" si="81"/>
        <v>286.57967887360513</v>
      </c>
      <c r="BC104" s="1056">
        <f t="shared" si="82"/>
        <v>166.61037231068761</v>
      </c>
      <c r="BD104" s="1082">
        <f t="shared" si="90"/>
        <v>9.2900127133660515</v>
      </c>
      <c r="BE104" s="1056">
        <f t="shared" si="54"/>
        <v>462.48006389765879</v>
      </c>
      <c r="BF104" s="167">
        <v>0</v>
      </c>
      <c r="BG104" s="1075">
        <f t="shared" si="83"/>
        <v>462.48006389765879</v>
      </c>
      <c r="BI104" s="1055">
        <f t="shared" si="84"/>
        <v>286.57967887360513</v>
      </c>
      <c r="BJ104" s="1056">
        <f t="shared" si="85"/>
        <v>166.61037231068761</v>
      </c>
      <c r="BK104" s="1082">
        <f t="shared" si="86"/>
        <v>9.2900127133660515</v>
      </c>
      <c r="BL104" s="1056">
        <f t="shared" si="55"/>
        <v>462.48006389765879</v>
      </c>
      <c r="BM104" s="167">
        <v>0</v>
      </c>
      <c r="BN104" s="1075">
        <f t="shared" si="87"/>
        <v>462.48006389765879</v>
      </c>
    </row>
    <row r="105" spans="1:66">
      <c r="A105" s="927">
        <f>'Input data'!A135</f>
        <v>2035</v>
      </c>
      <c r="B105" s="824">
        <f>'Input data'!B135</f>
        <v>72.178572932855872</v>
      </c>
      <c r="C105" s="824">
        <f>'Recycling - Case 3'!AK115/B105</f>
        <v>271.67913162280007</v>
      </c>
      <c r="D105" s="825">
        <f>'Recycling - Case 3'!AM115</f>
        <v>0.11366002685619216</v>
      </c>
      <c r="E105" s="826">
        <f>'Recycling - Case 3'!BE115</f>
        <v>0.2183147959367317</v>
      </c>
      <c r="F105" s="826">
        <f>'Recycling - Case 3'!BF115</f>
        <v>0.2768822233934885</v>
      </c>
      <c r="G105" s="826">
        <f>'Recycling - Case 3'!BG115</f>
        <v>5.3753879999275146E-2</v>
      </c>
      <c r="H105" s="826">
        <f>'Recycling - Case 3'!BH115</f>
        <v>0</v>
      </c>
      <c r="I105" s="826">
        <f>'Recycling - Case 3'!BI115</f>
        <v>0</v>
      </c>
      <c r="J105" s="826">
        <f>'Recycling - Case 3'!BJ115</f>
        <v>0</v>
      </c>
      <c r="K105" s="826">
        <f>'Recycling - Case 3'!BK115</f>
        <v>0.45104910067050474</v>
      </c>
      <c r="L105" s="827">
        <f t="shared" si="89"/>
        <v>1</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0.10962521606891752</v>
      </c>
      <c r="Q105" s="832">
        <f t="shared" si="57"/>
        <v>122.1666859088771</v>
      </c>
      <c r="R105" s="832">
        <f t="shared" si="58"/>
        <v>122.1666859088771</v>
      </c>
      <c r="S105" s="835">
        <f t="shared" si="59"/>
        <v>0</v>
      </c>
      <c r="T105" s="832">
        <f t="shared" si="60"/>
        <v>8213.4909992529538</v>
      </c>
      <c r="U105" s="832">
        <f t="shared" si="61"/>
        <v>414.85106867913066</v>
      </c>
      <c r="V105" s="839">
        <f t="shared" si="62"/>
        <v>276.56737911942042</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4636.6676286756019</v>
      </c>
      <c r="AE105" s="854">
        <f t="shared" si="68"/>
        <v>237.7270328534176</v>
      </c>
      <c r="AF105" s="856">
        <f t="shared" si="69"/>
        <v>158.48468856894507</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4636.6676286756019</v>
      </c>
      <c r="AO105" s="854">
        <f t="shared" si="75"/>
        <v>237.7270328534176</v>
      </c>
      <c r="AP105" s="856">
        <f t="shared" si="76"/>
        <v>158.48468856894507</v>
      </c>
      <c r="AQ105" s="4"/>
      <c r="AR105" s="850">
        <f>'Recycling - Case 3'!G115</f>
        <v>817.39516061058134</v>
      </c>
      <c r="AS105" s="846">
        <v>1</v>
      </c>
      <c r="AT105" s="846">
        <f t="shared" si="77"/>
        <v>0.05</v>
      </c>
      <c r="AU105" s="832">
        <f t="shared" si="78"/>
        <v>20.434879015264535</v>
      </c>
      <c r="AV105" s="832">
        <f t="shared" si="79"/>
        <v>20.434879015264535</v>
      </c>
      <c r="AW105" s="835">
        <f t="shared" si="80"/>
        <v>0</v>
      </c>
      <c r="AX105" s="832">
        <f t="shared" si="44"/>
        <v>251.72238121379888</v>
      </c>
      <c r="AY105" s="832">
        <f t="shared" si="49"/>
        <v>14.302020395059632</v>
      </c>
      <c r="AZ105" s="930">
        <f t="shared" si="47"/>
        <v>9.5346802633730885</v>
      </c>
      <c r="BA105" s="4"/>
      <c r="BB105" s="1055">
        <f t="shared" si="81"/>
        <v>276.56737911942042</v>
      </c>
      <c r="BC105" s="1056">
        <f t="shared" si="82"/>
        <v>158.48468856894507</v>
      </c>
      <c r="BD105" s="1082">
        <f t="shared" si="90"/>
        <v>9.5346802633730885</v>
      </c>
      <c r="BE105" s="1056">
        <f t="shared" si="54"/>
        <v>444.58674795173857</v>
      </c>
      <c r="BF105" s="167">
        <v>0</v>
      </c>
      <c r="BG105" s="1075">
        <f t="shared" si="83"/>
        <v>444.58674795173857</v>
      </c>
      <c r="BI105" s="1055">
        <f t="shared" si="84"/>
        <v>276.56737911942042</v>
      </c>
      <c r="BJ105" s="1056">
        <f t="shared" si="85"/>
        <v>158.48468856894507</v>
      </c>
      <c r="BK105" s="1082">
        <f t="shared" si="86"/>
        <v>9.5346802633730885</v>
      </c>
      <c r="BL105" s="1056">
        <f t="shared" si="55"/>
        <v>444.58674795173857</v>
      </c>
      <c r="BM105" s="167">
        <v>0</v>
      </c>
      <c r="BN105" s="1075">
        <f t="shared" si="87"/>
        <v>444.58674795173857</v>
      </c>
    </row>
    <row r="106" spans="1:66">
      <c r="A106" s="927">
        <f>'Input data'!A136</f>
        <v>2036</v>
      </c>
      <c r="B106" s="824">
        <f>'Input data'!B136</f>
        <v>72.865243718484663</v>
      </c>
      <c r="C106" s="824">
        <f>'Recycling - Case 3'!AK116/B106</f>
        <v>270.39812188561598</v>
      </c>
      <c r="D106" s="825">
        <f>'Recycling - Case 3'!AM116</f>
        <v>0.11312230174838997</v>
      </c>
      <c r="E106" s="826">
        <f>'Recycling - Case 3'!BE116</f>
        <v>0.21898111085577324</v>
      </c>
      <c r="F106" s="826">
        <f>'Recycling - Case 3'!BF116</f>
        <v>0.27772729097341525</v>
      </c>
      <c r="G106" s="826">
        <f>'Recycling - Case 3'!BG116</f>
        <v>5.3592940629672452E-2</v>
      </c>
      <c r="H106" s="826">
        <f>'Recycling - Case 3'!BH116</f>
        <v>0</v>
      </c>
      <c r="I106" s="826">
        <f>'Recycling - Case 3'!BI116</f>
        <v>0</v>
      </c>
      <c r="J106" s="826">
        <f>'Recycling - Case 3'!BJ116</f>
        <v>0</v>
      </c>
      <c r="K106" s="826">
        <f>'Recycling - Case 3'!BK116</f>
        <v>0.44969865754113919</v>
      </c>
      <c r="L106" s="827">
        <f t="shared" si="89"/>
        <v>1.0000000000000002</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0.10982980107491802</v>
      </c>
      <c r="Q106" s="832">
        <f t="shared" si="57"/>
        <v>122.39467608363776</v>
      </c>
      <c r="R106" s="832">
        <f t="shared" si="58"/>
        <v>122.39467608363776</v>
      </c>
      <c r="S106" s="835">
        <f t="shared" si="59"/>
        <v>0</v>
      </c>
      <c r="T106" s="832">
        <f t="shared" si="60"/>
        <v>7935.3089924448195</v>
      </c>
      <c r="U106" s="832">
        <f t="shared" si="61"/>
        <v>400.57668289177207</v>
      </c>
      <c r="V106" s="839">
        <f t="shared" si="62"/>
        <v>267.05112192784804</v>
      </c>
      <c r="W106" s="4"/>
      <c r="X106" s="852">
        <f>'Recycling - Case 3'!AM156</f>
        <v>190.8394557816834</v>
      </c>
      <c r="Y106" s="853">
        <f>Parameters!S276</f>
        <v>0.71500000000000008</v>
      </c>
      <c r="Z106" s="853">
        <f t="shared" si="63"/>
        <v>0.4</v>
      </c>
      <c r="AA106" s="854">
        <f t="shared" si="64"/>
        <v>27.29004217678073</v>
      </c>
      <c r="AB106" s="854">
        <f t="shared" si="65"/>
        <v>27.29004217678073</v>
      </c>
      <c r="AC106" s="855">
        <f t="shared" si="66"/>
        <v>0</v>
      </c>
      <c r="AD106" s="854">
        <f t="shared" si="67"/>
        <v>4437.824722202964</v>
      </c>
      <c r="AE106" s="854">
        <f t="shared" si="68"/>
        <v>226.13294864941875</v>
      </c>
      <c r="AF106" s="856">
        <f t="shared" si="69"/>
        <v>150.7552990996125</v>
      </c>
      <c r="AG106" s="4"/>
      <c r="AH106" s="852">
        <f>'Recycling - Case 3'!AM196</f>
        <v>190.8394557816834</v>
      </c>
      <c r="AI106" s="853">
        <f>Parameters!S276</f>
        <v>0.71500000000000008</v>
      </c>
      <c r="AJ106" s="853">
        <f t="shared" si="70"/>
        <v>0.4</v>
      </c>
      <c r="AK106" s="854">
        <f t="shared" si="71"/>
        <v>27.29004217678073</v>
      </c>
      <c r="AL106" s="854">
        <f t="shared" si="72"/>
        <v>27.29004217678073</v>
      </c>
      <c r="AM106" s="855">
        <f t="shared" si="73"/>
        <v>0</v>
      </c>
      <c r="AN106" s="854">
        <f t="shared" si="74"/>
        <v>4437.824722202964</v>
      </c>
      <c r="AO106" s="854">
        <f t="shared" si="75"/>
        <v>226.13294864941875</v>
      </c>
      <c r="AP106" s="856">
        <f t="shared" si="76"/>
        <v>150.7552990996125</v>
      </c>
      <c r="AQ106" s="4"/>
      <c r="AR106" s="850">
        <f>'Recycling - Case 3'!G116</f>
        <v>825.17144870133882</v>
      </c>
      <c r="AS106" s="846">
        <v>1</v>
      </c>
      <c r="AT106" s="846">
        <f t="shared" si="77"/>
        <v>0.05</v>
      </c>
      <c r="AU106" s="832">
        <f t="shared" si="78"/>
        <v>20.629286217533473</v>
      </c>
      <c r="AV106" s="832">
        <f t="shared" si="79"/>
        <v>20.629286217533473</v>
      </c>
      <c r="AW106" s="835">
        <f t="shared" si="80"/>
        <v>0</v>
      </c>
      <c r="AX106" s="832">
        <f t="shared" si="44"/>
        <v>257.69249715406323</v>
      </c>
      <c r="AY106" s="832">
        <f t="shared" si="49"/>
        <v>14.659170277269126</v>
      </c>
      <c r="AZ106" s="930">
        <f t="shared" si="47"/>
        <v>9.7727801848460842</v>
      </c>
      <c r="BA106" s="4"/>
      <c r="BB106" s="1055">
        <f t="shared" si="81"/>
        <v>267.05112192784804</v>
      </c>
      <c r="BC106" s="1056">
        <f t="shared" si="82"/>
        <v>150.7552990996125</v>
      </c>
      <c r="BD106" s="1082">
        <f t="shared" si="90"/>
        <v>9.7727801848460842</v>
      </c>
      <c r="BE106" s="1056">
        <f t="shared" si="54"/>
        <v>427.57920121230666</v>
      </c>
      <c r="BF106" s="167">
        <v>0</v>
      </c>
      <c r="BG106" s="1075">
        <f t="shared" si="83"/>
        <v>427.57920121230666</v>
      </c>
      <c r="BI106" s="1055">
        <f t="shared" si="84"/>
        <v>267.05112192784804</v>
      </c>
      <c r="BJ106" s="1056">
        <f t="shared" si="85"/>
        <v>150.7552990996125</v>
      </c>
      <c r="BK106" s="1082">
        <f t="shared" si="86"/>
        <v>9.7727801848460842</v>
      </c>
      <c r="BL106" s="1056">
        <f t="shared" si="55"/>
        <v>427.57920121230666</v>
      </c>
      <c r="BM106" s="167">
        <v>0</v>
      </c>
      <c r="BN106" s="1075">
        <f t="shared" si="87"/>
        <v>427.57920121230666</v>
      </c>
    </row>
    <row r="107" spans="1:66">
      <c r="A107" s="927">
        <f>'Input data'!A137</f>
        <v>2037</v>
      </c>
      <c r="B107" s="824">
        <f>'Input data'!B137</f>
        <v>73.539326072165721</v>
      </c>
      <c r="C107" s="824">
        <f>'Recycling - Case 3'!AK117/B107</f>
        <v>269.16470957489446</v>
      </c>
      <c r="D107" s="825">
        <f>'Recycling - Case 3'!AM117</f>
        <v>0.11259900733484896</v>
      </c>
      <c r="E107" s="826">
        <f>'Recycling - Case 3'!BE117</f>
        <v>0.21961934395107433</v>
      </c>
      <c r="F107" s="826">
        <f>'Recycling - Case 3'!BF117</f>
        <v>0.27853674320367777</v>
      </c>
      <c r="G107" s="826">
        <f>'Recycling - Case 3'!BG117</f>
        <v>5.34387840453278E-2</v>
      </c>
      <c r="H107" s="826">
        <f>'Recycling - Case 3'!BH117</f>
        <v>0</v>
      </c>
      <c r="I107" s="826">
        <f>'Recycling - Case 3'!BI117</f>
        <v>0</v>
      </c>
      <c r="J107" s="826">
        <f>'Recycling - Case 3'!BJ117</f>
        <v>0</v>
      </c>
      <c r="K107" s="826">
        <f>'Recycling - Case 3'!BK117</f>
        <v>0.44840512879992017</v>
      </c>
      <c r="L107" s="827">
        <f t="shared" si="89"/>
        <v>1</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0.11002576385152782</v>
      </c>
      <c r="Q107" s="832">
        <f t="shared" si="57"/>
        <v>122.61305761882097</v>
      </c>
      <c r="R107" s="832">
        <f t="shared" si="58"/>
        <v>122.61305761882097</v>
      </c>
      <c r="S107" s="835">
        <f t="shared" si="59"/>
        <v>0</v>
      </c>
      <c r="T107" s="832">
        <f t="shared" si="60"/>
        <v>7670.9124637374471</v>
      </c>
      <c r="U107" s="832">
        <f t="shared" si="61"/>
        <v>387.00958632619307</v>
      </c>
      <c r="V107" s="839">
        <f t="shared" si="62"/>
        <v>258.00639088412873</v>
      </c>
      <c r="W107" s="4"/>
      <c r="X107" s="852">
        <f>'Recycling - Case 3'!AM157</f>
        <v>169.09268550280007</v>
      </c>
      <c r="Y107" s="853">
        <f>Parameters!S277</f>
        <v>0.71500000000000008</v>
      </c>
      <c r="Z107" s="853">
        <f t="shared" si="63"/>
        <v>0.4</v>
      </c>
      <c r="AA107" s="854">
        <f t="shared" si="64"/>
        <v>24.180254026900414</v>
      </c>
      <c r="AB107" s="854">
        <f t="shared" si="65"/>
        <v>24.180254026900414</v>
      </c>
      <c r="AC107" s="855">
        <f t="shared" si="66"/>
        <v>0</v>
      </c>
      <c r="AD107" s="854">
        <f t="shared" si="67"/>
        <v>4245.5697105630661</v>
      </c>
      <c r="AE107" s="854">
        <f t="shared" si="68"/>
        <v>216.43526566679751</v>
      </c>
      <c r="AF107" s="856">
        <f t="shared" si="69"/>
        <v>144.29017711119835</v>
      </c>
      <c r="AG107" s="4"/>
      <c r="AH107" s="852">
        <f>'Recycling - Case 3'!AM197</f>
        <v>169.09268550280007</v>
      </c>
      <c r="AI107" s="853">
        <f>Parameters!S277</f>
        <v>0.71500000000000008</v>
      </c>
      <c r="AJ107" s="853">
        <f t="shared" si="70"/>
        <v>0.4</v>
      </c>
      <c r="AK107" s="854">
        <f t="shared" si="71"/>
        <v>24.180254026900414</v>
      </c>
      <c r="AL107" s="854">
        <f t="shared" si="72"/>
        <v>24.180254026900414</v>
      </c>
      <c r="AM107" s="855">
        <f t="shared" si="73"/>
        <v>0</v>
      </c>
      <c r="AN107" s="854">
        <f t="shared" si="74"/>
        <v>4245.5697105630661</v>
      </c>
      <c r="AO107" s="854">
        <f t="shared" si="75"/>
        <v>216.43526566679751</v>
      </c>
      <c r="AP107" s="856">
        <f t="shared" si="76"/>
        <v>144.29017711119835</v>
      </c>
      <c r="AQ107" s="4"/>
      <c r="AR107" s="850">
        <f>'Recycling - Case 3'!G117</f>
        <v>832.80517754029006</v>
      </c>
      <c r="AS107" s="846">
        <v>1</v>
      </c>
      <c r="AT107" s="846">
        <f t="shared" si="77"/>
        <v>0.05</v>
      </c>
      <c r="AU107" s="832">
        <f t="shared" si="78"/>
        <v>20.820129438507252</v>
      </c>
      <c r="AV107" s="832">
        <f t="shared" si="79"/>
        <v>20.820129438507252</v>
      </c>
      <c r="AW107" s="835">
        <f t="shared" si="80"/>
        <v>0</v>
      </c>
      <c r="AX107" s="832">
        <f t="shared" si="44"/>
        <v>263.50578382896396</v>
      </c>
      <c r="AY107" s="832">
        <f t="shared" si="49"/>
        <v>15.006842763606532</v>
      </c>
      <c r="AZ107" s="930">
        <f t="shared" si="47"/>
        <v>10.004561842404355</v>
      </c>
      <c r="BA107" s="4"/>
      <c r="BB107" s="1055">
        <f t="shared" si="81"/>
        <v>258.00639088412873</v>
      </c>
      <c r="BC107" s="1056">
        <f t="shared" si="82"/>
        <v>144.29017711119835</v>
      </c>
      <c r="BD107" s="1082">
        <f t="shared" si="90"/>
        <v>10.004561842404355</v>
      </c>
      <c r="BE107" s="1056">
        <f t="shared" si="54"/>
        <v>412.30112983773148</v>
      </c>
      <c r="BF107" s="167">
        <v>0</v>
      </c>
      <c r="BG107" s="1075">
        <f t="shared" si="83"/>
        <v>412.30112983773148</v>
      </c>
      <c r="BI107" s="1055">
        <f t="shared" si="84"/>
        <v>258.00639088412873</v>
      </c>
      <c r="BJ107" s="1056">
        <f t="shared" si="85"/>
        <v>144.29017711119835</v>
      </c>
      <c r="BK107" s="1082">
        <f t="shared" si="86"/>
        <v>10.004561842404355</v>
      </c>
      <c r="BL107" s="1056">
        <f t="shared" si="55"/>
        <v>412.30112983773148</v>
      </c>
      <c r="BM107" s="167">
        <v>0</v>
      </c>
      <c r="BN107" s="1075">
        <f t="shared" si="87"/>
        <v>412.30112983773148</v>
      </c>
    </row>
    <row r="108" spans="1:66">
      <c r="A108" s="927">
        <f>'Input data'!A138</f>
        <v>2038</v>
      </c>
      <c r="B108" s="824">
        <f>'Input data'!B138</f>
        <v>74.200346452615136</v>
      </c>
      <c r="C108" s="824">
        <f>'Recycling - Case 3'!AK118/B108</f>
        <v>267.97773703701273</v>
      </c>
      <c r="D108" s="825">
        <f>'Recycling - Case 3'!AM118</f>
        <v>0.11209020863858978</v>
      </c>
      <c r="E108" s="826">
        <f>'Recycling - Case 3'!BE118</f>
        <v>0.22023048769888665</v>
      </c>
      <c r="F108" s="826">
        <f>'Recycling - Case 3'!BF118</f>
        <v>0.27931183881266403</v>
      </c>
      <c r="G108" s="826">
        <f>'Recycling - Case 3'!BG118</f>
        <v>5.3291170527006743E-2</v>
      </c>
      <c r="H108" s="826">
        <f>'Recycling - Case 3'!BH118</f>
        <v>0</v>
      </c>
      <c r="I108" s="826">
        <f>'Recycling - Case 3'!BI118</f>
        <v>0</v>
      </c>
      <c r="J108" s="826">
        <f>'Recycling - Case 3'!BJ118</f>
        <v>0</v>
      </c>
      <c r="K108" s="826">
        <f>'Recycling - Case 3'!BK118</f>
        <v>0.44716650296144256</v>
      </c>
      <c r="L108" s="827">
        <f t="shared" si="89"/>
        <v>1</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0.1102134091281685</v>
      </c>
      <c r="Q108" s="832">
        <f t="shared" si="57"/>
        <v>122.82217010585347</v>
      </c>
      <c r="R108" s="832">
        <f t="shared" si="58"/>
        <v>122.82217010585347</v>
      </c>
      <c r="S108" s="835">
        <f t="shared" si="59"/>
        <v>0</v>
      </c>
      <c r="T108" s="832">
        <f t="shared" si="60"/>
        <v>7419.6198183821798</v>
      </c>
      <c r="U108" s="832">
        <f t="shared" si="61"/>
        <v>374.114815461121</v>
      </c>
      <c r="V108" s="839">
        <f t="shared" si="62"/>
        <v>249.40987697408067</v>
      </c>
      <c r="W108" s="4"/>
      <c r="X108" s="852">
        <f>'Recycling - Case 3'!AM158</f>
        <v>265.0233487293479</v>
      </c>
      <c r="Y108" s="853">
        <f>Parameters!S278</f>
        <v>0.71500000000000008</v>
      </c>
      <c r="Z108" s="853">
        <f t="shared" si="63"/>
        <v>0.4</v>
      </c>
      <c r="AA108" s="854">
        <f t="shared" si="64"/>
        <v>37.898338868296754</v>
      </c>
      <c r="AB108" s="854">
        <f t="shared" si="65"/>
        <v>37.898338868296754</v>
      </c>
      <c r="AC108" s="855">
        <f t="shared" si="66"/>
        <v>0</v>
      </c>
      <c r="AD108" s="854">
        <f t="shared" si="67"/>
        <v>4076.4091713248654</v>
      </c>
      <c r="AE108" s="854">
        <f t="shared" si="68"/>
        <v>207.05887810649776</v>
      </c>
      <c r="AF108" s="856">
        <f t="shared" si="69"/>
        <v>138.03925207099851</v>
      </c>
      <c r="AG108" s="4"/>
      <c r="AH108" s="852">
        <f>'Recycling - Case 3'!AM198</f>
        <v>265.0233487293479</v>
      </c>
      <c r="AI108" s="853">
        <f>Parameters!S278</f>
        <v>0.71500000000000008</v>
      </c>
      <c r="AJ108" s="853">
        <f t="shared" si="70"/>
        <v>0.4</v>
      </c>
      <c r="AK108" s="854">
        <f t="shared" si="71"/>
        <v>37.898338868296754</v>
      </c>
      <c r="AL108" s="854">
        <f t="shared" si="72"/>
        <v>37.898338868296754</v>
      </c>
      <c r="AM108" s="855">
        <f t="shared" si="73"/>
        <v>0</v>
      </c>
      <c r="AN108" s="854">
        <f t="shared" si="74"/>
        <v>4076.4091713248654</v>
      </c>
      <c r="AO108" s="854">
        <f t="shared" si="75"/>
        <v>207.05887810649776</v>
      </c>
      <c r="AP108" s="856">
        <f t="shared" si="76"/>
        <v>138.03925207099851</v>
      </c>
      <c r="AQ108" s="4"/>
      <c r="AR108" s="850">
        <f>'Recycling - Case 3'!G118</f>
        <v>840.29098445070019</v>
      </c>
      <c r="AS108" s="846">
        <v>1</v>
      </c>
      <c r="AT108" s="846">
        <f t="shared" si="77"/>
        <v>0.05</v>
      </c>
      <c r="AU108" s="832">
        <f t="shared" si="78"/>
        <v>21.007274611267505</v>
      </c>
      <c r="AV108" s="832">
        <f t="shared" si="79"/>
        <v>21.007274611267505</v>
      </c>
      <c r="AW108" s="835">
        <f t="shared" si="80"/>
        <v>0</v>
      </c>
      <c r="AX108" s="832">
        <f t="shared" si="44"/>
        <v>269.16767621570364</v>
      </c>
      <c r="AY108" s="832">
        <f t="shared" si="49"/>
        <v>15.345382224527848</v>
      </c>
      <c r="AZ108" s="930">
        <f t="shared" si="47"/>
        <v>10.230254816351898</v>
      </c>
      <c r="BA108" s="4"/>
      <c r="BB108" s="1055">
        <f t="shared" si="81"/>
        <v>249.40987697408067</v>
      </c>
      <c r="BC108" s="1056">
        <f t="shared" si="82"/>
        <v>138.03925207099851</v>
      </c>
      <c r="BD108" s="1082">
        <f t="shared" si="90"/>
        <v>10.230254816351898</v>
      </c>
      <c r="BE108" s="1056">
        <f t="shared" si="54"/>
        <v>397.67938386143106</v>
      </c>
      <c r="BF108" s="167">
        <v>0</v>
      </c>
      <c r="BG108" s="1075">
        <f t="shared" si="83"/>
        <v>397.67938386143106</v>
      </c>
      <c r="BI108" s="1055">
        <f t="shared" si="84"/>
        <v>249.40987697408067</v>
      </c>
      <c r="BJ108" s="1056">
        <f t="shared" si="85"/>
        <v>138.03925207099851</v>
      </c>
      <c r="BK108" s="1082">
        <f t="shared" si="86"/>
        <v>10.230254816351898</v>
      </c>
      <c r="BL108" s="1056">
        <f t="shared" si="55"/>
        <v>397.67938386143106</v>
      </c>
      <c r="BM108" s="167">
        <v>0</v>
      </c>
      <c r="BN108" s="1075">
        <f t="shared" si="87"/>
        <v>397.67938386143106</v>
      </c>
    </row>
    <row r="109" spans="1:66">
      <c r="A109" s="927">
        <f>'Input data'!A139</f>
        <v>2039</v>
      </c>
      <c r="B109" s="824">
        <f>'Input data'!B139</f>
        <v>74.847837096563296</v>
      </c>
      <c r="C109" s="824">
        <f>'Recycling - Case 3'!AK119/B109</f>
        <v>266.83609907544133</v>
      </c>
      <c r="D109" s="825">
        <f>'Recycling - Case 3'!AM119</f>
        <v>0.11159596398740185</v>
      </c>
      <c r="E109" s="826">
        <f>'Recycling - Case 3'!BE119</f>
        <v>0.22081547721760428</v>
      </c>
      <c r="F109" s="826">
        <f>'Recycling - Case 3'!BF119</f>
        <v>0.28005376378348168</v>
      </c>
      <c r="G109" s="826">
        <f>'Recycling - Case 3'!BG119</f>
        <v>5.3149874209490661E-2</v>
      </c>
      <c r="H109" s="826">
        <f>'Recycling - Case 3'!BH119</f>
        <v>0</v>
      </c>
      <c r="I109" s="826">
        <f>'Recycling - Case 3'!BI119</f>
        <v>0</v>
      </c>
      <c r="J109" s="826">
        <f>'Recycling - Case 3'!BJ119</f>
        <v>0</v>
      </c>
      <c r="K109" s="826">
        <f>'Recycling - Case 3'!BK119</f>
        <v>0.44598088478942355</v>
      </c>
      <c r="L109" s="827">
        <f t="shared" si="89"/>
        <v>1.0000000000000002</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0.11039302402313325</v>
      </c>
      <c r="Q109" s="832">
        <f t="shared" si="57"/>
        <v>123.0223335102651</v>
      </c>
      <c r="R109" s="832">
        <f t="shared" si="58"/>
        <v>123.0223335102651</v>
      </c>
      <c r="S109" s="835">
        <f t="shared" si="59"/>
        <v>0</v>
      </c>
      <c r="T109" s="832">
        <f t="shared" si="60"/>
        <v>7180.7830233640389</v>
      </c>
      <c r="U109" s="832">
        <f t="shared" si="61"/>
        <v>361.85912852840664</v>
      </c>
      <c r="V109" s="839">
        <f t="shared" si="62"/>
        <v>241.23941901893775</v>
      </c>
      <c r="W109" s="4"/>
      <c r="X109" s="852">
        <f>'Recycling - Case 3'!AM159</f>
        <v>362.45915934556035</v>
      </c>
      <c r="Y109" s="853">
        <f>Parameters!S279</f>
        <v>0.71500000000000008</v>
      </c>
      <c r="Z109" s="853">
        <f t="shared" si="63"/>
        <v>0.4</v>
      </c>
      <c r="AA109" s="854">
        <f t="shared" si="64"/>
        <v>51.831659786415138</v>
      </c>
      <c r="AB109" s="854">
        <f t="shared" si="65"/>
        <v>51.831659786415138</v>
      </c>
      <c r="AC109" s="855">
        <f t="shared" si="66"/>
        <v>0</v>
      </c>
      <c r="AD109" s="854">
        <f t="shared" si="67"/>
        <v>3929.4320098551993</v>
      </c>
      <c r="AE109" s="854">
        <f t="shared" si="68"/>
        <v>198.80882125608116</v>
      </c>
      <c r="AF109" s="856">
        <f t="shared" si="69"/>
        <v>132.53921417072078</v>
      </c>
      <c r="AG109" s="4"/>
      <c r="AH109" s="852">
        <f>'Recycling - Case 3'!AM199</f>
        <v>362.45915934556035</v>
      </c>
      <c r="AI109" s="853">
        <f>Parameters!S279</f>
        <v>0.71500000000000008</v>
      </c>
      <c r="AJ109" s="853">
        <f t="shared" si="70"/>
        <v>0.4</v>
      </c>
      <c r="AK109" s="854">
        <f t="shared" si="71"/>
        <v>51.831659786415138</v>
      </c>
      <c r="AL109" s="854">
        <f t="shared" si="72"/>
        <v>51.831659786415138</v>
      </c>
      <c r="AM109" s="855">
        <f t="shared" si="73"/>
        <v>0</v>
      </c>
      <c r="AN109" s="854">
        <f t="shared" si="74"/>
        <v>3929.4320098551993</v>
      </c>
      <c r="AO109" s="854">
        <f t="shared" si="75"/>
        <v>198.80882125608116</v>
      </c>
      <c r="AP109" s="856">
        <f t="shared" si="76"/>
        <v>132.53921417072078</v>
      </c>
      <c r="AQ109" s="4"/>
      <c r="AR109" s="850">
        <f>'Recycling - Case 3'!G119</f>
        <v>847.62357218967077</v>
      </c>
      <c r="AS109" s="846">
        <v>1</v>
      </c>
      <c r="AT109" s="846">
        <f t="shared" si="77"/>
        <v>0.05</v>
      </c>
      <c r="AU109" s="832">
        <f t="shared" si="78"/>
        <v>21.190589304741771</v>
      </c>
      <c r="AV109" s="832">
        <f t="shared" si="79"/>
        <v>21.190589304741771</v>
      </c>
      <c r="AW109" s="835">
        <f t="shared" si="80"/>
        <v>0</v>
      </c>
      <c r="AX109" s="832">
        <f t="shared" si="44"/>
        <v>274.68316035198001</v>
      </c>
      <c r="AY109" s="832">
        <f t="shared" si="49"/>
        <v>15.675105168465423</v>
      </c>
      <c r="AZ109" s="930">
        <f t="shared" si="47"/>
        <v>10.450070112310282</v>
      </c>
      <c r="BA109" s="4"/>
      <c r="BB109" s="1055">
        <f t="shared" si="81"/>
        <v>241.23941901893775</v>
      </c>
      <c r="BC109" s="1056">
        <f t="shared" si="82"/>
        <v>132.53921417072078</v>
      </c>
      <c r="BD109" s="1082">
        <f t="shared" si="90"/>
        <v>10.450070112310282</v>
      </c>
      <c r="BE109" s="1056">
        <f t="shared" si="54"/>
        <v>384.22870330196884</v>
      </c>
      <c r="BF109" s="167">
        <v>0</v>
      </c>
      <c r="BG109" s="1075">
        <f t="shared" si="83"/>
        <v>384.22870330196884</v>
      </c>
      <c r="BI109" s="1055">
        <f t="shared" si="84"/>
        <v>241.23941901893775</v>
      </c>
      <c r="BJ109" s="1056">
        <f t="shared" si="85"/>
        <v>132.53921417072078</v>
      </c>
      <c r="BK109" s="1082">
        <f t="shared" si="86"/>
        <v>10.450070112310282</v>
      </c>
      <c r="BL109" s="1056">
        <f t="shared" si="55"/>
        <v>384.22870330196884</v>
      </c>
      <c r="BM109" s="167">
        <v>0</v>
      </c>
      <c r="BN109" s="1075">
        <f t="shared" si="87"/>
        <v>384.22870330196884</v>
      </c>
    </row>
    <row r="110" spans="1:66">
      <c r="A110" s="927">
        <f>'Input data'!A140</f>
        <v>2040</v>
      </c>
      <c r="B110" s="824">
        <f>'Input data'!B140</f>
        <v>75.481336564720067</v>
      </c>
      <c r="C110" s="824">
        <f>'Recycling - Case 3'!AK120/B110</f>
        <v>265.73874091627641</v>
      </c>
      <c r="D110" s="825">
        <f>'Recycling - Case 3'!AM120</f>
        <v>0.11111632549686028</v>
      </c>
      <c r="E110" s="826">
        <f>'Recycling - Case 3'!BE120</f>
        <v>0.22137519370083947</v>
      </c>
      <c r="F110" s="826">
        <f>'Recycling - Case 3'!BF120</f>
        <v>0.28076363570802615</v>
      </c>
      <c r="G110" s="826">
        <f>'Recycling - Case 3'!BG120</f>
        <v>5.3014682252363735E-2</v>
      </c>
      <c r="H110" s="826">
        <f>'Recycling - Case 3'!BH120</f>
        <v>0</v>
      </c>
      <c r="I110" s="826">
        <f>'Recycling - Case 3'!BI120</f>
        <v>0</v>
      </c>
      <c r="J110" s="826">
        <f>'Recycling - Case 3'!BJ120</f>
        <v>0</v>
      </c>
      <c r="K110" s="826">
        <f>'Recycling - Case 3'!BK120</f>
        <v>0.44484648833877072</v>
      </c>
      <c r="L110" s="827">
        <f t="shared" si="89"/>
        <v>1</v>
      </c>
      <c r="M110" s="4"/>
      <c r="N110" s="838">
        <f t="shared" si="56"/>
        <v>2228.8062963921579</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0.11056487909767665</v>
      </c>
      <c r="Q110" s="832">
        <f t="shared" si="57"/>
        <v>123.2138493463697</v>
      </c>
      <c r="R110" s="832">
        <f t="shared" si="58"/>
        <v>123.2138493463697</v>
      </c>
      <c r="S110" s="835">
        <f t="shared" si="59"/>
        <v>0</v>
      </c>
      <c r="T110" s="832">
        <f t="shared" si="60"/>
        <v>6953.7859521254422</v>
      </c>
      <c r="U110" s="832">
        <f t="shared" si="61"/>
        <v>350.21092058496691</v>
      </c>
      <c r="V110" s="839">
        <f t="shared" si="62"/>
        <v>233.47394705664462</v>
      </c>
      <c r="W110" s="4"/>
      <c r="X110" s="852">
        <f>'Recycling - Case 3'!AM160</f>
        <v>461.20572912887332</v>
      </c>
      <c r="Y110" s="853">
        <f>Parameters!S280</f>
        <v>0.71500000000000008</v>
      </c>
      <c r="Z110" s="853">
        <f t="shared" si="63"/>
        <v>0.4</v>
      </c>
      <c r="AA110" s="854">
        <f t="shared" si="64"/>
        <v>65.952419265428887</v>
      </c>
      <c r="AB110" s="854">
        <f t="shared" si="65"/>
        <v>65.952419265428887</v>
      </c>
      <c r="AC110" s="855">
        <f t="shared" si="66"/>
        <v>0</v>
      </c>
      <c r="AD110" s="854">
        <f t="shared" si="67"/>
        <v>3803.7437686146741</v>
      </c>
      <c r="AE110" s="854">
        <f t="shared" si="68"/>
        <v>191.64066050595406</v>
      </c>
      <c r="AF110" s="856">
        <f t="shared" si="69"/>
        <v>127.76044033730271</v>
      </c>
      <c r="AG110" s="4"/>
      <c r="AH110" s="852">
        <f>'Recycling - Case 3'!AM200</f>
        <v>461.20572912887332</v>
      </c>
      <c r="AI110" s="853">
        <f>Parameters!S280</f>
        <v>0.71500000000000008</v>
      </c>
      <c r="AJ110" s="853">
        <f t="shared" si="70"/>
        <v>0.4</v>
      </c>
      <c r="AK110" s="854">
        <f t="shared" si="71"/>
        <v>65.952419265428887</v>
      </c>
      <c r="AL110" s="854">
        <f t="shared" si="72"/>
        <v>65.952419265428887</v>
      </c>
      <c r="AM110" s="855">
        <f t="shared" si="73"/>
        <v>0</v>
      </c>
      <c r="AN110" s="854">
        <f t="shared" si="74"/>
        <v>3803.7437686146741</v>
      </c>
      <c r="AO110" s="854">
        <f t="shared" si="75"/>
        <v>191.64066050595406</v>
      </c>
      <c r="AP110" s="856">
        <f t="shared" si="76"/>
        <v>127.76044033730271</v>
      </c>
      <c r="AQ110" s="4"/>
      <c r="AR110" s="850">
        <f>'Recycling - Case 3'!G120</f>
        <v>854.79771513098979</v>
      </c>
      <c r="AS110" s="846">
        <v>1</v>
      </c>
      <c r="AT110" s="846">
        <f t="shared" si="77"/>
        <v>0.05</v>
      </c>
      <c r="AU110" s="832">
        <f t="shared" si="78"/>
        <v>21.369942878274745</v>
      </c>
      <c r="AV110" s="832">
        <f t="shared" si="79"/>
        <v>21.369942878274745</v>
      </c>
      <c r="AW110" s="835">
        <f t="shared" si="80"/>
        <v>0</v>
      </c>
      <c r="AX110" s="832">
        <f t="shared" si="44"/>
        <v>280.05680127060458</v>
      </c>
      <c r="AY110" s="832">
        <f t="shared" si="49"/>
        <v>15.996301959650156</v>
      </c>
      <c r="AZ110" s="930">
        <f t="shared" si="47"/>
        <v>10.664201306433437</v>
      </c>
      <c r="BA110" s="4"/>
      <c r="BB110" s="1055">
        <f t="shared" si="81"/>
        <v>233.47394705664462</v>
      </c>
      <c r="BC110" s="1056">
        <f t="shared" si="82"/>
        <v>127.76044033730271</v>
      </c>
      <c r="BD110" s="1082">
        <f t="shared" si="90"/>
        <v>10.664201306433437</v>
      </c>
      <c r="BE110" s="1056">
        <f t="shared" si="54"/>
        <v>371.89858870038074</v>
      </c>
      <c r="BF110" s="167">
        <v>0</v>
      </c>
      <c r="BG110" s="1075">
        <f t="shared" si="83"/>
        <v>371.89858870038074</v>
      </c>
      <c r="BI110" s="1055">
        <f t="shared" si="84"/>
        <v>233.47394705664462</v>
      </c>
      <c r="BJ110" s="1056">
        <f t="shared" si="85"/>
        <v>127.76044033730271</v>
      </c>
      <c r="BK110" s="1082">
        <f t="shared" si="86"/>
        <v>10.664201306433437</v>
      </c>
      <c r="BL110" s="1056">
        <f t="shared" si="55"/>
        <v>371.89858870038074</v>
      </c>
      <c r="BM110" s="167">
        <v>0</v>
      </c>
      <c r="BN110" s="1075">
        <f t="shared" si="87"/>
        <v>371.89858870038074</v>
      </c>
    </row>
    <row r="111" spans="1:66">
      <c r="A111" s="927">
        <f>'Input data'!A141</f>
        <v>2041</v>
      </c>
      <c r="B111" s="824">
        <f>'Input data'!B141</f>
        <v>76.101885632753024</v>
      </c>
      <c r="C111" s="824">
        <f>'Recycling - Case 3'!AK121/B111</f>
        <v>264.68213157697022</v>
      </c>
      <c r="D111" s="825">
        <f>'Recycling - Case 3'!AM121</f>
        <v>0.11065022075617988</v>
      </c>
      <c r="E111" s="826">
        <f>'Recycling - Case 3'!BE121</f>
        <v>0.22191174688108273</v>
      </c>
      <c r="F111" s="826">
        <f>'Recycling - Case 3'!BF121</f>
        <v>0.28144413029785537</v>
      </c>
      <c r="G111" s="826">
        <f>'Recycling - Case 3'!BG121</f>
        <v>5.2885085078236402E-2</v>
      </c>
      <c r="H111" s="826">
        <f>'Recycling - Case 3'!BH121</f>
        <v>0</v>
      </c>
      <c r="I111" s="826">
        <f>'Recycling - Case 3'!BI121</f>
        <v>0</v>
      </c>
      <c r="J111" s="826">
        <f>'Recycling - Case 3'!BJ121</f>
        <v>0</v>
      </c>
      <c r="K111" s="826">
        <f>'Recycling - Case 3'!BK121</f>
        <v>0.44375903774282555</v>
      </c>
      <c r="L111" s="827">
        <f t="shared" si="89"/>
        <v>1</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0.11072962212302806</v>
      </c>
      <c r="Q111" s="832">
        <f t="shared" si="57"/>
        <v>123.39743949246468</v>
      </c>
      <c r="R111" s="832">
        <f t="shared" si="58"/>
        <v>123.39743949246468</v>
      </c>
      <c r="S111" s="835">
        <f t="shared" si="59"/>
        <v>0</v>
      </c>
      <c r="T111" s="832">
        <f t="shared" si="60"/>
        <v>6738.0432488338984</v>
      </c>
      <c r="U111" s="832">
        <f t="shared" si="61"/>
        <v>339.14014278400816</v>
      </c>
      <c r="V111" s="839">
        <f t="shared" si="62"/>
        <v>226.0934285226721</v>
      </c>
      <c r="W111" s="4"/>
      <c r="X111" s="852">
        <f>'Recycling - Case 3'!AM161</f>
        <v>514.85824560813717</v>
      </c>
      <c r="Y111" s="853">
        <f>Parameters!S281</f>
        <v>0.71500000000000008</v>
      </c>
      <c r="Z111" s="853">
        <f t="shared" si="63"/>
        <v>0.4</v>
      </c>
      <c r="AA111" s="854">
        <f t="shared" si="64"/>
        <v>73.624729121963625</v>
      </c>
      <c r="AB111" s="854">
        <f t="shared" si="65"/>
        <v>73.624729121963625</v>
      </c>
      <c r="AC111" s="855">
        <f t="shared" si="66"/>
        <v>0</v>
      </c>
      <c r="AD111" s="854">
        <f t="shared" si="67"/>
        <v>3691.8577250894773</v>
      </c>
      <c r="AE111" s="854">
        <f t="shared" si="68"/>
        <v>185.51077264716056</v>
      </c>
      <c r="AF111" s="856">
        <f t="shared" si="69"/>
        <v>123.67384843144038</v>
      </c>
      <c r="AG111" s="4"/>
      <c r="AH111" s="852">
        <f>'Recycling - Case 3'!AM201</f>
        <v>514.85824560813717</v>
      </c>
      <c r="AI111" s="853">
        <f>Parameters!S281</f>
        <v>0.71500000000000008</v>
      </c>
      <c r="AJ111" s="853">
        <f t="shared" si="70"/>
        <v>0.4</v>
      </c>
      <c r="AK111" s="854">
        <f t="shared" si="71"/>
        <v>73.624729121963625</v>
      </c>
      <c r="AL111" s="854">
        <f t="shared" si="72"/>
        <v>73.624729121963625</v>
      </c>
      <c r="AM111" s="855">
        <f t="shared" si="73"/>
        <v>0</v>
      </c>
      <c r="AN111" s="854">
        <f t="shared" si="74"/>
        <v>3691.8577250894773</v>
      </c>
      <c r="AO111" s="854">
        <f t="shared" si="75"/>
        <v>185.51077264716056</v>
      </c>
      <c r="AP111" s="856">
        <f t="shared" si="76"/>
        <v>123.67384843144038</v>
      </c>
      <c r="AQ111" s="4"/>
      <c r="AR111" s="850">
        <f>'Recycling - Case 3'!G121</f>
        <v>861.82519966720247</v>
      </c>
      <c r="AS111" s="846">
        <v>1</v>
      </c>
      <c r="AT111" s="846">
        <f t="shared" si="77"/>
        <v>0.05</v>
      </c>
      <c r="AU111" s="832">
        <f t="shared" si="78"/>
        <v>21.545629991680062</v>
      </c>
      <c r="AV111" s="832">
        <f t="shared" si="79"/>
        <v>21.545629991680062</v>
      </c>
      <c r="AW111" s="835">
        <f t="shared" si="80"/>
        <v>0</v>
      </c>
      <c r="AX111" s="832">
        <f t="shared" si="44"/>
        <v>285.29319281738765</v>
      </c>
      <c r="AY111" s="832">
        <f t="shared" si="49"/>
        <v>16.309238444897023</v>
      </c>
      <c r="AZ111" s="930">
        <f t="shared" si="47"/>
        <v>10.872825629931349</v>
      </c>
      <c r="BA111" s="4"/>
      <c r="BB111" s="1055">
        <f t="shared" si="81"/>
        <v>226.0934285226721</v>
      </c>
      <c r="BC111" s="1056">
        <f t="shared" si="82"/>
        <v>123.67384843144038</v>
      </c>
      <c r="BD111" s="1082">
        <f t="shared" si="90"/>
        <v>10.872825629931349</v>
      </c>
      <c r="BE111" s="1056">
        <f t="shared" si="54"/>
        <v>360.64010258404386</v>
      </c>
      <c r="BF111" s="167">
        <v>0</v>
      </c>
      <c r="BG111" s="1075">
        <f t="shared" si="83"/>
        <v>360.64010258404386</v>
      </c>
      <c r="BI111" s="1055">
        <f t="shared" si="84"/>
        <v>226.0934285226721</v>
      </c>
      <c r="BJ111" s="1056">
        <f t="shared" si="85"/>
        <v>123.67384843144038</v>
      </c>
      <c r="BK111" s="1082">
        <f t="shared" si="86"/>
        <v>10.872825629931349</v>
      </c>
      <c r="BL111" s="1056">
        <f t="shared" si="55"/>
        <v>360.64010258404386</v>
      </c>
      <c r="BM111" s="167">
        <v>0</v>
      </c>
      <c r="BN111" s="1075">
        <f t="shared" si="87"/>
        <v>360.64010258404386</v>
      </c>
    </row>
    <row r="112" spans="1:66">
      <c r="A112" s="927">
        <f>'Input data'!A142</f>
        <v>2042</v>
      </c>
      <c r="B112" s="824">
        <f>'Input data'!B142</f>
        <v>76.709073592680113</v>
      </c>
      <c r="C112" s="824">
        <f>'Recycling - Case 3'!AK122/B112</f>
        <v>263.66537404555231</v>
      </c>
      <c r="D112" s="825">
        <f>'Recycling - Case 3'!AM122</f>
        <v>0.11019768941050057</v>
      </c>
      <c r="E112" s="826">
        <f>'Recycling - Case 3'!BE122</f>
        <v>0.22242587187262389</v>
      </c>
      <c r="F112" s="826">
        <f>'Recycling - Case 3'!BF122</f>
        <v>0.28209617987676394</v>
      </c>
      <c r="G112" s="826">
        <f>'Recycling - Case 3'!BG122</f>
        <v>5.2760905130180238E-2</v>
      </c>
      <c r="H112" s="826">
        <f>'Recycling - Case 3'!BH122</f>
        <v>0</v>
      </c>
      <c r="I112" s="826">
        <f>'Recycling - Case 3'!BI122</f>
        <v>0</v>
      </c>
      <c r="J112" s="826">
        <f>'Recycling - Case 3'!BJ122</f>
        <v>0</v>
      </c>
      <c r="K112" s="826">
        <f>'Recycling - Case 3'!BK122</f>
        <v>0.44271704312043192</v>
      </c>
      <c r="L112" s="827">
        <f t="shared" si="89"/>
        <v>1</v>
      </c>
      <c r="M112" s="4"/>
      <c r="N112" s="838">
        <f t="shared" si="56"/>
        <v>2228.8062963921589</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0.11088747880831847</v>
      </c>
      <c r="Q112" s="832">
        <f t="shared" si="57"/>
        <v>123.57335547951614</v>
      </c>
      <c r="R112" s="832">
        <f t="shared" si="58"/>
        <v>123.57335547951614</v>
      </c>
      <c r="S112" s="835">
        <f t="shared" si="59"/>
        <v>0</v>
      </c>
      <c r="T112" s="832">
        <f t="shared" si="60"/>
        <v>6532.9983573287063</v>
      </c>
      <c r="U112" s="832">
        <f t="shared" si="61"/>
        <v>328.61824698470787</v>
      </c>
      <c r="V112" s="839">
        <f t="shared" si="62"/>
        <v>219.07883132313859</v>
      </c>
      <c r="W112" s="4"/>
      <c r="X112" s="852">
        <f>'Recycling - Case 3'!AM162</f>
        <v>569.11026943530908</v>
      </c>
      <c r="Y112" s="853">
        <f>Parameters!S282</f>
        <v>0.71500000000000008</v>
      </c>
      <c r="Z112" s="853">
        <f t="shared" si="63"/>
        <v>0.4</v>
      </c>
      <c r="AA112" s="854">
        <f t="shared" si="64"/>
        <v>81.382768529249219</v>
      </c>
      <c r="AB112" s="854">
        <f t="shared" si="65"/>
        <v>81.382768529249219</v>
      </c>
      <c r="AC112" s="855">
        <f t="shared" si="66"/>
        <v>0</v>
      </c>
      <c r="AD112" s="854">
        <f t="shared" si="67"/>
        <v>3593.1864677046278</v>
      </c>
      <c r="AE112" s="854">
        <f t="shared" si="68"/>
        <v>180.05402591409856</v>
      </c>
      <c r="AF112" s="856">
        <f t="shared" si="69"/>
        <v>120.03601727606571</v>
      </c>
      <c r="AG112" s="4"/>
      <c r="AH112" s="852">
        <f>'Recycling - Case 3'!AM202</f>
        <v>569.11026943530908</v>
      </c>
      <c r="AI112" s="853">
        <f>Parameters!S282</f>
        <v>0.71500000000000008</v>
      </c>
      <c r="AJ112" s="853">
        <f t="shared" si="70"/>
        <v>0.4</v>
      </c>
      <c r="AK112" s="854">
        <f t="shared" si="71"/>
        <v>81.382768529249219</v>
      </c>
      <c r="AL112" s="854">
        <f t="shared" si="72"/>
        <v>81.382768529249219</v>
      </c>
      <c r="AM112" s="855">
        <f t="shared" si="73"/>
        <v>0</v>
      </c>
      <c r="AN112" s="854">
        <f t="shared" si="74"/>
        <v>3593.1864677046278</v>
      </c>
      <c r="AO112" s="854">
        <f t="shared" si="75"/>
        <v>180.05402591409856</v>
      </c>
      <c r="AP112" s="856">
        <f t="shared" si="76"/>
        <v>120.03601727606571</v>
      </c>
      <c r="AQ112" s="4"/>
      <c r="AR112" s="850">
        <f>'Recycling - Case 3'!G122</f>
        <v>868.70137468505868</v>
      </c>
      <c r="AS112" s="846">
        <v>1</v>
      </c>
      <c r="AT112" s="846">
        <f t="shared" si="77"/>
        <v>0.05</v>
      </c>
      <c r="AU112" s="832">
        <f t="shared" si="78"/>
        <v>21.717534367126468</v>
      </c>
      <c r="AV112" s="832">
        <f t="shared" si="79"/>
        <v>21.717534367126468</v>
      </c>
      <c r="AW112" s="835">
        <f t="shared" si="80"/>
        <v>0</v>
      </c>
      <c r="AX112" s="832">
        <f t="shared" si="44"/>
        <v>290.39654503555465</v>
      </c>
      <c r="AY112" s="832">
        <f t="shared" si="49"/>
        <v>16.614182148959433</v>
      </c>
      <c r="AZ112" s="930">
        <f t="shared" si="47"/>
        <v>11.076121432639622</v>
      </c>
      <c r="BA112" s="4"/>
      <c r="BB112" s="1055">
        <f t="shared" si="81"/>
        <v>219.07883132313859</v>
      </c>
      <c r="BC112" s="1056">
        <f t="shared" si="82"/>
        <v>120.03601727606571</v>
      </c>
      <c r="BD112" s="1082">
        <f t="shared" si="90"/>
        <v>11.076121432639622</v>
      </c>
      <c r="BE112" s="1056">
        <f t="shared" si="54"/>
        <v>350.1909700318439</v>
      </c>
      <c r="BF112" s="167">
        <v>0</v>
      </c>
      <c r="BG112" s="1075">
        <f t="shared" si="83"/>
        <v>350.1909700318439</v>
      </c>
      <c r="BI112" s="1055">
        <f t="shared" si="84"/>
        <v>219.07883132313859</v>
      </c>
      <c r="BJ112" s="1056">
        <f t="shared" si="85"/>
        <v>120.03601727606571</v>
      </c>
      <c r="BK112" s="1082">
        <f t="shared" si="86"/>
        <v>11.076121432639622</v>
      </c>
      <c r="BL112" s="1056">
        <f t="shared" si="55"/>
        <v>350.1909700318439</v>
      </c>
      <c r="BM112" s="167">
        <v>0</v>
      </c>
      <c r="BN112" s="1075">
        <f t="shared" si="87"/>
        <v>350.1909700318439</v>
      </c>
    </row>
    <row r="113" spans="1:66">
      <c r="A113" s="927">
        <f>'Input data'!A143</f>
        <v>2043</v>
      </c>
      <c r="B113" s="824">
        <f>'Input data'!B143</f>
        <v>77.302495984815266</v>
      </c>
      <c r="C113" s="824">
        <f>'Recycling - Case 3'!AK123/B113</f>
        <v>262.68761119359209</v>
      </c>
      <c r="D113" s="825">
        <f>'Recycling - Case 3'!AM123</f>
        <v>0.10975876655997421</v>
      </c>
      <c r="E113" s="826">
        <f>'Recycling - Case 3'!BE123</f>
        <v>0.2229182631596279</v>
      </c>
      <c r="F113" s="826">
        <f>'Recycling - Case 3'!BF123</f>
        <v>0.28272066523855666</v>
      </c>
      <c r="G113" s="826">
        <f>'Recycling - Case 3'!BG123</f>
        <v>5.2641974664924748E-2</v>
      </c>
      <c r="H113" s="826">
        <f>'Recycling - Case 3'!BH123</f>
        <v>0</v>
      </c>
      <c r="I113" s="826">
        <f>'Recycling - Case 3'!BI123</f>
        <v>0</v>
      </c>
      <c r="J113" s="826">
        <f>'Recycling - Case 3'!BJ123</f>
        <v>0</v>
      </c>
      <c r="K113" s="826">
        <f>'Recycling - Case 3'!BK123</f>
        <v>0.44171909693689054</v>
      </c>
      <c r="L113" s="827">
        <f t="shared" si="89"/>
        <v>0.99999999999999978</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0.11103866238762541</v>
      </c>
      <c r="Q113" s="832">
        <f t="shared" si="57"/>
        <v>123.74183493625134</v>
      </c>
      <c r="R113" s="832">
        <f t="shared" si="58"/>
        <v>123.74183493625134</v>
      </c>
      <c r="S113" s="835">
        <f t="shared" si="59"/>
        <v>0</v>
      </c>
      <c r="T113" s="832">
        <f t="shared" si="60"/>
        <v>6338.1221026421472</v>
      </c>
      <c r="U113" s="832">
        <f t="shared" si="61"/>
        <v>318.618089622811</v>
      </c>
      <c r="V113" s="839">
        <f t="shared" si="62"/>
        <v>212.41205974854066</v>
      </c>
      <c r="W113" s="4"/>
      <c r="X113" s="852">
        <f>'Recycling - Case 3'!AM163</f>
        <v>623.96804885607298</v>
      </c>
      <c r="Y113" s="853">
        <f>Parameters!S283</f>
        <v>0.71500000000000008</v>
      </c>
      <c r="Z113" s="853">
        <f t="shared" si="63"/>
        <v>0.4</v>
      </c>
      <c r="AA113" s="854">
        <f t="shared" si="64"/>
        <v>89.227430986418454</v>
      </c>
      <c r="AB113" s="854">
        <f t="shared" si="65"/>
        <v>89.227430986418454</v>
      </c>
      <c r="AC113" s="855">
        <f t="shared" si="66"/>
        <v>0</v>
      </c>
      <c r="AD113" s="854">
        <f t="shared" si="67"/>
        <v>3507.1721267848447</v>
      </c>
      <c r="AE113" s="854">
        <f t="shared" si="68"/>
        <v>175.24177190620128</v>
      </c>
      <c r="AF113" s="856">
        <f t="shared" si="69"/>
        <v>116.82784793746752</v>
      </c>
      <c r="AG113" s="4"/>
      <c r="AH113" s="852">
        <f>'Recycling - Case 3'!AM203</f>
        <v>623.96804885607298</v>
      </c>
      <c r="AI113" s="853">
        <f>Parameters!S283</f>
        <v>0.71500000000000008</v>
      </c>
      <c r="AJ113" s="853">
        <f t="shared" si="70"/>
        <v>0.4</v>
      </c>
      <c r="AK113" s="854">
        <f t="shared" si="71"/>
        <v>89.227430986418454</v>
      </c>
      <c r="AL113" s="854">
        <f t="shared" si="72"/>
        <v>89.227430986418454</v>
      </c>
      <c r="AM113" s="855">
        <f t="shared" si="73"/>
        <v>0</v>
      </c>
      <c r="AN113" s="854">
        <f t="shared" si="74"/>
        <v>3507.1721267848447</v>
      </c>
      <c r="AO113" s="854">
        <f t="shared" si="75"/>
        <v>175.24177190620128</v>
      </c>
      <c r="AP113" s="856">
        <f t="shared" si="76"/>
        <v>116.82784793746752</v>
      </c>
      <c r="AQ113" s="4"/>
      <c r="AR113" s="850">
        <f>'Recycling - Case 3'!G123</f>
        <v>875.4216598309074</v>
      </c>
      <c r="AS113" s="846">
        <v>1</v>
      </c>
      <c r="AT113" s="846">
        <f t="shared" si="77"/>
        <v>0.05</v>
      </c>
      <c r="AU113" s="832">
        <f t="shared" si="78"/>
        <v>21.885541495772685</v>
      </c>
      <c r="AV113" s="832">
        <f t="shared" si="79"/>
        <v>21.885541495772685</v>
      </c>
      <c r="AW113" s="835">
        <f t="shared" si="80"/>
        <v>0</v>
      </c>
      <c r="AX113" s="832">
        <f t="shared" si="44"/>
        <v>295.37070828565913</v>
      </c>
      <c r="AY113" s="832">
        <f t="shared" si="49"/>
        <v>16.911378245668246</v>
      </c>
      <c r="AZ113" s="930">
        <f t="shared" si="47"/>
        <v>11.274252163778831</v>
      </c>
      <c r="BA113" s="4"/>
      <c r="BB113" s="1055">
        <f t="shared" si="81"/>
        <v>212.41205974854066</v>
      </c>
      <c r="BC113" s="1056">
        <f t="shared" si="82"/>
        <v>116.82784793746752</v>
      </c>
      <c r="BD113" s="1082">
        <f t="shared" si="90"/>
        <v>11.274252163778831</v>
      </c>
      <c r="BE113" s="1056">
        <f t="shared" si="54"/>
        <v>340.51415984978701</v>
      </c>
      <c r="BF113" s="167">
        <v>0</v>
      </c>
      <c r="BG113" s="1075">
        <f t="shared" si="83"/>
        <v>340.51415984978701</v>
      </c>
      <c r="BI113" s="1055">
        <f t="shared" si="84"/>
        <v>212.41205974854066</v>
      </c>
      <c r="BJ113" s="1056">
        <f t="shared" si="85"/>
        <v>116.82784793746752</v>
      </c>
      <c r="BK113" s="1082">
        <f t="shared" si="86"/>
        <v>11.274252163778831</v>
      </c>
      <c r="BL113" s="1056">
        <f t="shared" si="55"/>
        <v>340.51415984978701</v>
      </c>
      <c r="BM113" s="167">
        <v>0</v>
      </c>
      <c r="BN113" s="1075">
        <f t="shared" si="87"/>
        <v>340.51415984978701</v>
      </c>
    </row>
    <row r="114" spans="1:66">
      <c r="A114" s="927">
        <f>'Input data'!A144</f>
        <v>2044</v>
      </c>
      <c r="B114" s="824">
        <f>'Input data'!B144</f>
        <v>77.881755043150378</v>
      </c>
      <c r="C114" s="824">
        <f>'Recycling - Case 3'!AK124/B114</f>
        <v>261.74802437530508</v>
      </c>
      <c r="D114" s="825">
        <f>'Recycling - Case 3'!AM124</f>
        <v>0.10933348310494667</v>
      </c>
      <c r="E114" s="826">
        <f>'Recycling - Case 3'!BE124</f>
        <v>0.22338957680932053</v>
      </c>
      <c r="F114" s="826">
        <f>'Recycling - Case 3'!BF124</f>
        <v>0.28331841845396605</v>
      </c>
      <c r="G114" s="826">
        <f>'Recycling - Case 3'!BG124</f>
        <v>5.2528135218292263E-2</v>
      </c>
      <c r="H114" s="826">
        <f>'Recycling - Case 3'!BH124</f>
        <v>0</v>
      </c>
      <c r="I114" s="826">
        <f>'Recycling - Case 3'!BI124</f>
        <v>0</v>
      </c>
      <c r="J114" s="826">
        <f>'Recycling - Case 3'!BJ124</f>
        <v>0</v>
      </c>
      <c r="K114" s="826">
        <f>'Recycling - Case 3'!BK124</f>
        <v>0.44076386951842123</v>
      </c>
      <c r="L114" s="827">
        <f t="shared" si="89"/>
        <v>1</v>
      </c>
      <c r="M114" s="4"/>
      <c r="N114" s="838">
        <f t="shared" si="56"/>
        <v>2228.8062963921579</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0.1111833742995082</v>
      </c>
      <c r="Q114" s="832">
        <f t="shared" si="57"/>
        <v>123.90310234643495</v>
      </c>
      <c r="R114" s="832">
        <f t="shared" si="58"/>
        <v>123.90310234643495</v>
      </c>
      <c r="S114" s="835">
        <f t="shared" si="59"/>
        <v>0</v>
      </c>
      <c r="T114" s="832">
        <f t="shared" si="60"/>
        <v>6152.91134245798</v>
      </c>
      <c r="U114" s="832">
        <f t="shared" si="61"/>
        <v>309.11386253060209</v>
      </c>
      <c r="V114" s="839">
        <f t="shared" si="62"/>
        <v>206.07590835373472</v>
      </c>
      <c r="W114" s="4"/>
      <c r="X114" s="852">
        <f>'Recycling - Case 3'!AM164</f>
        <v>679.46026606250325</v>
      </c>
      <c r="Y114" s="853">
        <f>Parameters!S284</f>
        <v>0.71500000000000008</v>
      </c>
      <c r="Z114" s="853">
        <f t="shared" si="63"/>
        <v>0.4</v>
      </c>
      <c r="AA114" s="854">
        <f t="shared" si="64"/>
        <v>97.162818046937986</v>
      </c>
      <c r="AB114" s="854">
        <f t="shared" si="65"/>
        <v>97.162818046937986</v>
      </c>
      <c r="AC114" s="855">
        <f t="shared" si="66"/>
        <v>0</v>
      </c>
      <c r="AD114" s="854">
        <f t="shared" si="67"/>
        <v>3433.2881418334309</v>
      </c>
      <c r="AE114" s="854">
        <f t="shared" si="68"/>
        <v>171.04680299835167</v>
      </c>
      <c r="AF114" s="856">
        <f t="shared" si="69"/>
        <v>114.03120199890111</v>
      </c>
      <c r="AG114" s="4"/>
      <c r="AH114" s="852">
        <f>'Recycling - Case 3'!AM204</f>
        <v>679.46026606250325</v>
      </c>
      <c r="AI114" s="853">
        <f>Parameters!S284</f>
        <v>0.71500000000000008</v>
      </c>
      <c r="AJ114" s="853">
        <f t="shared" si="70"/>
        <v>0.4</v>
      </c>
      <c r="AK114" s="854">
        <f t="shared" si="71"/>
        <v>97.162818046937986</v>
      </c>
      <c r="AL114" s="854">
        <f t="shared" si="72"/>
        <v>97.162818046937986</v>
      </c>
      <c r="AM114" s="855">
        <f t="shared" si="73"/>
        <v>0</v>
      </c>
      <c r="AN114" s="854">
        <f t="shared" si="74"/>
        <v>3433.2881418334309</v>
      </c>
      <c r="AO114" s="854">
        <f t="shared" si="75"/>
        <v>171.04680299835167</v>
      </c>
      <c r="AP114" s="856">
        <f t="shared" si="76"/>
        <v>114.03120199890111</v>
      </c>
      <c r="AQ114" s="4"/>
      <c r="AR114" s="850">
        <f>'Recycling - Case 3'!G124</f>
        <v>881.98155055448012</v>
      </c>
      <c r="AS114" s="846">
        <v>1</v>
      </c>
      <c r="AT114" s="846">
        <f t="shared" si="77"/>
        <v>0.05</v>
      </c>
      <c r="AU114" s="832">
        <f t="shared" si="78"/>
        <v>22.049538763862003</v>
      </c>
      <c r="AV114" s="832">
        <f t="shared" si="79"/>
        <v>22.049538763862003</v>
      </c>
      <c r="AW114" s="835">
        <f t="shared" si="80"/>
        <v>0</v>
      </c>
      <c r="AX114" s="832">
        <f t="shared" ref="AX114:AX120" si="91">AV114+(AX113*$E$8)</f>
        <v>300.21919608695498</v>
      </c>
      <c r="AY114" s="832">
        <f t="shared" si="49"/>
        <v>17.201050962566171</v>
      </c>
      <c r="AZ114" s="930">
        <f t="shared" si="47"/>
        <v>11.467367308377447</v>
      </c>
      <c r="BA114" s="4"/>
      <c r="BB114" s="1055">
        <f t="shared" si="81"/>
        <v>206.07590835373472</v>
      </c>
      <c r="BC114" s="1056">
        <f t="shared" si="82"/>
        <v>114.03120199890111</v>
      </c>
      <c r="BD114" s="1082">
        <f t="shared" si="90"/>
        <v>11.467367308377447</v>
      </c>
      <c r="BE114" s="1056">
        <f t="shared" si="54"/>
        <v>331.57447766101325</v>
      </c>
      <c r="BF114" s="167">
        <v>0</v>
      </c>
      <c r="BG114" s="1075">
        <f t="shared" si="83"/>
        <v>331.57447766101325</v>
      </c>
      <c r="BI114" s="1055">
        <f t="shared" si="84"/>
        <v>206.07590835373472</v>
      </c>
      <c r="BJ114" s="1056">
        <f t="shared" si="85"/>
        <v>114.03120199890111</v>
      </c>
      <c r="BK114" s="1082">
        <f t="shared" si="86"/>
        <v>11.467367308377447</v>
      </c>
      <c r="BL114" s="1056">
        <f t="shared" si="55"/>
        <v>331.57447766101325</v>
      </c>
      <c r="BM114" s="167">
        <v>0</v>
      </c>
      <c r="BN114" s="1075">
        <f t="shared" si="87"/>
        <v>331.57447766101325</v>
      </c>
    </row>
    <row r="115" spans="1:66">
      <c r="A115" s="927">
        <f>'Input data'!A145</f>
        <v>2045</v>
      </c>
      <c r="B115" s="824">
        <f>'Input data'!B145</f>
        <v>78.446460136387472</v>
      </c>
      <c r="C115" s="824">
        <f>'Recycling - Case 3'!AK125/B115</f>
        <v>260.84583210536204</v>
      </c>
      <c r="D115" s="825">
        <f>'Recycling - Case 3'!AM125</f>
        <v>0.1089218660751501</v>
      </c>
      <c r="E115" s="826">
        <f>'Recycling - Case 3'!BE125</f>
        <v>0.22384043252369717</v>
      </c>
      <c r="F115" s="826">
        <f>'Recycling - Case 3'!BF125</f>
        <v>0.28389022547277409</v>
      </c>
      <c r="G115" s="826">
        <f>'Recycling - Case 3'!BG125</f>
        <v>5.2419237109635239E-2</v>
      </c>
      <c r="H115" s="826">
        <f>'Recycling - Case 3'!BH125</f>
        <v>0</v>
      </c>
      <c r="I115" s="826">
        <f>'Recycling - Case 3'!BI125</f>
        <v>0</v>
      </c>
      <c r="J115" s="826">
        <f>'Recycling - Case 3'!BJ125</f>
        <v>0</v>
      </c>
      <c r="K115" s="826">
        <f>'Recycling - Case 3'!BK125</f>
        <v>0.43985010489389337</v>
      </c>
      <c r="L115" s="827">
        <f t="shared" si="89"/>
        <v>1</v>
      </c>
      <c r="M115" s="4"/>
      <c r="N115" s="838">
        <f t="shared" si="56"/>
        <v>2228.8062963921589</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0.11132180481696348</v>
      </c>
      <c r="Q115" s="832">
        <f t="shared" si="57"/>
        <v>124.05736975089359</v>
      </c>
      <c r="R115" s="832">
        <f t="shared" si="58"/>
        <v>124.05736975089359</v>
      </c>
      <c r="S115" s="835">
        <f t="shared" si="59"/>
        <v>0</v>
      </c>
      <c r="T115" s="832">
        <f t="shared" si="60"/>
        <v>5976.8876850411134</v>
      </c>
      <c r="U115" s="832">
        <f t="shared" si="61"/>
        <v>300.08102716776</v>
      </c>
      <c r="V115" s="839">
        <f t="shared" si="62"/>
        <v>200.05401811184001</v>
      </c>
      <c r="W115" s="4"/>
      <c r="X115" s="852">
        <f>'Recycling - Case 3'!AM165</f>
        <v>735.58191700822488</v>
      </c>
      <c r="Y115" s="853">
        <f>Parameters!S285</f>
        <v>0.71500000000000008</v>
      </c>
      <c r="Z115" s="853">
        <f t="shared" si="63"/>
        <v>0.4</v>
      </c>
      <c r="AA115" s="854">
        <f t="shared" si="64"/>
        <v>105.18821413217617</v>
      </c>
      <c r="AB115" s="854">
        <f t="shared" si="65"/>
        <v>105.18821413217617</v>
      </c>
      <c r="AC115" s="855">
        <f t="shared" si="66"/>
        <v>0</v>
      </c>
      <c r="AD115" s="854">
        <f t="shared" si="67"/>
        <v>3371.0329174335166</v>
      </c>
      <c r="AE115" s="854">
        <f t="shared" si="68"/>
        <v>167.44343853209062</v>
      </c>
      <c r="AF115" s="856">
        <f t="shared" si="69"/>
        <v>111.62895902139375</v>
      </c>
      <c r="AG115" s="4"/>
      <c r="AH115" s="852">
        <f>'Recycling - Case 3'!AM205</f>
        <v>735.58191700822488</v>
      </c>
      <c r="AI115" s="853">
        <f>Parameters!S285</f>
        <v>0.71500000000000008</v>
      </c>
      <c r="AJ115" s="853">
        <f t="shared" si="70"/>
        <v>0.4</v>
      </c>
      <c r="AK115" s="854">
        <f t="shared" si="71"/>
        <v>105.18821413217617</v>
      </c>
      <c r="AL115" s="854">
        <f t="shared" si="72"/>
        <v>105.18821413217617</v>
      </c>
      <c r="AM115" s="855">
        <f t="shared" si="73"/>
        <v>0</v>
      </c>
      <c r="AN115" s="854">
        <f t="shared" si="74"/>
        <v>3371.0329174335166</v>
      </c>
      <c r="AO115" s="854">
        <f t="shared" si="75"/>
        <v>167.44343853209062</v>
      </c>
      <c r="AP115" s="856">
        <f t="shared" si="76"/>
        <v>111.62895902139375</v>
      </c>
      <c r="AQ115" s="4"/>
      <c r="AR115" s="850">
        <f>'Recycling - Case 3'!G125</f>
        <v>888.37662310341432</v>
      </c>
      <c r="AS115" s="846">
        <v>1</v>
      </c>
      <c r="AT115" s="846">
        <f t="shared" si="77"/>
        <v>0.05</v>
      </c>
      <c r="AU115" s="832">
        <f t="shared" si="78"/>
        <v>22.209415577585361</v>
      </c>
      <c r="AV115" s="832">
        <f t="shared" si="79"/>
        <v>22.209415577585361</v>
      </c>
      <c r="AW115" s="835">
        <f t="shared" si="80"/>
        <v>0</v>
      </c>
      <c r="AX115" s="832">
        <f t="shared" si="91"/>
        <v>304.94520675345461</v>
      </c>
      <c r="AY115" s="832">
        <f t="shared" si="49"/>
        <v>17.483404911085714</v>
      </c>
      <c r="AZ115" s="930">
        <f t="shared" si="47"/>
        <v>11.655603274057142</v>
      </c>
      <c r="BA115" s="4"/>
      <c r="BB115" s="1055">
        <f t="shared" si="81"/>
        <v>200.05401811184001</v>
      </c>
      <c r="BC115" s="1056">
        <f t="shared" si="82"/>
        <v>111.62895902139375</v>
      </c>
      <c r="BD115" s="1082">
        <f t="shared" si="90"/>
        <v>11.655603274057142</v>
      </c>
      <c r="BE115" s="1056">
        <f t="shared" si="54"/>
        <v>323.33858040729092</v>
      </c>
      <c r="BF115" s="167">
        <v>0</v>
      </c>
      <c r="BG115" s="1075">
        <f t="shared" si="83"/>
        <v>323.33858040729092</v>
      </c>
      <c r="BI115" s="1055">
        <f t="shared" si="84"/>
        <v>200.05401811184001</v>
      </c>
      <c r="BJ115" s="1056">
        <f t="shared" si="85"/>
        <v>111.62895902139375</v>
      </c>
      <c r="BK115" s="1082">
        <f t="shared" si="86"/>
        <v>11.655603274057142</v>
      </c>
      <c r="BL115" s="1056">
        <f t="shared" si="55"/>
        <v>323.33858040729092</v>
      </c>
      <c r="BM115" s="167">
        <v>0</v>
      </c>
      <c r="BN115" s="1075">
        <f t="shared" si="87"/>
        <v>323.33858040729092</v>
      </c>
    </row>
    <row r="116" spans="1:66">
      <c r="A116" s="927">
        <f>'Input data'!A146</f>
        <v>2046</v>
      </c>
      <c r="B116" s="824">
        <f>'Input data'!B146</f>
        <v>78.997842335977523</v>
      </c>
      <c r="C116" s="824">
        <f>'Recycling - Case 3'!AK126/B116</f>
        <v>259.97776585418012</v>
      </c>
      <c r="D116" s="825">
        <f>'Recycling - Case 3'!AM126</f>
        <v>0.10852277466645284</v>
      </c>
      <c r="E116" s="826">
        <f>'Recycling - Case 3'!BE126</f>
        <v>0.2242726695840748</v>
      </c>
      <c r="F116" s="826">
        <f>'Recycling - Case 3'!BF126</f>
        <v>0.28443841900128358</v>
      </c>
      <c r="G116" s="826">
        <f>'Recycling - Case 3'!BG126</f>
        <v>5.231483608539262E-2</v>
      </c>
      <c r="H116" s="826">
        <f>'Recycling - Case 3'!BH126</f>
        <v>0</v>
      </c>
      <c r="I116" s="826">
        <f>'Recycling - Case 3'!BI126</f>
        <v>0</v>
      </c>
      <c r="J116" s="826">
        <f>'Recycling - Case 3'!BJ126</f>
        <v>0</v>
      </c>
      <c r="K116" s="826">
        <f>'Recycling - Case 3'!BK126</f>
        <v>0.43897407532924887</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0.11145451867202499</v>
      </c>
      <c r="Q116" s="832">
        <f t="shared" si="57"/>
        <v>124.20526648878335</v>
      </c>
      <c r="R116" s="832">
        <f t="shared" si="58"/>
        <v>124.20526648878335</v>
      </c>
      <c r="S116" s="835">
        <f t="shared" si="59"/>
        <v>0</v>
      </c>
      <c r="T116" s="832">
        <f>R116+(T115*$C$8)</f>
        <v>5809.5966994358469</v>
      </c>
      <c r="U116" s="832">
        <f t="shared" si="61"/>
        <v>291.49625209405025</v>
      </c>
      <c r="V116" s="839">
        <f t="shared" si="62"/>
        <v>194.33083472936684</v>
      </c>
      <c r="W116" s="4"/>
      <c r="X116" s="852">
        <f>'Recycling - Case 3'!AM166</f>
        <v>747.36388634457148</v>
      </c>
      <c r="Y116" s="853">
        <f>Parameters!S286</f>
        <v>0.71500000000000008</v>
      </c>
      <c r="Z116" s="853">
        <f t="shared" si="63"/>
        <v>0.4</v>
      </c>
      <c r="AA116" s="854">
        <f t="shared" si="64"/>
        <v>106.87303574727375</v>
      </c>
      <c r="AB116" s="854">
        <f t="shared" si="65"/>
        <v>106.87303574727375</v>
      </c>
      <c r="AC116" s="855">
        <f t="shared" si="66"/>
        <v>0</v>
      </c>
      <c r="AD116" s="854">
        <f t="shared" si="67"/>
        <v>3313.4987377705206</v>
      </c>
      <c r="AE116" s="854">
        <f t="shared" si="68"/>
        <v>164.4072154102696</v>
      </c>
      <c r="AF116" s="856">
        <f t="shared" si="69"/>
        <v>109.60481027351307</v>
      </c>
      <c r="AG116" s="4"/>
      <c r="AH116" s="852">
        <f>'Recycling - Case 3'!AM206</f>
        <v>747.36388634457148</v>
      </c>
      <c r="AI116" s="853">
        <f>Parameters!S286</f>
        <v>0.71500000000000008</v>
      </c>
      <c r="AJ116" s="853">
        <f t="shared" si="70"/>
        <v>0.4</v>
      </c>
      <c r="AK116" s="854">
        <f t="shared" si="71"/>
        <v>106.87303574727375</v>
      </c>
      <c r="AL116" s="854">
        <f t="shared" si="72"/>
        <v>106.87303574727375</v>
      </c>
      <c r="AM116" s="855">
        <f t="shared" si="73"/>
        <v>0</v>
      </c>
      <c r="AN116" s="854">
        <f t="shared" si="74"/>
        <v>3313.4987377705206</v>
      </c>
      <c r="AO116" s="854">
        <f t="shared" si="75"/>
        <v>164.4072154102696</v>
      </c>
      <c r="AP116" s="856">
        <f t="shared" si="76"/>
        <v>109.60481027351307</v>
      </c>
      <c r="AQ116" s="4"/>
      <c r="AR116" s="850">
        <f>'Recycling - Case 3'!G126</f>
        <v>894.62081889834906</v>
      </c>
      <c r="AS116" s="846">
        <v>1</v>
      </c>
      <c r="AT116" s="846">
        <f t="shared" si="77"/>
        <v>0.05</v>
      </c>
      <c r="AU116" s="832">
        <f t="shared" si="78"/>
        <v>22.365520472458726</v>
      </c>
      <c r="AV116" s="832">
        <f t="shared" si="79"/>
        <v>22.365520472458726</v>
      </c>
      <c r="AW116" s="835">
        <f t="shared" si="80"/>
        <v>0</v>
      </c>
      <c r="AX116" s="832">
        <f t="shared" si="91"/>
        <v>309.5521008793782</v>
      </c>
      <c r="AY116" s="832">
        <f t="shared" si="49"/>
        <v>17.758626346535138</v>
      </c>
      <c r="AZ116" s="930">
        <f t="shared" si="47"/>
        <v>11.839084231023426</v>
      </c>
      <c r="BA116" s="4"/>
      <c r="BB116" s="1055">
        <f t="shared" si="81"/>
        <v>194.33083472936684</v>
      </c>
      <c r="BC116" s="1056">
        <f t="shared" si="82"/>
        <v>109.60481027351307</v>
      </c>
      <c r="BD116" s="1082">
        <f t="shared" si="90"/>
        <v>11.839084231023426</v>
      </c>
      <c r="BE116" s="1056">
        <f t="shared" si="54"/>
        <v>315.77472923390337</v>
      </c>
      <c r="BF116" s="167">
        <v>0</v>
      </c>
      <c r="BG116" s="1075">
        <f t="shared" si="83"/>
        <v>315.77472923390337</v>
      </c>
      <c r="BI116" s="1055">
        <f t="shared" si="84"/>
        <v>194.33083472936684</v>
      </c>
      <c r="BJ116" s="1056">
        <f t="shared" si="85"/>
        <v>109.60481027351307</v>
      </c>
      <c r="BK116" s="1082">
        <f t="shared" si="86"/>
        <v>11.839084231023426</v>
      </c>
      <c r="BL116" s="1056">
        <f t="shared" si="55"/>
        <v>315.77472923390337</v>
      </c>
      <c r="BM116" s="167">
        <v>0</v>
      </c>
      <c r="BN116" s="1075">
        <f t="shared" si="87"/>
        <v>315.77472923390337</v>
      </c>
    </row>
    <row r="117" spans="1:66">
      <c r="A117" s="927">
        <f>'Input data'!A147</f>
        <v>2047</v>
      </c>
      <c r="B117" s="824">
        <f>'Input data'!B147</f>
        <v>79.535560193629763</v>
      </c>
      <c r="C117" s="824">
        <f>'Recycling - Case 3'!AK127/B117</f>
        <v>259.14316783883055</v>
      </c>
      <c r="D117" s="825">
        <f>'Recycling - Case 3'!AM127</f>
        <v>0.10813622844782139</v>
      </c>
      <c r="E117" s="826">
        <f>'Recycling - Case 3'!BE127</f>
        <v>0.2246868015137212</v>
      </c>
      <c r="F117" s="826">
        <f>'Recycling - Case 3'!BF127</f>
        <v>0.28496365032592536</v>
      </c>
      <c r="G117" s="826">
        <f>'Recycling - Case 3'!BG127</f>
        <v>5.2214808110954462E-2</v>
      </c>
      <c r="H117" s="826">
        <f>'Recycling - Case 3'!BH127</f>
        <v>0</v>
      </c>
      <c r="I117" s="826">
        <f>'Recycling - Case 3'!BI127</f>
        <v>0</v>
      </c>
      <c r="J117" s="826">
        <f>'Recycling - Case 3'!BJ127</f>
        <v>0</v>
      </c>
      <c r="K117" s="826">
        <f>'Recycling - Case 3'!BK127</f>
        <v>0.43813474004939884</v>
      </c>
      <c r="L117" s="827">
        <f t="shared" si="89"/>
        <v>0.99999999999999978</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0.11158167353662504</v>
      </c>
      <c r="Q117" s="832">
        <f t="shared" si="57"/>
        <v>124.34696827020208</v>
      </c>
      <c r="R117" s="832">
        <f t="shared" si="58"/>
        <v>124.34696827020208</v>
      </c>
      <c r="S117" s="835">
        <f t="shared" si="59"/>
        <v>0</v>
      </c>
      <c r="T117" s="832">
        <f t="shared" ref="T117:T120" si="92">R117+(T116*$C$8)</f>
        <v>5650.6062932558107</v>
      </c>
      <c r="U117" s="832">
        <f t="shared" si="61"/>
        <v>283.33737445023866</v>
      </c>
      <c r="V117" s="839">
        <f t="shared" si="62"/>
        <v>188.89158296682578</v>
      </c>
      <c r="W117" s="4"/>
      <c r="X117" s="852">
        <f>'Recycling - Case 3'!AM167</f>
        <v>757.14770076629748</v>
      </c>
      <c r="Y117" s="853">
        <f>Parameters!S287</f>
        <v>0.71500000000000008</v>
      </c>
      <c r="Z117" s="853">
        <f t="shared" si="63"/>
        <v>0.4</v>
      </c>
      <c r="AA117" s="854">
        <f t="shared" si="64"/>
        <v>108.27212120958055</v>
      </c>
      <c r="AB117" s="854">
        <f t="shared" si="65"/>
        <v>108.27212120958055</v>
      </c>
      <c r="AC117" s="855">
        <f t="shared" si="66"/>
        <v>0</v>
      </c>
      <c r="AD117" s="854">
        <f t="shared" si="67"/>
        <v>3260.1696186228755</v>
      </c>
      <c r="AE117" s="854">
        <f t="shared" si="68"/>
        <v>161.60124035722598</v>
      </c>
      <c r="AF117" s="856">
        <f t="shared" si="69"/>
        <v>107.73416023815065</v>
      </c>
      <c r="AG117" s="4"/>
      <c r="AH117" s="852">
        <f>'Recycling - Case 3'!AM207</f>
        <v>757.14770076629748</v>
      </c>
      <c r="AI117" s="853">
        <f>Parameters!S287</f>
        <v>0.71500000000000008</v>
      </c>
      <c r="AJ117" s="853">
        <f t="shared" si="70"/>
        <v>0.4</v>
      </c>
      <c r="AK117" s="854">
        <f t="shared" si="71"/>
        <v>108.27212120958055</v>
      </c>
      <c r="AL117" s="854">
        <f t="shared" si="72"/>
        <v>108.27212120958055</v>
      </c>
      <c r="AM117" s="855">
        <f t="shared" si="73"/>
        <v>0</v>
      </c>
      <c r="AN117" s="854">
        <f t="shared" si="74"/>
        <v>3260.1696186228755</v>
      </c>
      <c r="AO117" s="854">
        <f t="shared" si="75"/>
        <v>161.60124035722598</v>
      </c>
      <c r="AP117" s="856">
        <f t="shared" si="76"/>
        <v>107.73416023815065</v>
      </c>
      <c r="AQ117" s="4"/>
      <c r="AR117" s="850">
        <f>'Recycling - Case 3'!G127</f>
        <v>900.71027116595894</v>
      </c>
      <c r="AS117" s="846">
        <v>1</v>
      </c>
      <c r="AT117" s="846">
        <f t="shared" si="77"/>
        <v>0.05</v>
      </c>
      <c r="AU117" s="832">
        <f t="shared" si="78"/>
        <v>22.517756779148975</v>
      </c>
      <c r="AV117" s="832">
        <f t="shared" si="79"/>
        <v>22.517756779148975</v>
      </c>
      <c r="AW117" s="835">
        <f t="shared" si="80"/>
        <v>0</v>
      </c>
      <c r="AX117" s="832">
        <f t="shared" si="91"/>
        <v>314.04294668384085</v>
      </c>
      <c r="AY117" s="832">
        <f t="shared" si="49"/>
        <v>18.026910974686281</v>
      </c>
      <c r="AZ117" s="930">
        <f t="shared" si="47"/>
        <v>12.017940649790853</v>
      </c>
      <c r="BA117" s="4"/>
      <c r="BB117" s="1055">
        <f t="shared" si="81"/>
        <v>188.89158296682578</v>
      </c>
      <c r="BC117" s="1056">
        <f t="shared" si="82"/>
        <v>107.73416023815065</v>
      </c>
      <c r="BD117" s="1082">
        <f t="shared" si="90"/>
        <v>12.017940649790853</v>
      </c>
      <c r="BE117" s="1056">
        <f t="shared" si="54"/>
        <v>308.64368385476723</v>
      </c>
      <c r="BF117" s="167">
        <v>0</v>
      </c>
      <c r="BG117" s="1075">
        <f t="shared" si="83"/>
        <v>308.64368385476723</v>
      </c>
      <c r="BI117" s="1055">
        <f t="shared" si="84"/>
        <v>188.89158296682578</v>
      </c>
      <c r="BJ117" s="1056">
        <f t="shared" si="85"/>
        <v>107.73416023815065</v>
      </c>
      <c r="BK117" s="1082">
        <f t="shared" si="86"/>
        <v>12.017940649790853</v>
      </c>
      <c r="BL117" s="1056">
        <f t="shared" si="55"/>
        <v>308.64368385476723</v>
      </c>
      <c r="BM117" s="167">
        <v>0</v>
      </c>
      <c r="BN117" s="1075">
        <f t="shared" si="87"/>
        <v>308.64368385476723</v>
      </c>
    </row>
    <row r="118" spans="1:66">
      <c r="A118" s="927">
        <f>'Input data'!A148</f>
        <v>2048</v>
      </c>
      <c r="B118" s="824">
        <f>'Input data'!B148</f>
        <v>80.059278886956378</v>
      </c>
      <c r="C118" s="824">
        <f>'Recycling - Case 3'!AK128/B118</f>
        <v>258.34140942272995</v>
      </c>
      <c r="D118" s="825">
        <f>'Recycling - Case 3'!AM128</f>
        <v>0.10776224424085615</v>
      </c>
      <c r="E118" s="826">
        <f>'Recycling - Case 3'!BE128</f>
        <v>0.22508331447756938</v>
      </c>
      <c r="F118" s="826">
        <f>'Recycling - Case 3'!BF128</f>
        <v>0.28546653603535938</v>
      </c>
      <c r="G118" s="826">
        <f>'Recycling - Case 3'!BG128</f>
        <v>5.2119035759747363E-2</v>
      </c>
      <c r="H118" s="826">
        <f>'Recycling - Case 3'!BH128</f>
        <v>0</v>
      </c>
      <c r="I118" s="826">
        <f>'Recycling - Case 3'!BI128</f>
        <v>0</v>
      </c>
      <c r="J118" s="826">
        <f>'Recycling - Case 3'!BJ128</f>
        <v>0</v>
      </c>
      <c r="K118" s="826">
        <f>'Recycling - Case 3'!BK128</f>
        <v>0.43733111372732392</v>
      </c>
      <c r="L118" s="827">
        <f t="shared" si="89"/>
        <v>1</v>
      </c>
      <c r="M118" s="4"/>
      <c r="N118" s="838">
        <f t="shared" si="56"/>
        <v>2228.8062963921579</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0.11170341868260622</v>
      </c>
      <c r="Q118" s="832">
        <f t="shared" si="57"/>
        <v>124.48264144416108</v>
      </c>
      <c r="R118" s="832">
        <f t="shared" si="58"/>
        <v>124.48264144416108</v>
      </c>
      <c r="S118" s="835">
        <f t="shared" si="59"/>
        <v>0</v>
      </c>
      <c r="T118" s="832">
        <f t="shared" si="92"/>
        <v>5499.5056138579994</v>
      </c>
      <c r="U118" s="832">
        <f t="shared" si="61"/>
        <v>275.58332084197303</v>
      </c>
      <c r="V118" s="839">
        <f t="shared" si="62"/>
        <v>183.72221389464869</v>
      </c>
      <c r="W118" s="4"/>
      <c r="X118" s="852">
        <f>'Recycling - Case 3'!AM168</f>
        <v>766.67942116345284</v>
      </c>
      <c r="Y118" s="853">
        <f>Parameters!S288</f>
        <v>0.71500000000000008</v>
      </c>
      <c r="Z118" s="853">
        <f t="shared" si="63"/>
        <v>0.4</v>
      </c>
      <c r="AA118" s="854">
        <f t="shared" si="64"/>
        <v>109.63515722637378</v>
      </c>
      <c r="AB118" s="854">
        <f t="shared" si="65"/>
        <v>109.63515722637378</v>
      </c>
      <c r="AC118" s="855">
        <f t="shared" si="66"/>
        <v>0</v>
      </c>
      <c r="AD118" s="854">
        <f t="shared" si="67"/>
        <v>3210.8044273237242</v>
      </c>
      <c r="AE118" s="854">
        <f t="shared" si="68"/>
        <v>159.00034852552534</v>
      </c>
      <c r="AF118" s="856">
        <f t="shared" si="69"/>
        <v>106.00023235035023</v>
      </c>
      <c r="AG118" s="4"/>
      <c r="AH118" s="852">
        <f>'Recycling - Case 3'!AM208</f>
        <v>766.67942116345284</v>
      </c>
      <c r="AI118" s="853">
        <f>Parameters!S288</f>
        <v>0.71500000000000008</v>
      </c>
      <c r="AJ118" s="853">
        <f t="shared" si="70"/>
        <v>0.4</v>
      </c>
      <c r="AK118" s="854">
        <f t="shared" si="71"/>
        <v>109.63515722637378</v>
      </c>
      <c r="AL118" s="854">
        <f t="shared" si="72"/>
        <v>109.63515722637378</v>
      </c>
      <c r="AM118" s="855">
        <f t="shared" si="73"/>
        <v>0</v>
      </c>
      <c r="AN118" s="854">
        <f t="shared" si="74"/>
        <v>3210.8044273237242</v>
      </c>
      <c r="AO118" s="854">
        <f t="shared" si="75"/>
        <v>159.00034852552534</v>
      </c>
      <c r="AP118" s="856">
        <f t="shared" si="76"/>
        <v>106.00023235035023</v>
      </c>
      <c r="AQ118" s="4"/>
      <c r="AR118" s="850">
        <f>'Recycling - Case 3'!G128</f>
        <v>906.64118816877499</v>
      </c>
      <c r="AS118" s="846">
        <v>1</v>
      </c>
      <c r="AT118" s="846">
        <f t="shared" si="77"/>
        <v>0.05</v>
      </c>
      <c r="AU118" s="832">
        <f t="shared" si="78"/>
        <v>22.666029704219376</v>
      </c>
      <c r="AV118" s="832">
        <f t="shared" si="79"/>
        <v>22.666029704219376</v>
      </c>
      <c r="AW118" s="835">
        <f t="shared" si="80"/>
        <v>0</v>
      </c>
      <c r="AX118" s="832">
        <f t="shared" si="91"/>
        <v>318.42053891334984</v>
      </c>
      <c r="AY118" s="832">
        <f t="shared" si="49"/>
        <v>18.288437474710385</v>
      </c>
      <c r="AZ118" s="930">
        <f t="shared" si="47"/>
        <v>12.192291649806924</v>
      </c>
      <c r="BA118" s="4"/>
      <c r="BB118" s="1055">
        <f t="shared" si="81"/>
        <v>183.72221389464869</v>
      </c>
      <c r="BC118" s="1056">
        <f t="shared" si="82"/>
        <v>106.00023235035023</v>
      </c>
      <c r="BD118" s="1082">
        <f t="shared" si="90"/>
        <v>12.192291649806924</v>
      </c>
      <c r="BE118" s="1056">
        <f t="shared" si="54"/>
        <v>301.91473789480585</v>
      </c>
      <c r="BF118" s="167">
        <v>0</v>
      </c>
      <c r="BG118" s="1075">
        <f t="shared" si="83"/>
        <v>301.91473789480585</v>
      </c>
      <c r="BI118" s="1055">
        <f t="shared" si="84"/>
        <v>183.72221389464869</v>
      </c>
      <c r="BJ118" s="1056">
        <f t="shared" si="85"/>
        <v>106.00023235035023</v>
      </c>
      <c r="BK118" s="1082">
        <f t="shared" si="86"/>
        <v>12.192291649806924</v>
      </c>
      <c r="BL118" s="1056">
        <f t="shared" si="55"/>
        <v>301.91473789480585</v>
      </c>
      <c r="BM118" s="167">
        <v>0</v>
      </c>
      <c r="BN118" s="1075">
        <f t="shared" si="87"/>
        <v>301.91473789480585</v>
      </c>
    </row>
    <row r="119" spans="1:66">
      <c r="A119" s="927">
        <f>'Input data'!A149</f>
        <v>2049</v>
      </c>
      <c r="B119" s="824">
        <f>'Input data'!B149</f>
        <v>80.568670564877792</v>
      </c>
      <c r="C119" s="824">
        <f>'Recycling - Case 3'!AK129/B119</f>
        <v>257.57189021553381</v>
      </c>
      <c r="D119" s="825">
        <f>'Recycling - Case 3'!AM129</f>
        <v>0.10740083635093937</v>
      </c>
      <c r="E119" s="826">
        <f>'Recycling - Case 3'!BE129</f>
        <v>0.22546266860209851</v>
      </c>
      <c r="F119" s="826">
        <f>'Recycling - Case 3'!BF129</f>
        <v>0.28594765969444286</v>
      </c>
      <c r="G119" s="826">
        <f>'Recycling - Case 3'!BG129</f>
        <v>5.2027407894434448E-2</v>
      </c>
      <c r="H119" s="826">
        <f>'Recycling - Case 3'!BH129</f>
        <v>0</v>
      </c>
      <c r="I119" s="826">
        <f>'Recycling - Case 3'!BI129</f>
        <v>0</v>
      </c>
      <c r="J119" s="826">
        <f>'Recycling - Case 3'!BJ129</f>
        <v>0</v>
      </c>
      <c r="K119" s="826">
        <f>'Recycling - Case 3'!BK129</f>
        <v>0.43656226380902413</v>
      </c>
      <c r="L119" s="827">
        <f t="shared" si="89"/>
        <v>1</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0.11181989538697713</v>
      </c>
      <c r="Q119" s="832">
        <f t="shared" si="57"/>
        <v>124.61244345020356</v>
      </c>
      <c r="R119" s="832">
        <f t="shared" si="58"/>
        <v>124.61244345020356</v>
      </c>
      <c r="S119" s="835">
        <f t="shared" si="59"/>
        <v>0</v>
      </c>
      <c r="T119" s="832">
        <f t="shared" si="92"/>
        <v>5355.9040035587941</v>
      </c>
      <c r="U119" s="832">
        <f t="shared" si="61"/>
        <v>268.21405374940866</v>
      </c>
      <c r="V119" s="839">
        <f t="shared" si="62"/>
        <v>178.80936916627243</v>
      </c>
      <c r="W119" s="4"/>
      <c r="X119" s="852">
        <f>'Recycling - Case 3'!AM169</f>
        <v>776.16049769746053</v>
      </c>
      <c r="Y119" s="853">
        <f>Parameters!S289</f>
        <v>0.71500000000000008</v>
      </c>
      <c r="Z119" s="853">
        <f t="shared" si="63"/>
        <v>0.4</v>
      </c>
      <c r="AA119" s="854">
        <f t="shared" si="64"/>
        <v>110.99095117073688</v>
      </c>
      <c r="AB119" s="854">
        <f t="shared" si="65"/>
        <v>110.99095117073688</v>
      </c>
      <c r="AC119" s="855">
        <f t="shared" si="66"/>
        <v>0</v>
      </c>
      <c r="AD119" s="854">
        <f t="shared" si="67"/>
        <v>3165.2025987582279</v>
      </c>
      <c r="AE119" s="854">
        <f t="shared" si="68"/>
        <v>156.59277973623338</v>
      </c>
      <c r="AF119" s="856">
        <f t="shared" si="69"/>
        <v>104.39518649082225</v>
      </c>
      <c r="AG119" s="4"/>
      <c r="AH119" s="852">
        <f>'Recycling - Case 3'!AM209</f>
        <v>776.16049769746053</v>
      </c>
      <c r="AI119" s="853">
        <f>Parameters!S289</f>
        <v>0.71500000000000008</v>
      </c>
      <c r="AJ119" s="853">
        <f t="shared" si="70"/>
        <v>0.4</v>
      </c>
      <c r="AK119" s="854">
        <f t="shared" si="71"/>
        <v>110.99095117073688</v>
      </c>
      <c r="AL119" s="854">
        <f t="shared" si="72"/>
        <v>110.99095117073688</v>
      </c>
      <c r="AM119" s="855">
        <f t="shared" si="73"/>
        <v>0</v>
      </c>
      <c r="AN119" s="854">
        <f t="shared" si="74"/>
        <v>3165.2025987582279</v>
      </c>
      <c r="AO119" s="854">
        <f t="shared" si="75"/>
        <v>156.59277973623338</v>
      </c>
      <c r="AP119" s="856">
        <f t="shared" si="76"/>
        <v>104.39518649082225</v>
      </c>
      <c r="AQ119" s="4"/>
      <c r="AR119" s="850">
        <f>'Recycling - Case 3'!G129</f>
        <v>912.40985711676876</v>
      </c>
      <c r="AS119" s="846">
        <v>1</v>
      </c>
      <c r="AT119" s="846">
        <f t="shared" si="77"/>
        <v>0.05</v>
      </c>
      <c r="AU119" s="832">
        <f t="shared" si="78"/>
        <v>22.810246427919221</v>
      </c>
      <c r="AV119" s="832">
        <f t="shared" si="79"/>
        <v>22.810246427919221</v>
      </c>
      <c r="AW119" s="835">
        <f t="shared" si="80"/>
        <v>0</v>
      </c>
      <c r="AX119" s="832">
        <f t="shared" si="91"/>
        <v>322.68741674129524</v>
      </c>
      <c r="AY119" s="832">
        <f t="shared" si="49"/>
        <v>18.54336859997381</v>
      </c>
      <c r="AZ119" s="930">
        <f t="shared" si="47"/>
        <v>12.362245733315874</v>
      </c>
      <c r="BA119" s="4"/>
      <c r="BB119" s="1055">
        <f t="shared" si="81"/>
        <v>178.80936916627243</v>
      </c>
      <c r="BC119" s="1056">
        <f t="shared" si="82"/>
        <v>104.39518649082225</v>
      </c>
      <c r="BD119" s="1082">
        <f t="shared" si="90"/>
        <v>12.362245733315874</v>
      </c>
      <c r="BE119" s="1056">
        <f t="shared" si="54"/>
        <v>295.5668013904106</v>
      </c>
      <c r="BF119" s="167">
        <v>0</v>
      </c>
      <c r="BG119" s="1075">
        <f t="shared" si="83"/>
        <v>295.5668013904106</v>
      </c>
      <c r="BI119" s="1055">
        <f t="shared" si="84"/>
        <v>178.80936916627243</v>
      </c>
      <c r="BJ119" s="1056">
        <f t="shared" si="85"/>
        <v>104.39518649082225</v>
      </c>
      <c r="BK119" s="1082">
        <f t="shared" si="86"/>
        <v>12.362245733315874</v>
      </c>
      <c r="BL119" s="1056">
        <f t="shared" si="55"/>
        <v>295.5668013904106</v>
      </c>
      <c r="BM119" s="167">
        <v>0</v>
      </c>
      <c r="BN119" s="1075">
        <f t="shared" si="87"/>
        <v>295.5668013904106</v>
      </c>
    </row>
    <row r="120" spans="1:66" ht="15.75" thickBot="1">
      <c r="A120" s="928">
        <f>'Input data'!A150</f>
        <v>2050</v>
      </c>
      <c r="B120" s="828">
        <f>'Input data'!B150</f>
        <v>81.063414687793369</v>
      </c>
      <c r="C120" s="828">
        <f>'Recycling - Case 3'!AK130/B120</f>
        <v>256.83403722178292</v>
      </c>
      <c r="D120" s="829">
        <f>'Recycling - Case 3'!AM130</f>
        <v>0.10705201678778492</v>
      </c>
      <c r="E120" s="830">
        <f>'Recycling - Case 3'!BE130</f>
        <v>0.22582529920452141</v>
      </c>
      <c r="F120" s="830">
        <f>'Recycling - Case 3'!BF130</f>
        <v>0.28640757340317036</v>
      </c>
      <c r="G120" s="830">
        <f>'Recycling - Case 3'!BG130</f>
        <v>5.1939819370022379E-2</v>
      </c>
      <c r="H120" s="830">
        <f>'Recycling - Case 3'!BH130</f>
        <v>0</v>
      </c>
      <c r="I120" s="830">
        <f>'Recycling - Case 3'!BI130</f>
        <v>0</v>
      </c>
      <c r="J120" s="830">
        <f>'Recycling - Case 3'!BJ130</f>
        <v>0</v>
      </c>
      <c r="K120" s="830">
        <f>'Recycling - Case 3'!BK130</f>
        <v>0.43582730802228548</v>
      </c>
      <c r="L120" s="831">
        <f t="shared" si="89"/>
        <v>0.99999999999999956</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0.11193123730932125</v>
      </c>
      <c r="Q120" s="843">
        <f t="shared" si="57"/>
        <v>124.73652323899005</v>
      </c>
      <c r="R120" s="843">
        <f t="shared" si="58"/>
        <v>124.73652323899005</v>
      </c>
      <c r="S120" s="844">
        <f t="shared" si="59"/>
        <v>0</v>
      </c>
      <c r="T120" s="843">
        <f t="shared" si="92"/>
        <v>5219.4300062252923</v>
      </c>
      <c r="U120" s="843">
        <f t="shared" si="61"/>
        <v>261.21052057249221</v>
      </c>
      <c r="V120" s="845">
        <f t="shared" si="62"/>
        <v>174.14034704832815</v>
      </c>
      <c r="W120" s="4"/>
      <c r="X120" s="857">
        <f>'Recycling - Case 3'!AM170</f>
        <v>785.54561967732195</v>
      </c>
      <c r="Y120" s="858">
        <f>Parameters!S290</f>
        <v>0.71500000000000008</v>
      </c>
      <c r="Z120" s="858">
        <f t="shared" si="63"/>
        <v>0.4</v>
      </c>
      <c r="AA120" s="859">
        <f>X120*Z120*Y120*$D$4</f>
        <v>112.33302361385705</v>
      </c>
      <c r="AB120" s="859">
        <f t="shared" si="65"/>
        <v>112.33302361385705</v>
      </c>
      <c r="AC120" s="860">
        <f t="shared" si="66"/>
        <v>0</v>
      </c>
      <c r="AD120" s="859">
        <f t="shared" si="67"/>
        <v>3123.1668700588107</v>
      </c>
      <c r="AE120" s="859">
        <f t="shared" si="68"/>
        <v>154.36875231327434</v>
      </c>
      <c r="AF120" s="861">
        <f t="shared" si="69"/>
        <v>102.91250154218289</v>
      </c>
      <c r="AG120" s="4"/>
      <c r="AH120" s="857">
        <f>'Recycling - Case 3'!AM210</f>
        <v>785.54561967732195</v>
      </c>
      <c r="AI120" s="858">
        <f>Parameters!S290</f>
        <v>0.71500000000000008</v>
      </c>
      <c r="AJ120" s="858">
        <f t="shared" si="70"/>
        <v>0.4</v>
      </c>
      <c r="AK120" s="859">
        <f t="shared" si="71"/>
        <v>112.33302361385705</v>
      </c>
      <c r="AL120" s="859">
        <f t="shared" si="72"/>
        <v>112.33302361385705</v>
      </c>
      <c r="AM120" s="860">
        <f t="shared" si="73"/>
        <v>0</v>
      </c>
      <c r="AN120" s="859">
        <f t="shared" si="74"/>
        <v>3123.1668700588107</v>
      </c>
      <c r="AO120" s="859">
        <f t="shared" si="75"/>
        <v>154.36875231327434</v>
      </c>
      <c r="AP120" s="861">
        <f t="shared" si="76"/>
        <v>102.91250154218289</v>
      </c>
      <c r="AQ120" s="4"/>
      <c r="AR120" s="851">
        <f>'Recycling - Case 3'!G130</f>
        <v>918.01264801965772</v>
      </c>
      <c r="AS120" s="848">
        <f>Parameters!R221</f>
        <v>1</v>
      </c>
      <c r="AT120" s="848">
        <f t="shared" si="77"/>
        <v>0.05</v>
      </c>
      <c r="AU120" s="843">
        <f t="shared" si="78"/>
        <v>22.950316200491443</v>
      </c>
      <c r="AV120" s="843">
        <f t="shared" si="79"/>
        <v>22.950316200491443</v>
      </c>
      <c r="AW120" s="844">
        <f t="shared" si="80"/>
        <v>0</v>
      </c>
      <c r="AX120" s="843">
        <f t="shared" si="91"/>
        <v>326.84588072136347</v>
      </c>
      <c r="AY120" s="843">
        <f t="shared" si="49"/>
        <v>18.791852220423237</v>
      </c>
      <c r="AZ120" s="931">
        <f t="shared" si="47"/>
        <v>12.527901480282159</v>
      </c>
      <c r="BA120" s="4"/>
      <c r="BB120" s="1057">
        <f t="shared" si="81"/>
        <v>174.14034704832815</v>
      </c>
      <c r="BC120" s="1058">
        <f t="shared" si="82"/>
        <v>102.91250154218289</v>
      </c>
      <c r="BD120" s="1083">
        <f t="shared" si="90"/>
        <v>12.527901480282159</v>
      </c>
      <c r="BE120" s="1058">
        <f t="shared" si="54"/>
        <v>289.58075007079321</v>
      </c>
      <c r="BF120" s="1059">
        <v>0</v>
      </c>
      <c r="BG120" s="1076">
        <f t="shared" si="83"/>
        <v>289.58075007079321</v>
      </c>
      <c r="BI120" s="1057">
        <f t="shared" si="84"/>
        <v>174.14034704832815</v>
      </c>
      <c r="BJ120" s="1058">
        <f t="shared" si="85"/>
        <v>102.91250154218289</v>
      </c>
      <c r="BK120" s="1083">
        <f t="shared" si="86"/>
        <v>12.527901480282159</v>
      </c>
      <c r="BL120" s="1058">
        <f t="shared" si="55"/>
        <v>289.58075007079321</v>
      </c>
      <c r="BM120" s="1059">
        <v>0</v>
      </c>
      <c r="BN120" s="1076">
        <f t="shared" si="87"/>
        <v>289.58075007079321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88" t="s">
        <v>729</v>
      </c>
      <c r="B1" s="1189"/>
      <c r="C1" s="115"/>
      <c r="D1" s="115"/>
      <c r="E1" s="115"/>
      <c r="F1" s="116"/>
    </row>
    <row r="2" spans="1:23">
      <c r="A2" s="127"/>
      <c r="F2" s="130"/>
    </row>
    <row r="3" spans="1:23" ht="30">
      <c r="A3" s="157" t="s">
        <v>175</v>
      </c>
      <c r="C3" s="1190" t="s">
        <v>177</v>
      </c>
      <c r="D3" s="1190" t="s">
        <v>178</v>
      </c>
      <c r="E3" s="1191"/>
      <c r="F3" s="1108" t="s">
        <v>185</v>
      </c>
    </row>
    <row r="4" spans="1:23">
      <c r="A4" s="127" t="s">
        <v>176</v>
      </c>
      <c r="B4" t="s">
        <v>179</v>
      </c>
      <c r="C4">
        <v>10</v>
      </c>
      <c r="D4">
        <v>4</v>
      </c>
      <c r="F4" s="1995" t="s">
        <v>184</v>
      </c>
    </row>
    <row r="5" spans="1:23">
      <c r="A5" s="127" t="s">
        <v>180</v>
      </c>
      <c r="B5" t="s">
        <v>179</v>
      </c>
      <c r="C5">
        <v>2</v>
      </c>
      <c r="D5">
        <v>0.8</v>
      </c>
      <c r="F5" s="1995"/>
    </row>
    <row r="6" spans="1:23">
      <c r="A6" s="157" t="s">
        <v>181</v>
      </c>
      <c r="F6" s="1995"/>
    </row>
    <row r="7" spans="1:23">
      <c r="A7" s="127" t="s">
        <v>176</v>
      </c>
      <c r="B7" t="s">
        <v>183</v>
      </c>
      <c r="C7">
        <v>0.6</v>
      </c>
      <c r="D7">
        <v>0.24</v>
      </c>
      <c r="F7" s="1995"/>
    </row>
    <row r="8" spans="1:23" ht="15.75" thickBot="1">
      <c r="A8" s="172" t="s">
        <v>180</v>
      </c>
      <c r="B8" s="163" t="s">
        <v>183</v>
      </c>
      <c r="C8" s="1107" t="s">
        <v>182</v>
      </c>
      <c r="D8" s="1107" t="s">
        <v>182</v>
      </c>
      <c r="E8" s="163"/>
      <c r="F8" s="1996"/>
    </row>
    <row r="9" spans="1:23" ht="15.75" thickBot="1">
      <c r="C9" s="395"/>
      <c r="D9" s="395"/>
      <c r="F9" s="1191"/>
    </row>
    <row r="10" spans="1:23" ht="15.75" thickBot="1">
      <c r="B10" s="1980" t="s">
        <v>510</v>
      </c>
      <c r="C10" s="1981"/>
      <c r="D10" s="1981"/>
      <c r="E10" s="1981"/>
      <c r="F10" s="1981"/>
      <c r="G10" s="1981"/>
      <c r="H10" s="1981"/>
      <c r="I10" s="1981"/>
      <c r="J10" s="1982"/>
      <c r="K10" s="1977" t="s">
        <v>509</v>
      </c>
      <c r="L10" s="1978"/>
      <c r="M10" s="1978"/>
      <c r="N10" s="1978"/>
      <c r="O10" s="1978"/>
      <c r="P10" s="1978"/>
      <c r="Q10" s="1978"/>
      <c r="R10" s="1978"/>
      <c r="S10" s="1979"/>
      <c r="T10" s="1983" t="s">
        <v>511</v>
      </c>
      <c r="U10" s="1984"/>
      <c r="V10" s="1984"/>
      <c r="W10" s="1985"/>
    </row>
    <row r="11" spans="1:23" ht="28.9" customHeight="1">
      <c r="A11" s="1993" t="s">
        <v>217</v>
      </c>
      <c r="B11" s="774" t="s">
        <v>619</v>
      </c>
      <c r="C11" s="1991" t="s">
        <v>495</v>
      </c>
      <c r="D11" s="1992"/>
      <c r="E11" s="1991" t="s">
        <v>289</v>
      </c>
      <c r="F11" s="1992"/>
      <c r="G11" s="1991" t="s">
        <v>290</v>
      </c>
      <c r="H11" s="1999"/>
      <c r="I11" s="1997" t="s">
        <v>287</v>
      </c>
      <c r="J11" s="1998"/>
      <c r="K11" s="474" t="s">
        <v>507</v>
      </c>
      <c r="L11" s="1986" t="s">
        <v>495</v>
      </c>
      <c r="M11" s="1987"/>
      <c r="N11" s="1986" t="s">
        <v>289</v>
      </c>
      <c r="O11" s="1987"/>
      <c r="P11" s="1986" t="s">
        <v>290</v>
      </c>
      <c r="Q11" s="1988"/>
      <c r="R11" s="1989" t="s">
        <v>287</v>
      </c>
      <c r="S11" s="1990"/>
      <c r="T11" s="1975" t="s">
        <v>508</v>
      </c>
      <c r="U11" s="1976"/>
      <c r="V11" s="1975" t="s">
        <v>776</v>
      </c>
      <c r="W11" s="1976"/>
    </row>
    <row r="12" spans="1:23" ht="29.45" customHeight="1" thickBot="1">
      <c r="A12" s="1994"/>
      <c r="B12" s="473" t="s">
        <v>228</v>
      </c>
      <c r="C12" s="1621" t="s">
        <v>234</v>
      </c>
      <c r="D12" s="1622" t="s">
        <v>176</v>
      </c>
      <c r="E12" s="1621" t="s">
        <v>234</v>
      </c>
      <c r="F12" s="1622" t="s">
        <v>176</v>
      </c>
      <c r="G12" s="1621" t="s">
        <v>234</v>
      </c>
      <c r="H12" s="1623" t="s">
        <v>176</v>
      </c>
      <c r="I12" s="1624" t="s">
        <v>234</v>
      </c>
      <c r="J12" s="1625" t="s">
        <v>176</v>
      </c>
      <c r="K12" s="475" t="s">
        <v>228</v>
      </c>
      <c r="L12" s="475" t="s">
        <v>234</v>
      </c>
      <c r="M12" s="1615" t="s">
        <v>176</v>
      </c>
      <c r="N12" s="475" t="s">
        <v>234</v>
      </c>
      <c r="O12" s="1615" t="s">
        <v>176</v>
      </c>
      <c r="P12" s="475" t="s">
        <v>234</v>
      </c>
      <c r="Q12" s="1616" t="s">
        <v>176</v>
      </c>
      <c r="R12" s="1617" t="s">
        <v>234</v>
      </c>
      <c r="S12" s="1618" t="s">
        <v>176</v>
      </c>
      <c r="T12" s="1619" t="s">
        <v>234</v>
      </c>
      <c r="U12" s="1620" t="s">
        <v>176</v>
      </c>
      <c r="V12" s="1619" t="s">
        <v>234</v>
      </c>
      <c r="W12" s="1620" t="s">
        <v>176</v>
      </c>
    </row>
    <row r="13" spans="1:23" ht="14.45" hidden="1" customHeight="1">
      <c r="A13" s="123">
        <f>'Input data'!A50</f>
        <v>1950</v>
      </c>
      <c r="B13" s="1192"/>
      <c r="C13">
        <v>0</v>
      </c>
      <c r="D13">
        <v>0</v>
      </c>
      <c r="E13">
        <v>0</v>
      </c>
      <c r="F13">
        <v>0</v>
      </c>
      <c r="G13" s="178">
        <f>C13*$D$5*'Input data'!K50/1000-E13</f>
        <v>0</v>
      </c>
      <c r="H13" s="178">
        <f>D13*$D$4*'Input data'!K50/1000-F13</f>
        <v>0</v>
      </c>
      <c r="I13" s="178">
        <v>0</v>
      </c>
      <c r="J13" s="178">
        <f>D13*$D$7*'Input data'!K50/1000</f>
        <v>0</v>
      </c>
      <c r="K13" s="1192"/>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2"/>
      <c r="C14" t="e">
        <f>'Input data'!#REF!</f>
        <v>#REF!</v>
      </c>
      <c r="D14" t="e">
        <f>'Input data'!#REF!</f>
        <v>#REF!</v>
      </c>
      <c r="E14">
        <v>0</v>
      </c>
      <c r="F14">
        <v>0</v>
      </c>
      <c r="G14" s="178" t="e">
        <f>C14*$D$5*'Input data'!K51/1000-E14</f>
        <v>#REF!</v>
      </c>
      <c r="H14" s="178" t="e">
        <f>D14*$D$4*'Input data'!K51/1000-F14</f>
        <v>#REF!</v>
      </c>
      <c r="J14" s="178" t="e">
        <f>D14*$D$7*'Input data'!K51/1000</f>
        <v>#REF!</v>
      </c>
      <c r="K14" s="1192"/>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2"/>
      <c r="C15" t="e">
        <f>'Input data'!#REF!</f>
        <v>#REF!</v>
      </c>
      <c r="D15" t="e">
        <f>'Input data'!#REF!</f>
        <v>#REF!</v>
      </c>
      <c r="E15">
        <v>0</v>
      </c>
      <c r="F15">
        <v>0</v>
      </c>
      <c r="G15" s="178" t="e">
        <f>C15*$D$5*'Input data'!K52/1000-E15</f>
        <v>#REF!</v>
      </c>
      <c r="H15" s="178" t="e">
        <f>D15*$D$4*'Input data'!K52/1000-F15</f>
        <v>#REF!</v>
      </c>
      <c r="J15" s="178" t="e">
        <f>D15*$D$7*'Input data'!K52/1000</f>
        <v>#REF!</v>
      </c>
      <c r="K15" s="1192"/>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2"/>
      <c r="C16" t="e">
        <f>'Input data'!#REF!</f>
        <v>#REF!</v>
      </c>
      <c r="D16" t="e">
        <f>'Input data'!#REF!</f>
        <v>#REF!</v>
      </c>
      <c r="E16">
        <v>0</v>
      </c>
      <c r="F16">
        <v>0</v>
      </c>
      <c r="G16" s="178" t="e">
        <f>C16*$D$5*'Input data'!K53/1000-E16</f>
        <v>#REF!</v>
      </c>
      <c r="H16" s="178" t="e">
        <f>D16*$D$4*'Input data'!K53/1000-F16</f>
        <v>#REF!</v>
      </c>
      <c r="J16" s="178" t="e">
        <f>D16*$D$7*'Input data'!K53/1000</f>
        <v>#REF!</v>
      </c>
      <c r="K16" s="1192"/>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2"/>
      <c r="C17" t="e">
        <f>'Input data'!#REF!</f>
        <v>#REF!</v>
      </c>
      <c r="D17" t="e">
        <f>'Input data'!#REF!</f>
        <v>#REF!</v>
      </c>
      <c r="E17">
        <v>0</v>
      </c>
      <c r="F17">
        <v>0</v>
      </c>
      <c r="G17" s="178" t="e">
        <f>C17*$D$5*'Input data'!K54/1000-E17</f>
        <v>#REF!</v>
      </c>
      <c r="H17" s="178" t="e">
        <f>D17*$D$4*'Input data'!K54/1000-F17</f>
        <v>#REF!</v>
      </c>
      <c r="J17" s="178" t="e">
        <f>D17*$D$7*'Input data'!K54/1000</f>
        <v>#REF!</v>
      </c>
      <c r="K17" s="1192"/>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2"/>
      <c r="C18" t="e">
        <f>'Input data'!#REF!</f>
        <v>#REF!</v>
      </c>
      <c r="D18" t="e">
        <f>'Input data'!#REF!</f>
        <v>#REF!</v>
      </c>
      <c r="E18">
        <v>0</v>
      </c>
      <c r="F18">
        <v>0</v>
      </c>
      <c r="G18" s="178" t="e">
        <f>C18*$D$5*'Input data'!K55/1000-E18</f>
        <v>#REF!</v>
      </c>
      <c r="H18" s="178" t="e">
        <f>D18*$D$4*'Input data'!K55/1000-F18</f>
        <v>#REF!</v>
      </c>
      <c r="J18" s="178" t="e">
        <f>D18*$D$7*'Input data'!K55/1000</f>
        <v>#REF!</v>
      </c>
      <c r="K18" s="1192"/>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2"/>
      <c r="C19" t="e">
        <f>'Input data'!#REF!</f>
        <v>#REF!</v>
      </c>
      <c r="D19" t="e">
        <f>'Input data'!#REF!</f>
        <v>#REF!</v>
      </c>
      <c r="E19">
        <v>0</v>
      </c>
      <c r="F19">
        <v>0</v>
      </c>
      <c r="G19" s="178" t="e">
        <f>C19*$D$5*'Input data'!K56/1000-E19</f>
        <v>#REF!</v>
      </c>
      <c r="H19" s="178" t="e">
        <f>D19*$D$4*'Input data'!K56/1000-F19</f>
        <v>#REF!</v>
      </c>
      <c r="J19" s="178" t="e">
        <f>D19*$D$7*'Input data'!K56/1000</f>
        <v>#REF!</v>
      </c>
      <c r="K19" s="1192"/>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2"/>
      <c r="C20" t="e">
        <f>'Input data'!#REF!</f>
        <v>#REF!</v>
      </c>
      <c r="D20" t="e">
        <f>'Input data'!#REF!</f>
        <v>#REF!</v>
      </c>
      <c r="E20">
        <v>0</v>
      </c>
      <c r="F20">
        <v>0</v>
      </c>
      <c r="G20" s="178" t="e">
        <f>C20*$D$5*'Input data'!K57/1000-E20</f>
        <v>#REF!</v>
      </c>
      <c r="H20" s="178" t="e">
        <f>D20*$D$4*'Input data'!K57/1000-F20</f>
        <v>#REF!</v>
      </c>
      <c r="J20" s="178" t="e">
        <f>D20*$D$7*'Input data'!K57/1000</f>
        <v>#REF!</v>
      </c>
      <c r="K20" s="1192"/>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2"/>
      <c r="C21" t="e">
        <f>'Input data'!#REF!</f>
        <v>#REF!</v>
      </c>
      <c r="D21" t="e">
        <f>'Input data'!#REF!</f>
        <v>#REF!</v>
      </c>
      <c r="E21">
        <v>0</v>
      </c>
      <c r="F21">
        <v>0</v>
      </c>
      <c r="G21" s="178" t="e">
        <f>C21*$D$5*'Input data'!K58/1000-E21</f>
        <v>#REF!</v>
      </c>
      <c r="H21" s="178" t="e">
        <f>D21*$D$4*'Input data'!K58/1000-F21</f>
        <v>#REF!</v>
      </c>
      <c r="J21" s="178" t="e">
        <f>D21*$D$7*'Input data'!K58/1000</f>
        <v>#REF!</v>
      </c>
      <c r="K21" s="1192"/>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2"/>
      <c r="C22" t="e">
        <f>'Input data'!#REF!</f>
        <v>#REF!</v>
      </c>
      <c r="D22" t="e">
        <f>'Input data'!#REF!</f>
        <v>#REF!</v>
      </c>
      <c r="E22">
        <v>0</v>
      </c>
      <c r="F22">
        <v>0</v>
      </c>
      <c r="G22" s="178" t="e">
        <f>C22*$D$5*'Input data'!K59/1000-E22</f>
        <v>#REF!</v>
      </c>
      <c r="H22" s="178" t="e">
        <f>D22*$D$4*'Input data'!K59/1000-F22</f>
        <v>#REF!</v>
      </c>
      <c r="J22" s="178" t="e">
        <f>D22*$D$7*'Input data'!K59/1000</f>
        <v>#REF!</v>
      </c>
      <c r="K22" s="1192"/>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2"/>
      <c r="C23" t="e">
        <f>'Input data'!#REF!</f>
        <v>#REF!</v>
      </c>
      <c r="D23" t="e">
        <f>'Input data'!#REF!</f>
        <v>#REF!</v>
      </c>
      <c r="E23">
        <v>0</v>
      </c>
      <c r="F23">
        <v>0</v>
      </c>
      <c r="G23" s="178" t="e">
        <f>C23*$D$5*'Input data'!K60/1000-E23</f>
        <v>#REF!</v>
      </c>
      <c r="H23" s="178" t="e">
        <f>D23*$D$4*'Input data'!K60/1000-F23</f>
        <v>#REF!</v>
      </c>
      <c r="J23" s="178" t="e">
        <f>D23*$D$7*'Input data'!K60/1000</f>
        <v>#REF!</v>
      </c>
      <c r="K23" s="1192"/>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2"/>
      <c r="C24" t="e">
        <f>'Input data'!#REF!</f>
        <v>#REF!</v>
      </c>
      <c r="D24" t="e">
        <f>'Input data'!#REF!</f>
        <v>#REF!</v>
      </c>
      <c r="E24">
        <v>0</v>
      </c>
      <c r="F24">
        <v>0</v>
      </c>
      <c r="G24" s="178" t="e">
        <f>C24*$D$5*'Input data'!K61/1000-E24</f>
        <v>#REF!</v>
      </c>
      <c r="H24" s="178" t="e">
        <f>D24*$D$4*'Input data'!K61/1000-F24</f>
        <v>#REF!</v>
      </c>
      <c r="J24" s="178" t="e">
        <f>D24*$D$7*'Input data'!K61/1000</f>
        <v>#REF!</v>
      </c>
      <c r="K24" s="1192"/>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2"/>
      <c r="C25" t="e">
        <f>'Input data'!#REF!</f>
        <v>#REF!</v>
      </c>
      <c r="D25" t="e">
        <f>'Input data'!#REF!</f>
        <v>#REF!</v>
      </c>
      <c r="E25">
        <v>0</v>
      </c>
      <c r="F25">
        <v>0</v>
      </c>
      <c r="G25" s="178" t="e">
        <f>C25*$D$5*'Input data'!K62/1000-E25</f>
        <v>#REF!</v>
      </c>
      <c r="H25" s="178" t="e">
        <f>D25*$D$4*'Input data'!K62/1000-F25</f>
        <v>#REF!</v>
      </c>
      <c r="J25" s="178" t="e">
        <f>D25*$D$7*'Input data'!K62/1000</f>
        <v>#REF!</v>
      </c>
      <c r="K25" s="1192"/>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2"/>
      <c r="C26" t="e">
        <f>'Input data'!#REF!</f>
        <v>#REF!</v>
      </c>
      <c r="D26" t="e">
        <f>'Input data'!#REF!</f>
        <v>#REF!</v>
      </c>
      <c r="E26">
        <v>0</v>
      </c>
      <c r="F26">
        <v>0</v>
      </c>
      <c r="G26" s="178" t="e">
        <f>C26*$D$5*'Input data'!K63/1000-E26</f>
        <v>#REF!</v>
      </c>
      <c r="H26" s="178" t="e">
        <f>D26*$D$4*'Input data'!K63/1000-F26</f>
        <v>#REF!</v>
      </c>
      <c r="J26" s="178" t="e">
        <f>D26*$D$7*'Input data'!K63/1000</f>
        <v>#REF!</v>
      </c>
      <c r="K26" s="1192"/>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2"/>
      <c r="C27" t="e">
        <f>'Input data'!#REF!</f>
        <v>#REF!</v>
      </c>
      <c r="D27" t="e">
        <f>'Input data'!#REF!</f>
        <v>#REF!</v>
      </c>
      <c r="E27">
        <v>0</v>
      </c>
      <c r="F27">
        <v>0</v>
      </c>
      <c r="G27" s="178" t="e">
        <f>C27*$D$5*'Input data'!K64/1000-E27</f>
        <v>#REF!</v>
      </c>
      <c r="H27" s="178" t="e">
        <f>D27*$D$4*'Input data'!K64/1000-F27</f>
        <v>#REF!</v>
      </c>
      <c r="J27" s="178" t="e">
        <f>D27*$D$7*'Input data'!K64/1000</f>
        <v>#REF!</v>
      </c>
      <c r="K27" s="1192"/>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2"/>
      <c r="C28" t="e">
        <f>'Input data'!#REF!</f>
        <v>#REF!</v>
      </c>
      <c r="D28" t="e">
        <f>'Input data'!#REF!</f>
        <v>#REF!</v>
      </c>
      <c r="E28">
        <v>0</v>
      </c>
      <c r="F28">
        <v>0</v>
      </c>
      <c r="G28" s="178" t="e">
        <f>C28*$D$5*'Input data'!K65/1000-E28</f>
        <v>#REF!</v>
      </c>
      <c r="H28" s="178" t="e">
        <f>D28*$D$4*'Input data'!K65/1000-F28</f>
        <v>#REF!</v>
      </c>
      <c r="J28" s="178" t="e">
        <f>D28*$D$7*'Input data'!K65/1000</f>
        <v>#REF!</v>
      </c>
      <c r="K28" s="1192"/>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2"/>
      <c r="C29" t="e">
        <f>'Input data'!#REF!</f>
        <v>#REF!</v>
      </c>
      <c r="D29" t="e">
        <f>'Input data'!#REF!</f>
        <v>#REF!</v>
      </c>
      <c r="E29">
        <v>0</v>
      </c>
      <c r="F29">
        <v>0</v>
      </c>
      <c r="G29" s="178" t="e">
        <f>C29*$D$5*'Input data'!K66/1000-E29</f>
        <v>#REF!</v>
      </c>
      <c r="H29" s="178" t="e">
        <f>D29*$D$4*'Input data'!K66/1000-F29</f>
        <v>#REF!</v>
      </c>
      <c r="J29" s="178" t="e">
        <f>D29*$D$7*'Input data'!K66/1000</f>
        <v>#REF!</v>
      </c>
      <c r="K29" s="1192"/>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2"/>
      <c r="C30" t="e">
        <f>'Input data'!#REF!</f>
        <v>#REF!</v>
      </c>
      <c r="D30" t="e">
        <f>'Input data'!#REF!</f>
        <v>#REF!</v>
      </c>
      <c r="E30">
        <v>0</v>
      </c>
      <c r="F30">
        <v>0</v>
      </c>
      <c r="G30" s="178" t="e">
        <f>C30*$D$5*'Input data'!K67/1000-E30</f>
        <v>#REF!</v>
      </c>
      <c r="H30" s="178" t="e">
        <f>D30*$D$4*'Input data'!K67/1000-F30</f>
        <v>#REF!</v>
      </c>
      <c r="J30" s="178" t="e">
        <f>D30*$D$7*'Input data'!K67/1000</f>
        <v>#REF!</v>
      </c>
      <c r="K30" s="1192"/>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2"/>
      <c r="C31" t="e">
        <f>'Input data'!#REF!</f>
        <v>#REF!</v>
      </c>
      <c r="D31" t="e">
        <f>'Input data'!#REF!</f>
        <v>#REF!</v>
      </c>
      <c r="E31">
        <v>0</v>
      </c>
      <c r="F31">
        <v>0</v>
      </c>
      <c r="G31" s="178" t="e">
        <f>C31*$D$5*'Input data'!K68/1000-E31</f>
        <v>#REF!</v>
      </c>
      <c r="H31" s="178" t="e">
        <f>D31*$D$4*'Input data'!K68/1000-F31</f>
        <v>#REF!</v>
      </c>
      <c r="J31" s="178" t="e">
        <f>D31*$D$7*'Input data'!K68/1000</f>
        <v>#REF!</v>
      </c>
      <c r="K31" s="1192"/>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2"/>
      <c r="C32" t="e">
        <f>'Input data'!#REF!</f>
        <v>#REF!</v>
      </c>
      <c r="D32" t="e">
        <f>'Input data'!#REF!</f>
        <v>#REF!</v>
      </c>
      <c r="E32">
        <v>0</v>
      </c>
      <c r="F32">
        <v>0</v>
      </c>
      <c r="G32" s="178" t="e">
        <f>C32*$D$5*'Input data'!K69/1000-E32</f>
        <v>#REF!</v>
      </c>
      <c r="H32" s="178" t="e">
        <f>D32*$D$4*'Input data'!K69/1000-F32</f>
        <v>#REF!</v>
      </c>
      <c r="J32" s="178" t="e">
        <f>D32*$D$7*'Input data'!K69/1000</f>
        <v>#REF!</v>
      </c>
      <c r="K32" s="1192"/>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2"/>
      <c r="C33" t="e">
        <f>'Input data'!#REF!</f>
        <v>#REF!</v>
      </c>
      <c r="D33" t="e">
        <f>'Input data'!#REF!</f>
        <v>#REF!</v>
      </c>
      <c r="E33">
        <v>0</v>
      </c>
      <c r="F33">
        <v>0</v>
      </c>
      <c r="G33" s="178" t="e">
        <f>C33*$D$5*'Input data'!K70/1000-E33</f>
        <v>#REF!</v>
      </c>
      <c r="H33" s="178" t="e">
        <f>D33*$D$4*'Input data'!K70/1000-F33</f>
        <v>#REF!</v>
      </c>
      <c r="J33" s="178" t="e">
        <f>D33*$D$7*'Input data'!K70/1000</f>
        <v>#REF!</v>
      </c>
      <c r="K33" s="1192"/>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2"/>
      <c r="C34" t="e">
        <f>'Input data'!#REF!</f>
        <v>#REF!</v>
      </c>
      <c r="D34" t="e">
        <f>'Input data'!#REF!</f>
        <v>#REF!</v>
      </c>
      <c r="E34">
        <v>0</v>
      </c>
      <c r="F34">
        <v>0</v>
      </c>
      <c r="G34" s="178" t="e">
        <f>C34*$D$5*'Input data'!K71/1000-E34</f>
        <v>#REF!</v>
      </c>
      <c r="H34" s="178" t="e">
        <f>D34*$D$4*'Input data'!K71/1000-F34</f>
        <v>#REF!</v>
      </c>
      <c r="J34" s="178" t="e">
        <f>D34*$D$7*'Input data'!K71/1000</f>
        <v>#REF!</v>
      </c>
      <c r="K34" s="1192"/>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2"/>
      <c r="C35" t="e">
        <f>'Input data'!#REF!</f>
        <v>#REF!</v>
      </c>
      <c r="D35" t="e">
        <f>'Input data'!#REF!</f>
        <v>#REF!</v>
      </c>
      <c r="E35">
        <v>0</v>
      </c>
      <c r="F35">
        <v>0</v>
      </c>
      <c r="G35" s="178" t="e">
        <f>C35*$D$5*'Input data'!K72/1000-E35</f>
        <v>#REF!</v>
      </c>
      <c r="H35" s="178" t="e">
        <f>D35*$D$4*'Input data'!K72/1000-F35</f>
        <v>#REF!</v>
      </c>
      <c r="J35" s="178" t="e">
        <f>D35*$D$7*'Input data'!K72/1000</f>
        <v>#REF!</v>
      </c>
      <c r="K35" s="1192"/>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2"/>
      <c r="C36" t="e">
        <f>'Input data'!#REF!</f>
        <v>#REF!</v>
      </c>
      <c r="D36" t="e">
        <f>'Input data'!#REF!</f>
        <v>#REF!</v>
      </c>
      <c r="E36">
        <v>0</v>
      </c>
      <c r="F36">
        <v>0</v>
      </c>
      <c r="G36" s="178" t="e">
        <f>C36*$D$5*'Input data'!K73/1000-E36</f>
        <v>#REF!</v>
      </c>
      <c r="H36" s="178" t="e">
        <f>D36*$D$4*'Input data'!K73/1000-F36</f>
        <v>#REF!</v>
      </c>
      <c r="J36" s="178" t="e">
        <f>D36*$D$7*'Input data'!K73/1000</f>
        <v>#REF!</v>
      </c>
      <c r="K36" s="1192"/>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2"/>
      <c r="C37" t="e">
        <f>'Input data'!#REF!</f>
        <v>#REF!</v>
      </c>
      <c r="D37" t="e">
        <f>'Input data'!#REF!</f>
        <v>#REF!</v>
      </c>
      <c r="E37">
        <v>0</v>
      </c>
      <c r="F37">
        <v>0</v>
      </c>
      <c r="G37" s="178" t="e">
        <f>C37*$D$5*'Input data'!K74/1000-E37</f>
        <v>#REF!</v>
      </c>
      <c r="H37" s="178" t="e">
        <f>D37*$D$4*'Input data'!K74/1000-F37</f>
        <v>#REF!</v>
      </c>
      <c r="J37" s="178" t="e">
        <f>D37*$D$7*'Input data'!K74/1000</f>
        <v>#REF!</v>
      </c>
      <c r="K37" s="1192"/>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2"/>
      <c r="C38" t="e">
        <f>'Input data'!#REF!</f>
        <v>#REF!</v>
      </c>
      <c r="D38" t="e">
        <f>'Input data'!#REF!</f>
        <v>#REF!</v>
      </c>
      <c r="E38">
        <v>0</v>
      </c>
      <c r="F38">
        <v>0</v>
      </c>
      <c r="G38" s="178" t="e">
        <f>C38*$D$5*'Input data'!K75/1000-E38</f>
        <v>#REF!</v>
      </c>
      <c r="H38" s="178" t="e">
        <f>D38*$D$4*'Input data'!K75/1000-F38</f>
        <v>#REF!</v>
      </c>
      <c r="J38" s="178" t="e">
        <f>D38*$D$7*'Input data'!K75/1000</f>
        <v>#REF!</v>
      </c>
      <c r="K38" s="1192"/>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2"/>
      <c r="C39" t="e">
        <f>'Input data'!#REF!</f>
        <v>#REF!</v>
      </c>
      <c r="D39" t="e">
        <f>'Input data'!#REF!</f>
        <v>#REF!</v>
      </c>
      <c r="E39">
        <v>0</v>
      </c>
      <c r="F39">
        <v>0</v>
      </c>
      <c r="G39" s="178" t="e">
        <f>C39*$D$5*'Input data'!K76/1000-E39</f>
        <v>#REF!</v>
      </c>
      <c r="H39" s="178" t="e">
        <f>D39*$D$4*'Input data'!K76/1000-F39</f>
        <v>#REF!</v>
      </c>
      <c r="J39" s="178" t="e">
        <f>D39*$D$7*'Input data'!K76/1000</f>
        <v>#REF!</v>
      </c>
      <c r="K39" s="1192"/>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2"/>
      <c r="C40" t="e">
        <f>'Input data'!#REF!</f>
        <v>#REF!</v>
      </c>
      <c r="D40" t="e">
        <f>'Input data'!#REF!</f>
        <v>#REF!</v>
      </c>
      <c r="E40">
        <v>0</v>
      </c>
      <c r="F40">
        <v>0</v>
      </c>
      <c r="G40" s="178" t="e">
        <f>C40*$D$5*'Input data'!K77/1000-E40</f>
        <v>#REF!</v>
      </c>
      <c r="H40" s="178" t="e">
        <f>D40*$D$4*'Input data'!K77/1000-F40</f>
        <v>#REF!</v>
      </c>
      <c r="J40" s="178" t="e">
        <f>D40*$D$7*'Input data'!K77/1000</f>
        <v>#REF!</v>
      </c>
      <c r="K40" s="1192"/>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2"/>
      <c r="C41" t="e">
        <f>'Input data'!#REF!</f>
        <v>#REF!</v>
      </c>
      <c r="D41" t="e">
        <f>'Input data'!#REF!</f>
        <v>#REF!</v>
      </c>
      <c r="E41">
        <v>0</v>
      </c>
      <c r="F41">
        <v>0</v>
      </c>
      <c r="G41" s="178" t="e">
        <f>C41*$D$5*'Input data'!K78/1000-E41</f>
        <v>#REF!</v>
      </c>
      <c r="H41" s="178" t="e">
        <f>D41*$D$4*'Input data'!K78/1000-F41</f>
        <v>#REF!</v>
      </c>
      <c r="J41" s="178" t="e">
        <f>D41*$D$7*'Input data'!K78/1000</f>
        <v>#REF!</v>
      </c>
      <c r="K41" s="1192"/>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2"/>
      <c r="C42" t="e">
        <f>'Input data'!#REF!</f>
        <v>#REF!</v>
      </c>
      <c r="D42" t="e">
        <f>'Input data'!#REF!</f>
        <v>#REF!</v>
      </c>
      <c r="E42">
        <v>0</v>
      </c>
      <c r="F42">
        <v>0</v>
      </c>
      <c r="G42" s="178" t="e">
        <f>C42*$D$5*'Input data'!K79/1000-E42</f>
        <v>#REF!</v>
      </c>
      <c r="H42" s="178" t="e">
        <f>D42*$D$4*'Input data'!K79/1000-F42</f>
        <v>#REF!</v>
      </c>
      <c r="J42" s="178" t="e">
        <f>D42*$D$7*'Input data'!K79/1000</f>
        <v>#REF!</v>
      </c>
      <c r="K42" s="1192"/>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2"/>
      <c r="C43" t="e">
        <f>'Input data'!#REF!</f>
        <v>#REF!</v>
      </c>
      <c r="D43" t="e">
        <f>'Input data'!#REF!</f>
        <v>#REF!</v>
      </c>
      <c r="E43">
        <v>0</v>
      </c>
      <c r="F43">
        <v>0</v>
      </c>
      <c r="G43" s="178" t="e">
        <f>C43*$D$5*'Input data'!K80/1000-E43</f>
        <v>#REF!</v>
      </c>
      <c r="H43" s="178" t="e">
        <f>D43*$D$4*'Input data'!K80/1000-F43</f>
        <v>#REF!</v>
      </c>
      <c r="J43" s="178" t="e">
        <f>D43*$D$7*'Input data'!K80/1000</f>
        <v>#REF!</v>
      </c>
      <c r="K43" s="1192"/>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2"/>
      <c r="C44" t="e">
        <f>'Input data'!#REF!</f>
        <v>#REF!</v>
      </c>
      <c r="D44" t="e">
        <f>'Input data'!#REF!</f>
        <v>#REF!</v>
      </c>
      <c r="E44">
        <v>0</v>
      </c>
      <c r="F44">
        <v>0</v>
      </c>
      <c r="G44" s="178" t="e">
        <f>C44*$D$5*'Input data'!K81/1000-E44</f>
        <v>#REF!</v>
      </c>
      <c r="H44" s="178" t="e">
        <f>D44*$D$4*'Input data'!K81/1000-F44</f>
        <v>#REF!</v>
      </c>
      <c r="J44" s="178" t="e">
        <f>D44*$D$7*'Input data'!K81/1000</f>
        <v>#REF!</v>
      </c>
      <c r="K44" s="1192"/>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2"/>
      <c r="C45" t="e">
        <f>'Input data'!#REF!</f>
        <v>#REF!</v>
      </c>
      <c r="D45" t="e">
        <f>'Input data'!#REF!</f>
        <v>#REF!</v>
      </c>
      <c r="E45">
        <v>0</v>
      </c>
      <c r="F45">
        <v>0</v>
      </c>
      <c r="G45" s="178" t="e">
        <f>C45*$D$5*'Input data'!K82/1000-E45</f>
        <v>#REF!</v>
      </c>
      <c r="H45" s="178" t="e">
        <f>D45*$D$4*'Input data'!K82/1000-F45</f>
        <v>#REF!</v>
      </c>
      <c r="J45" s="178" t="e">
        <f>D45*$D$7*'Input data'!K82/1000</f>
        <v>#REF!</v>
      </c>
      <c r="K45" s="1192"/>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2"/>
      <c r="C46" t="e">
        <f>'Input data'!#REF!</f>
        <v>#REF!</v>
      </c>
      <c r="D46" t="e">
        <f>'Input data'!#REF!</f>
        <v>#REF!</v>
      </c>
      <c r="E46">
        <v>0</v>
      </c>
      <c r="F46">
        <v>0</v>
      </c>
      <c r="G46" s="178" t="e">
        <f>C46*$D$5*'Input data'!K83/1000-E46</f>
        <v>#REF!</v>
      </c>
      <c r="H46" s="178" t="e">
        <f>D46*$D$4*'Input data'!K83/1000-F46</f>
        <v>#REF!</v>
      </c>
      <c r="J46" s="178" t="e">
        <f>D46*$D$7*'Input data'!K83/1000</f>
        <v>#REF!</v>
      </c>
      <c r="K46" s="1192"/>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2"/>
      <c r="C47" t="e">
        <f>'Input data'!#REF!</f>
        <v>#REF!</v>
      </c>
      <c r="D47" t="e">
        <f>'Input data'!#REF!</f>
        <v>#REF!</v>
      </c>
      <c r="E47">
        <v>0</v>
      </c>
      <c r="F47">
        <v>0</v>
      </c>
      <c r="G47" s="178" t="e">
        <f>C47*$D$5*'Input data'!K84/1000-E47</f>
        <v>#REF!</v>
      </c>
      <c r="H47" s="178" t="e">
        <f>D47*$D$4*'Input data'!K84/1000-F47</f>
        <v>#REF!</v>
      </c>
      <c r="J47" s="178" t="e">
        <f>D47*$D$7*'Input data'!K84/1000</f>
        <v>#REF!</v>
      </c>
      <c r="K47" s="1192"/>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2"/>
      <c r="C48" t="e">
        <f>'Input data'!#REF!</f>
        <v>#REF!</v>
      </c>
      <c r="D48" t="e">
        <f>'Input data'!#REF!</f>
        <v>#REF!</v>
      </c>
      <c r="E48">
        <v>0</v>
      </c>
      <c r="F48">
        <v>0</v>
      </c>
      <c r="G48" s="178" t="e">
        <f>C48*$D$5*'Input data'!K85/1000-E48</f>
        <v>#REF!</v>
      </c>
      <c r="H48" s="178" t="e">
        <f>D48*$D$4*'Input data'!K85/1000-F48</f>
        <v>#REF!</v>
      </c>
      <c r="J48" s="178" t="e">
        <f>D48*$D$7*'Input data'!K85/1000</f>
        <v>#REF!</v>
      </c>
      <c r="K48" s="1192"/>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2"/>
      <c r="C49" t="e">
        <f>'Input data'!#REF!</f>
        <v>#REF!</v>
      </c>
      <c r="D49" t="e">
        <f>'Input data'!#REF!</f>
        <v>#REF!</v>
      </c>
      <c r="E49">
        <v>0</v>
      </c>
      <c r="F49">
        <v>0</v>
      </c>
      <c r="G49" s="178" t="e">
        <f>C49*$D$5*'Input data'!K86/1000-E49</f>
        <v>#REF!</v>
      </c>
      <c r="H49" s="178" t="e">
        <f>D49*$D$4*'Input data'!K86/1000-F49</f>
        <v>#REF!</v>
      </c>
      <c r="J49" s="178" t="e">
        <f>D49*$D$7*'Input data'!K86/1000</f>
        <v>#REF!</v>
      </c>
      <c r="K49" s="1192"/>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2"/>
      <c r="C50" t="e">
        <f>'Input data'!#REF!</f>
        <v>#REF!</v>
      </c>
      <c r="D50" t="e">
        <f>'Input data'!#REF!</f>
        <v>#REF!</v>
      </c>
      <c r="E50">
        <v>0</v>
      </c>
      <c r="F50">
        <v>0</v>
      </c>
      <c r="G50" s="178" t="e">
        <f>C50*$D$5*'Input data'!K87/1000-E50</f>
        <v>#REF!</v>
      </c>
      <c r="H50" s="178" t="e">
        <f>D50*$D$4*'Input data'!K87/1000-F50</f>
        <v>#REF!</v>
      </c>
      <c r="J50" s="178" t="e">
        <f>D50*$D$7*'Input data'!K87/1000</f>
        <v>#REF!</v>
      </c>
      <c r="K50" s="1192"/>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2"/>
      <c r="C51" t="e">
        <f>'Input data'!#REF!</f>
        <v>#REF!</v>
      </c>
      <c r="D51" t="e">
        <f>'Input data'!#REF!</f>
        <v>#REF!</v>
      </c>
      <c r="E51">
        <v>0</v>
      </c>
      <c r="F51">
        <v>0</v>
      </c>
      <c r="G51" s="178" t="e">
        <f>C51*$D$5*'Input data'!K88/1000-E51</f>
        <v>#REF!</v>
      </c>
      <c r="H51" s="178" t="e">
        <f>D51*$D$4*'Input data'!K88/1000-F51</f>
        <v>#REF!</v>
      </c>
      <c r="J51" s="178" t="e">
        <f>D51*$D$7*'Input data'!K88/1000</f>
        <v>#REF!</v>
      </c>
      <c r="K51" s="1192"/>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2"/>
      <c r="C52" t="e">
        <f>'Input data'!#REF!</f>
        <v>#REF!</v>
      </c>
      <c r="D52" t="e">
        <f>'Input data'!#REF!</f>
        <v>#REF!</v>
      </c>
      <c r="E52">
        <v>0</v>
      </c>
      <c r="F52">
        <v>0</v>
      </c>
      <c r="G52" s="178" t="e">
        <f>C52*$D$5*'Input data'!K89/1000-E52</f>
        <v>#REF!</v>
      </c>
      <c r="H52" s="178" t="e">
        <f>D52*$D$4*'Input data'!K89/1000-F52</f>
        <v>#REF!</v>
      </c>
      <c r="J52" s="178" t="e">
        <f>D52*$D$7*'Input data'!K89/1000</f>
        <v>#REF!</v>
      </c>
      <c r="K52" s="1192"/>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2"/>
      <c r="C53" t="e">
        <f>'Input data'!#REF!</f>
        <v>#REF!</v>
      </c>
      <c r="D53" t="e">
        <f>'Input data'!#REF!</f>
        <v>#REF!</v>
      </c>
      <c r="E53">
        <v>0</v>
      </c>
      <c r="F53">
        <v>0</v>
      </c>
      <c r="G53" s="178" t="e">
        <f>C53*$D$5*'Input data'!K90/1000-E53</f>
        <v>#REF!</v>
      </c>
      <c r="H53" s="178" t="e">
        <f>D53*$D$4*'Input data'!K90/1000-F53</f>
        <v>#REF!</v>
      </c>
      <c r="J53" s="178" t="e">
        <f>D53*$D$7*'Input data'!K90/1000</f>
        <v>#REF!</v>
      </c>
      <c r="K53" s="1192"/>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2"/>
      <c r="C54" t="e">
        <f>'Input data'!#REF!</f>
        <v>#REF!</v>
      </c>
      <c r="D54" t="e">
        <f>'Input data'!#REF!</f>
        <v>#REF!</v>
      </c>
      <c r="E54">
        <v>0</v>
      </c>
      <c r="F54">
        <v>0</v>
      </c>
      <c r="G54" s="178" t="e">
        <f>C54*$D$5*'Input data'!K91/1000-E54</f>
        <v>#REF!</v>
      </c>
      <c r="H54" s="178" t="e">
        <f>D54*$D$4*'Input data'!K91/1000-F54</f>
        <v>#REF!</v>
      </c>
      <c r="J54" s="178" t="e">
        <f>D54*$D$7*'Input data'!K91/1000</f>
        <v>#REF!</v>
      </c>
      <c r="K54" s="1192"/>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2"/>
      <c r="C55" t="e">
        <f>'Input data'!#REF!</f>
        <v>#REF!</v>
      </c>
      <c r="D55" t="e">
        <f>'Input data'!#REF!</f>
        <v>#REF!</v>
      </c>
      <c r="E55">
        <v>0</v>
      </c>
      <c r="F55">
        <v>0</v>
      </c>
      <c r="G55" s="178" t="e">
        <f>C55*$D$5*'Input data'!K92/1000-E55</f>
        <v>#REF!</v>
      </c>
      <c r="H55" s="178" t="e">
        <f>D55*$D$4*'Input data'!K92/1000-F55</f>
        <v>#REF!</v>
      </c>
      <c r="J55" s="178" t="e">
        <f>D55*$D$7*'Input data'!K92/1000</f>
        <v>#REF!</v>
      </c>
      <c r="K55" s="1192"/>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2"/>
      <c r="C56" t="e">
        <f>'Input data'!#REF!</f>
        <v>#REF!</v>
      </c>
      <c r="D56" t="e">
        <f>'Input data'!#REF!</f>
        <v>#REF!</v>
      </c>
      <c r="E56">
        <v>0</v>
      </c>
      <c r="F56">
        <v>0</v>
      </c>
      <c r="G56" s="178" t="e">
        <f>C56*$D$5*'Input data'!K93/1000-E56</f>
        <v>#REF!</v>
      </c>
      <c r="H56" s="178" t="e">
        <f>D56*$D$4*'Input data'!K93/1000-F56</f>
        <v>#REF!</v>
      </c>
      <c r="J56" s="178" t="e">
        <f>D56*$D$7*'Input data'!K93/1000</f>
        <v>#REF!</v>
      </c>
      <c r="K56" s="1192"/>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2"/>
      <c r="C57" t="e">
        <f>'Input data'!#REF!</f>
        <v>#REF!</v>
      </c>
      <c r="D57" t="e">
        <f>'Input data'!#REF!</f>
        <v>#REF!</v>
      </c>
      <c r="E57">
        <v>0</v>
      </c>
      <c r="F57">
        <v>0</v>
      </c>
      <c r="G57" s="178" t="e">
        <f>C57*$D$5*'Input data'!K94/1000-E57</f>
        <v>#REF!</v>
      </c>
      <c r="H57" s="178" t="e">
        <f>D57*$D$4*'Input data'!K94/1000-F57</f>
        <v>#REF!</v>
      </c>
      <c r="J57" s="178" t="e">
        <f>D57*$D$7*'Input data'!K94/1000</f>
        <v>#REF!</v>
      </c>
      <c r="K57" s="1192"/>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2"/>
      <c r="C58" t="e">
        <f>'Input data'!#REF!</f>
        <v>#REF!</v>
      </c>
      <c r="D58" t="e">
        <f>'Input data'!#REF!</f>
        <v>#REF!</v>
      </c>
      <c r="E58">
        <v>0</v>
      </c>
      <c r="F58">
        <v>0</v>
      </c>
      <c r="G58" s="178" t="e">
        <f>C58*$D$5*'Input data'!K95/1000-E58</f>
        <v>#REF!</v>
      </c>
      <c r="H58" s="178" t="e">
        <f>D58*$D$4*'Input data'!K95/1000-F58</f>
        <v>#REF!</v>
      </c>
      <c r="J58" s="178" t="e">
        <f>D58*$D$7*'Input data'!K95/1000</f>
        <v>#REF!</v>
      </c>
      <c r="K58" s="1192"/>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2"/>
      <c r="C59" t="e">
        <f>'Input data'!#REF!</f>
        <v>#REF!</v>
      </c>
      <c r="D59" t="e">
        <f>'Input data'!#REF!</f>
        <v>#REF!</v>
      </c>
      <c r="E59">
        <v>0</v>
      </c>
      <c r="F59">
        <v>0</v>
      </c>
      <c r="G59" s="178" t="e">
        <f>C59*$D$5*'Input data'!K96/1000-E59</f>
        <v>#REF!</v>
      </c>
      <c r="H59" s="178" t="e">
        <f>D59*$D$4*'Input data'!K96/1000-F59</f>
        <v>#REF!</v>
      </c>
      <c r="J59" s="178" t="e">
        <f>D59*$D$7*'Input data'!K96/1000</f>
        <v>#REF!</v>
      </c>
      <c r="K59" s="1192"/>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2"/>
      <c r="C60" t="e">
        <f>'Input data'!#REF!</f>
        <v>#REF!</v>
      </c>
      <c r="D60" t="e">
        <f>'Input data'!#REF!</f>
        <v>#REF!</v>
      </c>
      <c r="E60">
        <v>0</v>
      </c>
      <c r="F60">
        <v>0</v>
      </c>
      <c r="G60" s="178" t="e">
        <f>C60*$D$5*'Input data'!K97/1000-E60</f>
        <v>#REF!</v>
      </c>
      <c r="H60" s="178" t="e">
        <f>D60*$D$4*'Input data'!K97/1000-F60</f>
        <v>#REF!</v>
      </c>
      <c r="J60" s="178" t="e">
        <f>D60*$D$7*'Input data'!K97/1000</f>
        <v>#REF!</v>
      </c>
      <c r="K60" s="1192"/>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2"/>
      <c r="C61" t="e">
        <f>'Input data'!#REF!</f>
        <v>#REF!</v>
      </c>
      <c r="D61" t="e">
        <f>'Input data'!#REF!</f>
        <v>#REF!</v>
      </c>
      <c r="E61">
        <v>0</v>
      </c>
      <c r="F61">
        <v>0</v>
      </c>
      <c r="G61" s="178" t="e">
        <f>C61*$D$5*'Input data'!K98/1000-E61</f>
        <v>#REF!</v>
      </c>
      <c r="H61" s="178" t="e">
        <f>D61*$D$4*'Input data'!K98/1000-F61</f>
        <v>#REF!</v>
      </c>
      <c r="J61" s="178" t="e">
        <f>D61*$D$7*'Input data'!K98/1000</f>
        <v>#REF!</v>
      </c>
      <c r="K61" s="1192"/>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2"/>
      <c r="C62" t="e">
        <f>'Input data'!#REF!</f>
        <v>#REF!</v>
      </c>
      <c r="D62" t="e">
        <f>'Input data'!#REF!</f>
        <v>#REF!</v>
      </c>
      <c r="E62">
        <v>0</v>
      </c>
      <c r="F62">
        <v>0</v>
      </c>
      <c r="G62" s="178" t="e">
        <f>C62*$D$5*'Input data'!K99/1000-E62</f>
        <v>#REF!</v>
      </c>
      <c r="H62" s="178" t="e">
        <f>D62*$D$4*'Input data'!K99/1000-F62</f>
        <v>#REF!</v>
      </c>
      <c r="J62" s="178" t="e">
        <f>D62*$D$7*'Input data'!K99/1000</f>
        <v>#REF!</v>
      </c>
      <c r="K62" s="1192"/>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1060.0114248667383</v>
      </c>
      <c r="L63" s="647">
        <v>0</v>
      </c>
      <c r="M63" s="647">
        <f>1-L63</f>
        <v>1</v>
      </c>
      <c r="N63" s="115">
        <v>0</v>
      </c>
      <c r="O63" s="115">
        <v>0</v>
      </c>
      <c r="P63" s="737">
        <f>L63*$D$5*'Input data'!U100/1000-N63</f>
        <v>0</v>
      </c>
      <c r="Q63" s="738">
        <f>M63*$D$4*K63/1000-O63</f>
        <v>4.2400456994669531</v>
      </c>
      <c r="R63" s="115"/>
      <c r="S63" s="1193">
        <f>M63*$D$7*K63/1000</f>
        <v>0.25440274196801715</v>
      </c>
      <c r="T63" s="1194">
        <f>G63+P63</f>
        <v>0</v>
      </c>
      <c r="U63" s="1195">
        <f>H63+Q63</f>
        <v>8.0224619830130912</v>
      </c>
      <c r="V63" s="1195">
        <f>I63+R63</f>
        <v>0</v>
      </c>
      <c r="W63" s="1196">
        <f>J63+S63</f>
        <v>0.48134771898078543</v>
      </c>
      <c r="Z63" s="1397"/>
      <c r="AA63" s="1399"/>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1088.6316757477196</v>
      </c>
      <c r="L64" s="114">
        <v>0</v>
      </c>
      <c r="M64" s="114">
        <f t="shared" ref="M64:M80" si="4">1-L64</f>
        <v>1</v>
      </c>
      <c r="N64">
        <v>0</v>
      </c>
      <c r="O64">
        <v>0</v>
      </c>
      <c r="P64" s="178">
        <f>L64*$D$5*'Input data'!U101/1000-N64</f>
        <v>0</v>
      </c>
      <c r="Q64" s="419">
        <f t="shared" ref="Q64:Q114" si="5">M64*$D$4*K64/1000-O64</f>
        <v>4.3545267029908779</v>
      </c>
      <c r="S64" s="1197">
        <f t="shared" ref="S64:S114" si="6">M64*$D$7*K64/1000</f>
        <v>0.26127160217945267</v>
      </c>
      <c r="T64" s="1198">
        <f t="shared" ref="T64:W80" si="7">G64+P64</f>
        <v>0</v>
      </c>
      <c r="U64" s="1199">
        <f t="shared" si="7"/>
        <v>8.215170232401265</v>
      </c>
      <c r="V64" s="1199">
        <f t="shared" si="7"/>
        <v>0</v>
      </c>
      <c r="W64" s="1200">
        <f t="shared" si="7"/>
        <v>0.49291021394407586</v>
      </c>
      <c r="Z64" s="1397"/>
      <c r="AA64" s="1399"/>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1128.91521015537</v>
      </c>
      <c r="L65" s="114">
        <v>0</v>
      </c>
      <c r="M65" s="114">
        <f t="shared" si="4"/>
        <v>1</v>
      </c>
      <c r="N65">
        <v>0</v>
      </c>
      <c r="O65">
        <v>0</v>
      </c>
      <c r="P65" s="178">
        <f>L65*$D$5*'Input data'!U102/1000-N65</f>
        <v>0</v>
      </c>
      <c r="Q65" s="419">
        <f>M65*$D$4*K65/1000-O65</f>
        <v>4.5156608406214804</v>
      </c>
      <c r="S65" s="1197">
        <f t="shared" si="6"/>
        <v>0.27093965043728879</v>
      </c>
      <c r="T65" s="1198">
        <f t="shared" si="7"/>
        <v>0</v>
      </c>
      <c r="U65" s="1199">
        <f t="shared" si="7"/>
        <v>8.4298599460466228</v>
      </c>
      <c r="V65" s="1199">
        <f t="shared" si="7"/>
        <v>0</v>
      </c>
      <c r="W65" s="1200">
        <f t="shared" si="7"/>
        <v>0.50579159676279739</v>
      </c>
      <c r="Z65" s="1397"/>
      <c r="AA65" s="1399"/>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1162.2078130924817</v>
      </c>
      <c r="L66" s="114">
        <v>0</v>
      </c>
      <c r="M66" s="114">
        <f t="shared" si="4"/>
        <v>1</v>
      </c>
      <c r="N66">
        <v>0</v>
      </c>
      <c r="O66">
        <v>0</v>
      </c>
      <c r="P66" s="178">
        <f>L66*$D$5*'Input data'!U103/1000-N66</f>
        <v>0</v>
      </c>
      <c r="Q66" s="419">
        <f t="shared" si="5"/>
        <v>4.6488312523699271</v>
      </c>
      <c r="S66" s="1197">
        <f t="shared" si="6"/>
        <v>0.27892987514219564</v>
      </c>
      <c r="T66" s="1198">
        <f t="shared" si="7"/>
        <v>0</v>
      </c>
      <c r="U66" s="1199">
        <f t="shared" si="7"/>
        <v>8.6131473735520565</v>
      </c>
      <c r="V66" s="1199">
        <f t="shared" si="7"/>
        <v>0</v>
      </c>
      <c r="W66" s="1200">
        <f t="shared" si="7"/>
        <v>0.51678884241312339</v>
      </c>
      <c r="Z66" s="1397"/>
      <c r="AA66" s="1399"/>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1215.14118094629</v>
      </c>
      <c r="L67" s="114">
        <v>0</v>
      </c>
      <c r="M67" s="114">
        <f t="shared" si="4"/>
        <v>1</v>
      </c>
      <c r="N67">
        <v>0</v>
      </c>
      <c r="O67">
        <v>0</v>
      </c>
      <c r="P67" s="178">
        <f>L67*$D$5*'Input data'!U104/1000-N67</f>
        <v>0</v>
      </c>
      <c r="Q67" s="419">
        <f t="shared" si="5"/>
        <v>4.8605647237851599</v>
      </c>
      <c r="S67" s="1197">
        <f t="shared" si="6"/>
        <v>0.29163388342710961</v>
      </c>
      <c r="T67" s="1198">
        <f t="shared" si="7"/>
        <v>0</v>
      </c>
      <c r="U67" s="1199">
        <f t="shared" si="7"/>
        <v>8.8720750845051715</v>
      </c>
      <c r="V67" s="1199">
        <f t="shared" si="7"/>
        <v>0</v>
      </c>
      <c r="W67" s="1200">
        <f t="shared" si="7"/>
        <v>0.53232450507031026</v>
      </c>
      <c r="Z67" s="1397"/>
      <c r="AA67" s="1399"/>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1279.2648653351275</v>
      </c>
      <c r="L68" s="114">
        <v>0</v>
      </c>
      <c r="M68" s="114">
        <f t="shared" si="4"/>
        <v>1</v>
      </c>
      <c r="N68">
        <v>0</v>
      </c>
      <c r="O68">
        <v>0</v>
      </c>
      <c r="P68" s="178">
        <f>L68*$D$5*'Input data'!U105/1000-N68</f>
        <v>0</v>
      </c>
      <c r="Q68" s="419">
        <f t="shared" si="5"/>
        <v>5.11705946134051</v>
      </c>
      <c r="S68" s="1197">
        <f t="shared" si="6"/>
        <v>0.3070235676804306</v>
      </c>
      <c r="T68" s="1198">
        <f t="shared" si="7"/>
        <v>0</v>
      </c>
      <c r="U68" s="1199">
        <f t="shared" si="7"/>
        <v>9.1743886374952961</v>
      </c>
      <c r="V68" s="1199">
        <f t="shared" si="7"/>
        <v>0</v>
      </c>
      <c r="W68" s="1200">
        <f t="shared" si="7"/>
        <v>0.55046331824971773</v>
      </c>
      <c r="Z68" s="1397"/>
      <c r="AA68" s="1399"/>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1350.9522798856019</v>
      </c>
      <c r="L69" s="114">
        <v>0</v>
      </c>
      <c r="M69" s="114">
        <f t="shared" si="4"/>
        <v>1</v>
      </c>
      <c r="N69">
        <v>0</v>
      </c>
      <c r="O69">
        <v>0</v>
      </c>
      <c r="P69" s="178">
        <f>L69*$D$5*'Input data'!U106/1000-N69</f>
        <v>0</v>
      </c>
      <c r="Q69" s="419">
        <f t="shared" si="5"/>
        <v>5.4038091195424078</v>
      </c>
      <c r="S69" s="1197">
        <f t="shared" si="6"/>
        <v>0.32422854717254446</v>
      </c>
      <c r="T69" s="1198">
        <f t="shared" si="7"/>
        <v>0</v>
      </c>
      <c r="U69" s="1199">
        <f t="shared" si="7"/>
        <v>9.5069571111319693</v>
      </c>
      <c r="V69" s="1199">
        <f t="shared" si="7"/>
        <v>0</v>
      </c>
      <c r="W69" s="1200">
        <f t="shared" si="7"/>
        <v>0.57041742666791817</v>
      </c>
      <c r="Z69" s="1397"/>
      <c r="AA69" s="1399"/>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1423.3697511477842</v>
      </c>
      <c r="L70" s="114">
        <v>0</v>
      </c>
      <c r="M70" s="114">
        <f t="shared" si="4"/>
        <v>1</v>
      </c>
      <c r="N70">
        <v>0</v>
      </c>
      <c r="O70">
        <v>0</v>
      </c>
      <c r="P70" s="178">
        <f>L70*$D$5*'Input data'!U107/1000-N70</f>
        <v>0</v>
      </c>
      <c r="Q70" s="419">
        <f t="shared" si="5"/>
        <v>5.6934790045911372</v>
      </c>
      <c r="S70" s="1197">
        <f t="shared" si="6"/>
        <v>0.34160874027546823</v>
      </c>
      <c r="T70" s="1198">
        <f t="shared" si="7"/>
        <v>0</v>
      </c>
      <c r="U70" s="1199">
        <f t="shared" si="7"/>
        <v>9.8418440635703632</v>
      </c>
      <c r="V70" s="1199">
        <f t="shared" si="7"/>
        <v>0</v>
      </c>
      <c r="W70" s="1200">
        <f t="shared" si="7"/>
        <v>0.5905106438142218</v>
      </c>
      <c r="Z70" s="1397"/>
      <c r="AA70" s="1399"/>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1468.7901452041654</v>
      </c>
      <c r="L71" s="114">
        <v>0</v>
      </c>
      <c r="M71" s="114">
        <f t="shared" si="4"/>
        <v>1</v>
      </c>
      <c r="N71">
        <v>0</v>
      </c>
      <c r="O71">
        <v>0</v>
      </c>
      <c r="P71" s="178">
        <f>L71*$D$5*'Input data'!U108/1000-N71</f>
        <v>0</v>
      </c>
      <c r="Q71" s="419">
        <f t="shared" si="5"/>
        <v>5.8751605808166616</v>
      </c>
      <c r="S71" s="1197">
        <f t="shared" si="6"/>
        <v>0.35250963484899966</v>
      </c>
      <c r="T71" s="1198">
        <f t="shared" si="7"/>
        <v>0</v>
      </c>
      <c r="U71" s="1199">
        <f t="shared" si="7"/>
        <v>10.069602347249996</v>
      </c>
      <c r="V71" s="1199">
        <f t="shared" si="7"/>
        <v>0</v>
      </c>
      <c r="W71" s="1200">
        <f t="shared" si="7"/>
        <v>0.60417614083499971</v>
      </c>
      <c r="Z71" s="1397"/>
      <c r="AA71" s="1399"/>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1446.1988406419368</v>
      </c>
      <c r="L72" s="114">
        <v>0</v>
      </c>
      <c r="M72" s="114">
        <f t="shared" si="4"/>
        <v>1</v>
      </c>
      <c r="N72">
        <v>0</v>
      </c>
      <c r="O72">
        <v>0</v>
      </c>
      <c r="P72" s="178">
        <f>L72*$D$5*'Input data'!U109/1000-N72</f>
        <v>0</v>
      </c>
      <c r="Q72" s="419">
        <f t="shared" si="5"/>
        <v>5.7847953625677473</v>
      </c>
      <c r="S72" s="1197">
        <f t="shared" si="6"/>
        <v>0.34708772175406483</v>
      </c>
      <c r="T72" s="1198">
        <f t="shared" si="7"/>
        <v>0</v>
      </c>
      <c r="U72" s="1199">
        <f t="shared" si="7"/>
        <v>10.024540160397191</v>
      </c>
      <c r="V72" s="1199">
        <f t="shared" si="7"/>
        <v>0</v>
      </c>
      <c r="W72" s="1200">
        <f t="shared" si="7"/>
        <v>0.60147240962383142</v>
      </c>
      <c r="Z72" s="1397"/>
      <c r="AA72" s="1399"/>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1490.1593924326405</v>
      </c>
      <c r="L73" s="114">
        <v>0</v>
      </c>
      <c r="M73" s="114">
        <f t="shared" si="4"/>
        <v>1</v>
      </c>
      <c r="N73">
        <v>0</v>
      </c>
      <c r="O73">
        <v>0</v>
      </c>
      <c r="P73" s="178">
        <f>L73*$D$5*'Input data'!U110/1000-N73</f>
        <v>0</v>
      </c>
      <c r="Q73" s="419">
        <f t="shared" si="5"/>
        <v>5.9606375697305625</v>
      </c>
      <c r="S73" s="1197">
        <f t="shared" si="6"/>
        <v>0.35763825418383371</v>
      </c>
      <c r="T73" s="1198">
        <f t="shared" si="7"/>
        <v>0</v>
      </c>
      <c r="U73" s="1199">
        <f t="shared" si="7"/>
        <v>11.535315942073929</v>
      </c>
      <c r="V73" s="1199">
        <f t="shared" si="7"/>
        <v>0</v>
      </c>
      <c r="W73" s="1200">
        <f t="shared" si="7"/>
        <v>0.69211895652443567</v>
      </c>
      <c r="Z73" s="1397"/>
      <c r="AA73" s="1399"/>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1539.0987324639343</v>
      </c>
      <c r="L74" s="114">
        <v>0.1</v>
      </c>
      <c r="M74" s="114">
        <f t="shared" si="4"/>
        <v>0.9</v>
      </c>
      <c r="N74">
        <v>0</v>
      </c>
      <c r="O74">
        <v>0</v>
      </c>
      <c r="P74" s="178">
        <f>L74*$D$5*K74/1000-N74</f>
        <v>0.12312789859711476</v>
      </c>
      <c r="Q74" s="419">
        <f t="shared" si="5"/>
        <v>5.5407554368701639</v>
      </c>
      <c r="S74" s="1197">
        <f t="shared" si="6"/>
        <v>0.33244532621220979</v>
      </c>
      <c r="T74" s="1198">
        <f t="shared" si="7"/>
        <v>0.19334183325252791</v>
      </c>
      <c r="U74" s="1199">
        <f t="shared" si="7"/>
        <v>12.211079229134413</v>
      </c>
      <c r="V74" s="1199">
        <f t="shared" si="7"/>
        <v>0</v>
      </c>
      <c r="W74" s="1200">
        <f t="shared" si="7"/>
        <v>0.73266475374806461</v>
      </c>
      <c r="Z74" s="1397"/>
      <c r="AA74" s="1399"/>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1573.1644482588224</v>
      </c>
      <c r="L75" s="114">
        <v>0.1</v>
      </c>
      <c r="M75" s="114">
        <f t="shared" si="4"/>
        <v>0.9</v>
      </c>
      <c r="N75">
        <v>0</v>
      </c>
      <c r="O75">
        <v>0</v>
      </c>
      <c r="P75" s="178">
        <f t="shared" ref="P75:P114" si="8">L75*$D$5*K75/1000-N75</f>
        <v>0.12585315586070581</v>
      </c>
      <c r="Q75" s="419">
        <f t="shared" si="5"/>
        <v>5.6633920137317606</v>
      </c>
      <c r="S75" s="1197">
        <f t="shared" si="6"/>
        <v>0.33980352082390564</v>
      </c>
      <c r="T75" s="1198">
        <f t="shared" si="7"/>
        <v>0.2082571219057886</v>
      </c>
      <c r="U75" s="1199">
        <f t="shared" si="7"/>
        <v>13.491768788014623</v>
      </c>
      <c r="V75" s="1199">
        <f t="shared" si="7"/>
        <v>0</v>
      </c>
      <c r="W75" s="1200">
        <f t="shared" si="7"/>
        <v>0.80950612728087734</v>
      </c>
      <c r="Z75" s="1397"/>
      <c r="AA75" s="1399"/>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1614.2834417545885</v>
      </c>
      <c r="L76" s="114">
        <v>0.1</v>
      </c>
      <c r="M76" s="114">
        <f t="shared" si="4"/>
        <v>0.9</v>
      </c>
      <c r="N76">
        <v>0</v>
      </c>
      <c r="O76">
        <v>0</v>
      </c>
      <c r="P76" s="178">
        <f t="shared" si="8"/>
        <v>0.12914267534036711</v>
      </c>
      <c r="Q76" s="419">
        <f t="shared" si="5"/>
        <v>5.8114203903165187</v>
      </c>
      <c r="S76" s="1197">
        <f t="shared" si="6"/>
        <v>0.34868522341899111</v>
      </c>
      <c r="T76" s="1198">
        <f t="shared" si="7"/>
        <v>0.2233300797027758</v>
      </c>
      <c r="U76" s="1199">
        <f t="shared" si="7"/>
        <v>14.759223804745339</v>
      </c>
      <c r="V76" s="1199">
        <f t="shared" si="7"/>
        <v>0</v>
      </c>
      <c r="W76" s="1200">
        <f t="shared" si="7"/>
        <v>0.88555342828472039</v>
      </c>
      <c r="Z76" s="1397"/>
      <c r="AA76" s="1399"/>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1643.1097662379286</v>
      </c>
      <c r="L77" s="114">
        <v>0.1</v>
      </c>
      <c r="M77" s="114">
        <f t="shared" si="4"/>
        <v>0.9</v>
      </c>
      <c r="N77">
        <v>0</v>
      </c>
      <c r="O77">
        <v>0</v>
      </c>
      <c r="P77" s="178">
        <f t="shared" si="8"/>
        <v>0.13144878129903431</v>
      </c>
      <c r="Q77" s="419">
        <f t="shared" si="5"/>
        <v>5.9151951584565428</v>
      </c>
      <c r="S77" s="1197">
        <f t="shared" si="6"/>
        <v>0.35491170950739259</v>
      </c>
      <c r="T77" s="1198">
        <f t="shared" si="7"/>
        <v>0.23671892495327568</v>
      </c>
      <c r="U77" s="1199">
        <f t="shared" si="7"/>
        <v>15.915858805609473</v>
      </c>
      <c r="V77" s="1199">
        <f t="shared" si="7"/>
        <v>0</v>
      </c>
      <c r="W77" s="1200">
        <f t="shared" si="7"/>
        <v>0.95495152833656827</v>
      </c>
      <c r="Z77" s="1397"/>
      <c r="AA77" s="1399"/>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1663.7772506159363</v>
      </c>
      <c r="L78" s="114">
        <v>0.1</v>
      </c>
      <c r="M78" s="114">
        <f t="shared" si="4"/>
        <v>0.9</v>
      </c>
      <c r="N78">
        <v>0</v>
      </c>
      <c r="O78">
        <v>0</v>
      </c>
      <c r="P78" s="178">
        <f>L78*$D$5*K78/1000-N78</f>
        <v>0.13310218004927493</v>
      </c>
      <c r="Q78" s="419">
        <f t="shared" si="5"/>
        <v>5.9895981022173705</v>
      </c>
      <c r="S78" s="1197">
        <f t="shared" si="6"/>
        <v>0.35937588613304222</v>
      </c>
      <c r="T78" s="1198">
        <f t="shared" si="7"/>
        <v>0.24872431455830615</v>
      </c>
      <c r="U78" s="1199">
        <f t="shared" si="7"/>
        <v>16.973700880575333</v>
      </c>
      <c r="V78" s="1199">
        <f t="shared" si="7"/>
        <v>0</v>
      </c>
      <c r="W78" s="1200">
        <f t="shared" si="7"/>
        <v>1.01842205283452</v>
      </c>
      <c r="Z78" s="1397"/>
      <c r="AA78" s="1399"/>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1676.0829741100024</v>
      </c>
      <c r="L79" s="114">
        <v>0.1</v>
      </c>
      <c r="M79" s="114">
        <f t="shared" si="4"/>
        <v>0.9</v>
      </c>
      <c r="N79">
        <v>0</v>
      </c>
      <c r="O79">
        <v>0</v>
      </c>
      <c r="P79" s="178">
        <f t="shared" si="8"/>
        <v>0.13408663792880024</v>
      </c>
      <c r="Q79" s="419">
        <f t="shared" si="5"/>
        <v>6.033898706796009</v>
      </c>
      <c r="S79" s="1197">
        <f t="shared" si="6"/>
        <v>0.3620339224077605</v>
      </c>
      <c r="T79" s="1198">
        <f t="shared" si="7"/>
        <v>0.25929726721956436</v>
      </c>
      <c r="U79" s="1199">
        <f t="shared" si="7"/>
        <v>17.928908489418596</v>
      </c>
      <c r="V79" s="1199">
        <f t="shared" si="7"/>
        <v>0</v>
      </c>
      <c r="W79" s="1200">
        <f t="shared" si="7"/>
        <v>1.0757345093651158</v>
      </c>
      <c r="Z79" s="1397"/>
      <c r="AA79" s="1399"/>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1">
        <f t="shared" si="6"/>
        <v>0.366102504</v>
      </c>
      <c r="T80" s="1198">
        <f t="shared" si="7"/>
        <v>0.26959352009873772</v>
      </c>
      <c r="U80" s="1199">
        <f t="shared" si="7"/>
        <v>18.831708409380081</v>
      </c>
      <c r="V80" s="1199">
        <f t="shared" si="7"/>
        <v>0</v>
      </c>
      <c r="W80" s="1200">
        <f t="shared" si="7"/>
        <v>1.1299025045628048</v>
      </c>
      <c r="Z80" s="1397"/>
      <c r="AA80" s="1399"/>
    </row>
    <row r="81" spans="1:23">
      <c r="A81" s="1202" t="s">
        <v>643</v>
      </c>
      <c r="B81" s="1203"/>
      <c r="C81" s="1204"/>
      <c r="D81" s="1204"/>
      <c r="E81" s="501"/>
      <c r="F81" s="501"/>
      <c r="G81" s="1205"/>
      <c r="H81" s="1203"/>
      <c r="I81" s="1206"/>
      <c r="J81" s="1205"/>
      <c r="K81" s="1207"/>
      <c r="L81" s="1204"/>
      <c r="M81" s="1204"/>
      <c r="N81" s="501"/>
      <c r="O81" s="501"/>
      <c r="P81" s="737">
        <f>L81*$D$5*'Input data'!U118/1000-N81</f>
        <v>0</v>
      </c>
      <c r="Q81" s="738">
        <f t="shared" si="5"/>
        <v>0</v>
      </c>
      <c r="R81" s="115"/>
      <c r="S81" s="1193">
        <f t="shared" si="6"/>
        <v>0</v>
      </c>
      <c r="T81" s="1194">
        <f t="shared" ref="T81:W114" si="9">G81+P81</f>
        <v>0</v>
      </c>
      <c r="U81" s="1195">
        <f t="shared" si="9"/>
        <v>0</v>
      </c>
      <c r="V81" s="1195">
        <f t="shared" si="9"/>
        <v>0</v>
      </c>
      <c r="W81" s="1196">
        <f t="shared" si="9"/>
        <v>0</v>
      </c>
    </row>
    <row r="82" spans="1:23">
      <c r="A82" s="123">
        <f>'Input data'!A118</f>
        <v>2018</v>
      </c>
      <c r="B82" s="1208">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1789.9687605419947</v>
      </c>
      <c r="L82" s="114">
        <v>0.1</v>
      </c>
      <c r="M82" s="114">
        <f>1-L82</f>
        <v>0.9</v>
      </c>
      <c r="N82">
        <f>N80</f>
        <v>0</v>
      </c>
      <c r="O82">
        <f>O80</f>
        <v>0</v>
      </c>
      <c r="P82" s="178">
        <f>L82*$D$5*K82/1000-N82</f>
        <v>0.14319750084335958</v>
      </c>
      <c r="Q82" s="419">
        <f t="shared" si="5"/>
        <v>6.4438875379511806</v>
      </c>
      <c r="S82" s="1197">
        <f t="shared" si="6"/>
        <v>0.38663325227707085</v>
      </c>
      <c r="T82" s="1198">
        <f>G82+P82</f>
        <v>0.32115863087580998</v>
      </c>
      <c r="U82" s="1199">
        <f>H82+Q82</f>
        <v>20.384176057159792</v>
      </c>
      <c r="V82" s="1199">
        <f t="shared" si="9"/>
        <v>0</v>
      </c>
      <c r="W82" s="1200">
        <f t="shared" si="9"/>
        <v>1.2230505634295874</v>
      </c>
    </row>
    <row r="83" spans="1:23">
      <c r="A83" s="123">
        <f>'Input data'!A119</f>
        <v>2019</v>
      </c>
      <c r="B83" s="1208">
        <f>'Recycling - Case 1'!AI99</f>
        <v>4010.8720893729233</v>
      </c>
      <c r="C83" s="1209">
        <f>($C$86-$C$80)/($A$86-$A$80)+C82</f>
        <v>7.0000000000000007E-2</v>
      </c>
      <c r="D83" s="1209">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2562.5527582487894</v>
      </c>
      <c r="L83" s="114">
        <v>0.1</v>
      </c>
      <c r="M83" s="1209">
        <f t="shared" ref="M83:M114" si="14">1-L83</f>
        <v>0.9</v>
      </c>
      <c r="N83" s="53">
        <f t="shared" ref="N83:O98" si="15">N81</f>
        <v>0</v>
      </c>
      <c r="O83" s="53">
        <f t="shared" si="15"/>
        <v>0</v>
      </c>
      <c r="P83" s="178">
        <f t="shared" ref="P83:P112" si="16">L83*$D$5*K83/1000-N83</f>
        <v>0.20500422065990317</v>
      </c>
      <c r="Q83" s="519">
        <f t="shared" si="5"/>
        <v>9.2251899296956417</v>
      </c>
      <c r="R83" s="53"/>
      <c r="S83" s="1211">
        <f t="shared" si="6"/>
        <v>0.55351139578173858</v>
      </c>
      <c r="T83" s="1198">
        <f t="shared" si="9"/>
        <v>0.42961305766478691</v>
      </c>
      <c r="U83" s="1199">
        <f t="shared" si="9"/>
        <v>24.145634102162916</v>
      </c>
      <c r="V83" s="1199">
        <f t="shared" si="9"/>
        <v>0</v>
      </c>
      <c r="W83" s="1200">
        <f t="shared" si="9"/>
        <v>1.448738046129775</v>
      </c>
    </row>
    <row r="84" spans="1:23">
      <c r="A84" s="123">
        <f>'Input data'!A120</f>
        <v>2020</v>
      </c>
      <c r="B84" s="1208">
        <f>'Recycling - Case 1'!AI100</f>
        <v>4314.2206364031299</v>
      </c>
      <c r="C84" s="1209">
        <f t="shared" ref="C84:C85" si="17">($C$86-$C$80)/($A$86-$A$80)+C83</f>
        <v>0.08</v>
      </c>
      <c r="D84" s="1209">
        <f t="shared" si="10"/>
        <v>0.92</v>
      </c>
      <c r="E84" s="53">
        <v>0</v>
      </c>
      <c r="F84" s="53">
        <v>0</v>
      </c>
      <c r="G84" s="776">
        <f t="shared" si="11"/>
        <v>0.27611012072980029</v>
      </c>
      <c r="H84" s="519">
        <f t="shared" si="12"/>
        <v>15.876331941963519</v>
      </c>
      <c r="I84" s="53"/>
      <c r="J84" s="776">
        <f t="shared" si="13"/>
        <v>0.95257991651781104</v>
      </c>
      <c r="K84" s="527">
        <f>'Recycling - Case 1'!Z140</f>
        <v>2485.7704544777393</v>
      </c>
      <c r="L84" s="114">
        <v>0.1</v>
      </c>
      <c r="M84" s="1209">
        <f t="shared" si="14"/>
        <v>0.9</v>
      </c>
      <c r="N84" s="53">
        <f t="shared" si="15"/>
        <v>0</v>
      </c>
      <c r="O84" s="53">
        <f t="shared" si="15"/>
        <v>0</v>
      </c>
      <c r="P84" s="178">
        <f t="shared" si="16"/>
        <v>0.19886163635821918</v>
      </c>
      <c r="Q84" s="519">
        <f t="shared" si="5"/>
        <v>8.9487736361198618</v>
      </c>
      <c r="R84" s="53"/>
      <c r="S84" s="1211">
        <f t="shared" si="6"/>
        <v>0.53692641816719178</v>
      </c>
      <c r="T84" s="1198">
        <f t="shared" si="9"/>
        <v>0.47497175708801948</v>
      </c>
      <c r="U84" s="1199">
        <f t="shared" si="9"/>
        <v>24.825105578083381</v>
      </c>
      <c r="V84" s="1199">
        <f t="shared" si="9"/>
        <v>0</v>
      </c>
      <c r="W84" s="1200">
        <f t="shared" si="9"/>
        <v>1.4895063346850028</v>
      </c>
    </row>
    <row r="85" spans="1:23">
      <c r="A85" s="123">
        <f>'Input data'!A121</f>
        <v>2021</v>
      </c>
      <c r="B85" s="1208">
        <f>'Recycling - Case 1'!AI101</f>
        <v>4617.5691834333375</v>
      </c>
      <c r="C85" s="1209">
        <f t="shared" si="17"/>
        <v>0.09</v>
      </c>
      <c r="D85" s="1209">
        <f t="shared" si="10"/>
        <v>0.91</v>
      </c>
      <c r="E85" s="53">
        <v>0</v>
      </c>
      <c r="F85" s="53">
        <v>0</v>
      </c>
      <c r="G85" s="776">
        <f t="shared" si="11"/>
        <v>0.33246498120720025</v>
      </c>
      <c r="H85" s="519">
        <f t="shared" si="12"/>
        <v>16.807951827697352</v>
      </c>
      <c r="I85" s="53"/>
      <c r="J85" s="776">
        <f t="shared" si="13"/>
        <v>1.008477109661841</v>
      </c>
      <c r="K85" s="527">
        <f>'Recycling - Case 1'!Z141</f>
        <v>2636.7344039878863</v>
      </c>
      <c r="L85" s="114">
        <v>0.1</v>
      </c>
      <c r="M85" s="1209">
        <f t="shared" si="14"/>
        <v>0.9</v>
      </c>
      <c r="N85" s="53">
        <f t="shared" si="15"/>
        <v>0</v>
      </c>
      <c r="O85" s="53">
        <f t="shared" si="15"/>
        <v>0</v>
      </c>
      <c r="P85" s="178">
        <f t="shared" si="16"/>
        <v>0.21093875231903095</v>
      </c>
      <c r="Q85" s="519">
        <f t="shared" si="5"/>
        <v>9.4922438543563921</v>
      </c>
      <c r="R85" s="53"/>
      <c r="S85" s="1211">
        <f t="shared" si="6"/>
        <v>0.56953463126138337</v>
      </c>
      <c r="T85" s="1198">
        <f t="shared" si="9"/>
        <v>0.54340373352623117</v>
      </c>
      <c r="U85" s="1199">
        <f t="shared" si="9"/>
        <v>26.300195682053744</v>
      </c>
      <c r="V85" s="1199">
        <f t="shared" si="9"/>
        <v>0</v>
      </c>
      <c r="W85" s="1200">
        <f t="shared" si="9"/>
        <v>1.5780117409232244</v>
      </c>
    </row>
    <row r="86" spans="1:23">
      <c r="A86" s="123">
        <f>'Input data'!A122</f>
        <v>2022</v>
      </c>
      <c r="B86" s="1208">
        <f>'Recycling - Case 1'!AI102</f>
        <v>4920.9177304635441</v>
      </c>
      <c r="C86" s="1209">
        <f>'Recycling - Case 1'!C31</f>
        <v>0.1</v>
      </c>
      <c r="D86" s="1209">
        <f t="shared" si="10"/>
        <v>0.9</v>
      </c>
      <c r="E86" s="53">
        <v>0</v>
      </c>
      <c r="F86" s="53">
        <v>0</v>
      </c>
      <c r="G86" s="776">
        <f t="shared" si="11"/>
        <v>0.39367341843708364</v>
      </c>
      <c r="H86" s="519">
        <f t="shared" si="12"/>
        <v>17.715303829668759</v>
      </c>
      <c r="I86" s="53"/>
      <c r="J86" s="776">
        <f t="shared" si="13"/>
        <v>1.0629182297801256</v>
      </c>
      <c r="K86" s="527">
        <f>'Recycling - Case 1'!Z142</f>
        <v>2772.7635490634798</v>
      </c>
      <c r="L86" s="1209">
        <f>'Recycling - Case 1'!C31</f>
        <v>0.1</v>
      </c>
      <c r="M86" s="1209">
        <f t="shared" si="14"/>
        <v>0.9</v>
      </c>
      <c r="N86" s="53">
        <f t="shared" si="15"/>
        <v>0</v>
      </c>
      <c r="O86" s="53">
        <f t="shared" si="15"/>
        <v>0</v>
      </c>
      <c r="P86" s="178">
        <f t="shared" si="16"/>
        <v>0.22182108392507843</v>
      </c>
      <c r="Q86" s="519">
        <f t="shared" si="5"/>
        <v>9.9819487766285278</v>
      </c>
      <c r="R86" s="53"/>
      <c r="S86" s="1211">
        <f t="shared" si="6"/>
        <v>0.59891692659771156</v>
      </c>
      <c r="T86" s="1198">
        <f t="shared" si="9"/>
        <v>0.61549450236216208</v>
      </c>
      <c r="U86" s="1199">
        <f t="shared" si="9"/>
        <v>27.697252606297287</v>
      </c>
      <c r="V86" s="1199">
        <f t="shared" si="9"/>
        <v>0</v>
      </c>
      <c r="W86" s="1200">
        <f t="shared" si="9"/>
        <v>1.6618351563778373</v>
      </c>
    </row>
    <row r="87" spans="1:23">
      <c r="A87" s="123">
        <f>'Input data'!A123</f>
        <v>2023</v>
      </c>
      <c r="B87" s="1208">
        <f>'Recycling - Case 1'!AI103</f>
        <v>5224.2662774937517</v>
      </c>
      <c r="C87" s="1209">
        <f>C86</f>
        <v>0.1</v>
      </c>
      <c r="D87" s="1209">
        <f t="shared" si="10"/>
        <v>0.9</v>
      </c>
      <c r="E87" s="53">
        <v>0</v>
      </c>
      <c r="F87" s="53">
        <v>0</v>
      </c>
      <c r="G87" s="776">
        <f t="shared" si="11"/>
        <v>0.41794130219950021</v>
      </c>
      <c r="H87" s="519">
        <f t="shared" si="12"/>
        <v>18.807358598977505</v>
      </c>
      <c r="I87" s="53"/>
      <c r="J87" s="776">
        <f t="shared" si="13"/>
        <v>1.1284415159386503</v>
      </c>
      <c r="K87" s="527">
        <f>'Recycling - Case 1'!Z143</f>
        <v>2904.0681418807435</v>
      </c>
      <c r="L87" s="1209">
        <f>L86</f>
        <v>0.1</v>
      </c>
      <c r="M87" s="1209">
        <f t="shared" si="14"/>
        <v>0.9</v>
      </c>
      <c r="N87" s="53">
        <f t="shared" si="15"/>
        <v>0</v>
      </c>
      <c r="O87" s="53">
        <f t="shared" si="15"/>
        <v>0</v>
      </c>
      <c r="P87" s="178">
        <f t="shared" si="16"/>
        <v>0.23232545135045954</v>
      </c>
      <c r="Q87" s="519">
        <f t="shared" si="5"/>
        <v>10.454645310770676</v>
      </c>
      <c r="R87" s="53"/>
      <c r="S87" s="1211">
        <f t="shared" si="6"/>
        <v>0.62727871864624063</v>
      </c>
      <c r="T87" s="1198">
        <f t="shared" si="9"/>
        <v>0.65026675354995978</v>
      </c>
      <c r="U87" s="1199">
        <f t="shared" si="9"/>
        <v>29.262003909748181</v>
      </c>
      <c r="V87" s="1199">
        <f t="shared" si="9"/>
        <v>0</v>
      </c>
      <c r="W87" s="1200">
        <f t="shared" si="9"/>
        <v>1.7557202345848908</v>
      </c>
    </row>
    <row r="88" spans="1:23">
      <c r="A88" s="123">
        <f>'Input data'!A124</f>
        <v>2024</v>
      </c>
      <c r="B88" s="1208">
        <f>'Recycling - Case 1'!AI104</f>
        <v>5527.6148245239583</v>
      </c>
      <c r="C88" s="1209">
        <f t="shared" ref="C88:C114" si="18">C87</f>
        <v>0.1</v>
      </c>
      <c r="D88" s="1209">
        <f t="shared" si="10"/>
        <v>0.9</v>
      </c>
      <c r="E88" s="53">
        <v>0</v>
      </c>
      <c r="F88" s="53">
        <v>0</v>
      </c>
      <c r="G88" s="776">
        <f t="shared" si="11"/>
        <v>0.44220918596191677</v>
      </c>
      <c r="H88" s="519">
        <f t="shared" si="12"/>
        <v>19.89941336828625</v>
      </c>
      <c r="I88" s="53"/>
      <c r="J88" s="776">
        <f t="shared" si="13"/>
        <v>1.1939648020971749</v>
      </c>
      <c r="K88" s="527">
        <f>'Recycling - Case 1'!Z144</f>
        <v>3039.4774952906882</v>
      </c>
      <c r="L88" s="1209">
        <f t="shared" ref="L88:L114" si="19">L87</f>
        <v>0.1</v>
      </c>
      <c r="M88" s="1209">
        <f t="shared" si="14"/>
        <v>0.9</v>
      </c>
      <c r="N88" s="53">
        <f t="shared" si="15"/>
        <v>0</v>
      </c>
      <c r="O88" s="53">
        <f t="shared" si="15"/>
        <v>0</v>
      </c>
      <c r="P88" s="178">
        <f t="shared" si="16"/>
        <v>0.24315819962325511</v>
      </c>
      <c r="Q88" s="519">
        <f t="shared" si="5"/>
        <v>10.942118983046477</v>
      </c>
      <c r="R88" s="53"/>
      <c r="S88" s="1211">
        <f t="shared" si="6"/>
        <v>0.65652713898278869</v>
      </c>
      <c r="T88" s="1198">
        <f t="shared" si="9"/>
        <v>0.68536738558517185</v>
      </c>
      <c r="U88" s="1199">
        <f t="shared" si="9"/>
        <v>30.841532351332727</v>
      </c>
      <c r="V88" s="1199">
        <f t="shared" si="9"/>
        <v>0</v>
      </c>
      <c r="W88" s="1200">
        <f t="shared" si="9"/>
        <v>1.8504919410799636</v>
      </c>
    </row>
    <row r="89" spans="1:23">
      <c r="A89" s="123">
        <f>'Input data'!A125</f>
        <v>2025</v>
      </c>
      <c r="B89" s="1208">
        <f>'Recycling - Case 1'!AI105</f>
        <v>5830.9633715541659</v>
      </c>
      <c r="C89" s="1209">
        <f t="shared" si="18"/>
        <v>0.1</v>
      </c>
      <c r="D89" s="1209">
        <f t="shared" si="10"/>
        <v>0.9</v>
      </c>
      <c r="E89" s="53">
        <v>0</v>
      </c>
      <c r="F89" s="53">
        <v>0</v>
      </c>
      <c r="G89" s="776">
        <f t="shared" si="11"/>
        <v>0.46647706972433339</v>
      </c>
      <c r="H89" s="519">
        <f t="shared" si="12"/>
        <v>20.991468137595</v>
      </c>
      <c r="I89" s="53"/>
      <c r="J89" s="776">
        <f t="shared" si="13"/>
        <v>1.2594880882556998</v>
      </c>
      <c r="K89" s="527">
        <f>'Recycling - Case 1'!Z145</f>
        <v>3171.6628446854556</v>
      </c>
      <c r="L89" s="1209">
        <f t="shared" si="19"/>
        <v>0.1</v>
      </c>
      <c r="M89" s="1209">
        <f t="shared" si="14"/>
        <v>0.9</v>
      </c>
      <c r="N89" s="53">
        <f t="shared" si="15"/>
        <v>0</v>
      </c>
      <c r="O89" s="53">
        <f t="shared" si="15"/>
        <v>0</v>
      </c>
      <c r="P89" s="178">
        <f t="shared" si="16"/>
        <v>0.25373302757483651</v>
      </c>
      <c r="Q89" s="519">
        <f t="shared" si="5"/>
        <v>11.41798624086764</v>
      </c>
      <c r="R89" s="53"/>
      <c r="S89" s="1211">
        <f t="shared" si="6"/>
        <v>0.68507917445205835</v>
      </c>
      <c r="T89" s="1198">
        <f t="shared" si="9"/>
        <v>0.72021009729916985</v>
      </c>
      <c r="U89" s="1199">
        <f t="shared" si="9"/>
        <v>32.409454378462641</v>
      </c>
      <c r="V89" s="1199">
        <f t="shared" si="9"/>
        <v>0</v>
      </c>
      <c r="W89" s="1200">
        <f t="shared" si="9"/>
        <v>1.9445672627077581</v>
      </c>
    </row>
    <row r="90" spans="1:23">
      <c r="A90" s="123">
        <f>'Input data'!A126</f>
        <v>2026</v>
      </c>
      <c r="B90" s="1208">
        <f>'Recycling - Case 1'!AI106</f>
        <v>6134.3119185843725</v>
      </c>
      <c r="C90" s="1209">
        <f t="shared" si="18"/>
        <v>0.1</v>
      </c>
      <c r="D90" s="1209">
        <f t="shared" si="10"/>
        <v>0.9</v>
      </c>
      <c r="E90" s="53">
        <v>0</v>
      </c>
      <c r="F90" s="53">
        <v>0</v>
      </c>
      <c r="G90" s="776">
        <f t="shared" si="11"/>
        <v>0.4907449534867499</v>
      </c>
      <c r="H90" s="519">
        <f t="shared" si="12"/>
        <v>22.083522906903742</v>
      </c>
      <c r="I90" s="53"/>
      <c r="J90" s="776">
        <f t="shared" si="13"/>
        <v>1.3250113744142245</v>
      </c>
      <c r="K90" s="527">
        <f>'Recycling - Case 1'!Z146</f>
        <v>3296.3889470164409</v>
      </c>
      <c r="L90" s="1209">
        <f t="shared" si="19"/>
        <v>0.1</v>
      </c>
      <c r="M90" s="1209">
        <f t="shared" si="14"/>
        <v>0.9</v>
      </c>
      <c r="N90" s="53">
        <f t="shared" si="15"/>
        <v>0</v>
      </c>
      <c r="O90" s="53">
        <f t="shared" si="15"/>
        <v>0</v>
      </c>
      <c r="P90" s="178">
        <f t="shared" si="16"/>
        <v>0.26371111576131534</v>
      </c>
      <c r="Q90" s="519">
        <f t="shared" si="5"/>
        <v>11.867000209259187</v>
      </c>
      <c r="R90" s="53"/>
      <c r="S90" s="1211">
        <f t="shared" si="6"/>
        <v>0.71202001255555125</v>
      </c>
      <c r="T90" s="1198">
        <f t="shared" si="9"/>
        <v>0.7544560692480653</v>
      </c>
      <c r="U90" s="1199">
        <f t="shared" si="9"/>
        <v>33.950523116162927</v>
      </c>
      <c r="V90" s="1199">
        <f t="shared" si="9"/>
        <v>0</v>
      </c>
      <c r="W90" s="1200">
        <f t="shared" si="9"/>
        <v>2.0370313869697756</v>
      </c>
    </row>
    <row r="91" spans="1:23">
      <c r="A91" s="123">
        <f>'Input data'!A127</f>
        <v>2027</v>
      </c>
      <c r="B91" s="1208">
        <f>'Recycling - Case 1'!AI107</f>
        <v>6437.6604656145792</v>
      </c>
      <c r="C91" s="1209">
        <f t="shared" si="18"/>
        <v>0.1</v>
      </c>
      <c r="D91" s="1209">
        <f t="shared" si="10"/>
        <v>0.9</v>
      </c>
      <c r="E91" s="53">
        <v>0</v>
      </c>
      <c r="F91" s="53">
        <v>0</v>
      </c>
      <c r="G91" s="776">
        <f t="shared" si="11"/>
        <v>0.51501283724916636</v>
      </c>
      <c r="H91" s="519">
        <f t="shared" si="12"/>
        <v>23.175577676212484</v>
      </c>
      <c r="I91" s="53"/>
      <c r="J91" s="776">
        <f t="shared" si="13"/>
        <v>1.3905346605727491</v>
      </c>
      <c r="K91" s="527">
        <f>'Recycling - Case 1'!Z147</f>
        <v>3420.7616593626267</v>
      </c>
      <c r="L91" s="1209">
        <f t="shared" si="19"/>
        <v>0.1</v>
      </c>
      <c r="M91" s="1209">
        <f t="shared" si="14"/>
        <v>0.9</v>
      </c>
      <c r="N91" s="53">
        <f t="shared" si="15"/>
        <v>0</v>
      </c>
      <c r="O91" s="53">
        <f t="shared" si="15"/>
        <v>0</v>
      </c>
      <c r="P91" s="178">
        <f t="shared" si="16"/>
        <v>0.27366093274901021</v>
      </c>
      <c r="Q91" s="519">
        <f t="shared" si="5"/>
        <v>12.314741973705457</v>
      </c>
      <c r="R91" s="53"/>
      <c r="S91" s="1211">
        <f t="shared" si="6"/>
        <v>0.73888451842232739</v>
      </c>
      <c r="T91" s="1198">
        <f t="shared" si="9"/>
        <v>0.78867376999817651</v>
      </c>
      <c r="U91" s="1199">
        <f t="shared" si="9"/>
        <v>35.490319649917943</v>
      </c>
      <c r="V91" s="1199">
        <f t="shared" si="9"/>
        <v>0</v>
      </c>
      <c r="W91" s="1200">
        <f t="shared" si="9"/>
        <v>2.1294191789950765</v>
      </c>
    </row>
    <row r="92" spans="1:23">
      <c r="A92" s="123">
        <f>'Input data'!A128</f>
        <v>2028</v>
      </c>
      <c r="B92" s="1208">
        <f>'Recycling - Case 1'!AI108</f>
        <v>6437.6604656145792</v>
      </c>
      <c r="C92" s="1209">
        <f t="shared" si="18"/>
        <v>0.1</v>
      </c>
      <c r="D92" s="1209">
        <f t="shared" si="10"/>
        <v>0.9</v>
      </c>
      <c r="E92" s="53">
        <v>0</v>
      </c>
      <c r="F92" s="53">
        <v>0</v>
      </c>
      <c r="G92" s="776">
        <f t="shared" si="11"/>
        <v>0.51501283724916636</v>
      </c>
      <c r="H92" s="519">
        <f t="shared" si="12"/>
        <v>23.175577676212484</v>
      </c>
      <c r="I92" s="53"/>
      <c r="J92" s="776">
        <f t="shared" si="13"/>
        <v>1.3905346605727491</v>
      </c>
      <c r="K92" s="527">
        <f>'Recycling - Case 1'!Z148</f>
        <v>3471.0300255081979</v>
      </c>
      <c r="L92" s="1209">
        <f t="shared" si="19"/>
        <v>0.1</v>
      </c>
      <c r="M92" s="1209">
        <f t="shared" si="14"/>
        <v>0.9</v>
      </c>
      <c r="N92" s="53">
        <f t="shared" si="15"/>
        <v>0</v>
      </c>
      <c r="O92" s="53">
        <f t="shared" si="15"/>
        <v>0</v>
      </c>
      <c r="P92" s="178">
        <f t="shared" si="16"/>
        <v>0.27768240204065592</v>
      </c>
      <c r="Q92" s="519">
        <f t="shared" si="5"/>
        <v>12.495708091829512</v>
      </c>
      <c r="R92" s="53"/>
      <c r="S92" s="1211">
        <f t="shared" si="6"/>
        <v>0.74974248550977074</v>
      </c>
      <c r="T92" s="1198">
        <f t="shared" si="9"/>
        <v>0.79269523928982233</v>
      </c>
      <c r="U92" s="1199">
        <f t="shared" si="9"/>
        <v>35.671285768041997</v>
      </c>
      <c r="V92" s="1199">
        <f t="shared" si="9"/>
        <v>0</v>
      </c>
      <c r="W92" s="1200">
        <f t="shared" si="9"/>
        <v>2.1402771460825196</v>
      </c>
    </row>
    <row r="93" spans="1:23">
      <c r="A93" s="123">
        <f>'Input data'!A129</f>
        <v>2029</v>
      </c>
      <c r="B93" s="1208">
        <f>'Recycling - Case 1'!AI109</f>
        <v>6437.6604656145792</v>
      </c>
      <c r="C93" s="1209">
        <f t="shared" si="18"/>
        <v>0.1</v>
      </c>
      <c r="D93" s="1209">
        <f t="shared" si="10"/>
        <v>0.9</v>
      </c>
      <c r="E93" s="53">
        <v>0</v>
      </c>
      <c r="F93" s="53">
        <v>0</v>
      </c>
      <c r="G93" s="776">
        <f t="shared" si="11"/>
        <v>0.51501283724916636</v>
      </c>
      <c r="H93" s="519">
        <f t="shared" si="12"/>
        <v>23.175577676212484</v>
      </c>
      <c r="I93" s="53"/>
      <c r="J93" s="776">
        <f t="shared" si="13"/>
        <v>1.3905346605727491</v>
      </c>
      <c r="K93" s="527">
        <f>'Recycling - Case 1'!Z149</f>
        <v>3537.8044223284328</v>
      </c>
      <c r="L93" s="1209">
        <f t="shared" si="19"/>
        <v>0.1</v>
      </c>
      <c r="M93" s="1209">
        <f t="shared" si="14"/>
        <v>0.9</v>
      </c>
      <c r="N93" s="53">
        <f t="shared" si="15"/>
        <v>0</v>
      </c>
      <c r="O93" s="53">
        <f t="shared" si="15"/>
        <v>0</v>
      </c>
      <c r="P93" s="178">
        <f t="shared" si="16"/>
        <v>0.28302435378627466</v>
      </c>
      <c r="Q93" s="519">
        <f t="shared" si="5"/>
        <v>12.736095920382359</v>
      </c>
      <c r="R93" s="53"/>
      <c r="S93" s="1211">
        <f t="shared" si="6"/>
        <v>0.7641657552229415</v>
      </c>
      <c r="T93" s="1198">
        <f t="shared" si="9"/>
        <v>0.79803719103544102</v>
      </c>
      <c r="U93" s="1199">
        <f t="shared" si="9"/>
        <v>35.911673596594845</v>
      </c>
      <c r="V93" s="1199">
        <f t="shared" si="9"/>
        <v>0</v>
      </c>
      <c r="W93" s="1200">
        <f t="shared" si="9"/>
        <v>2.1547004157956904</v>
      </c>
    </row>
    <row r="94" spans="1:23">
      <c r="A94" s="123">
        <f>'Input data'!A130</f>
        <v>2030</v>
      </c>
      <c r="B94" s="1208">
        <f>'Recycling - Case 1'!AI110</f>
        <v>6437.6604656145792</v>
      </c>
      <c r="C94" s="1209">
        <f t="shared" si="18"/>
        <v>0.1</v>
      </c>
      <c r="D94" s="1209">
        <f t="shared" si="10"/>
        <v>0.9</v>
      </c>
      <c r="E94" s="53">
        <v>0</v>
      </c>
      <c r="F94" s="53">
        <v>0</v>
      </c>
      <c r="G94" s="776">
        <f t="shared" si="11"/>
        <v>0.51501283724916636</v>
      </c>
      <c r="H94" s="519">
        <f t="shared" si="12"/>
        <v>23.175577676212484</v>
      </c>
      <c r="I94" s="53"/>
      <c r="J94" s="776">
        <f t="shared" si="13"/>
        <v>1.3905346605727491</v>
      </c>
      <c r="K94" s="527">
        <f>'Recycling - Case 1'!Z150</f>
        <v>3597.8752829754594</v>
      </c>
      <c r="L94" s="1209">
        <f t="shared" si="19"/>
        <v>0.1</v>
      </c>
      <c r="M94" s="1209">
        <f t="shared" si="14"/>
        <v>0.9</v>
      </c>
      <c r="N94" s="53">
        <f t="shared" si="15"/>
        <v>0</v>
      </c>
      <c r="O94" s="53">
        <f t="shared" si="15"/>
        <v>0</v>
      </c>
      <c r="P94" s="178">
        <f t="shared" si="16"/>
        <v>0.28783002263803686</v>
      </c>
      <c r="Q94" s="519">
        <f t="shared" si="5"/>
        <v>12.952351018711653</v>
      </c>
      <c r="R94" s="53"/>
      <c r="S94" s="1211">
        <f t="shared" si="6"/>
        <v>0.77714106112269921</v>
      </c>
      <c r="T94" s="1198">
        <f t="shared" si="9"/>
        <v>0.80284285988720328</v>
      </c>
      <c r="U94" s="1199">
        <f t="shared" si="9"/>
        <v>36.127928694924137</v>
      </c>
      <c r="V94" s="1199">
        <f t="shared" si="9"/>
        <v>0</v>
      </c>
      <c r="W94" s="1200">
        <f t="shared" si="9"/>
        <v>2.1676757216954483</v>
      </c>
    </row>
    <row r="95" spans="1:23">
      <c r="A95" s="123">
        <f>'Input data'!A131</f>
        <v>2031</v>
      </c>
      <c r="B95" s="1208">
        <f>'Recycling - Case 1'!AI111</f>
        <v>6437.6604656145792</v>
      </c>
      <c r="C95" s="1209">
        <f t="shared" si="18"/>
        <v>0.1</v>
      </c>
      <c r="D95" s="1209">
        <f t="shared" si="10"/>
        <v>0.9</v>
      </c>
      <c r="E95" s="53">
        <v>0</v>
      </c>
      <c r="F95" s="53">
        <v>0</v>
      </c>
      <c r="G95" s="776">
        <f t="shared" si="11"/>
        <v>0.51501283724916636</v>
      </c>
      <c r="H95" s="519">
        <f t="shared" si="12"/>
        <v>23.175577676212484</v>
      </c>
      <c r="I95" s="53"/>
      <c r="J95" s="776">
        <f t="shared" si="13"/>
        <v>1.3905346605727491</v>
      </c>
      <c r="K95" s="527">
        <f>'Recycling - Case 1'!Z151</f>
        <v>3668.9827846862445</v>
      </c>
      <c r="L95" s="1209">
        <f t="shared" si="19"/>
        <v>0.1</v>
      </c>
      <c r="M95" s="1209">
        <f t="shared" si="14"/>
        <v>0.9</v>
      </c>
      <c r="N95" s="53">
        <f t="shared" si="15"/>
        <v>0</v>
      </c>
      <c r="O95" s="53">
        <f t="shared" si="15"/>
        <v>0</v>
      </c>
      <c r="P95" s="178">
        <f t="shared" si="16"/>
        <v>0.2935186227748996</v>
      </c>
      <c r="Q95" s="519">
        <f t="shared" si="5"/>
        <v>13.20833802487048</v>
      </c>
      <c r="R95" s="53"/>
      <c r="S95" s="1211">
        <f t="shared" si="6"/>
        <v>0.79250028149222884</v>
      </c>
      <c r="T95" s="1198">
        <f t="shared" si="9"/>
        <v>0.80853146002406595</v>
      </c>
      <c r="U95" s="1199">
        <f t="shared" si="9"/>
        <v>36.383915701082962</v>
      </c>
      <c r="V95" s="1199">
        <f t="shared" si="9"/>
        <v>0</v>
      </c>
      <c r="W95" s="1200">
        <f t="shared" si="9"/>
        <v>2.1830349420649782</v>
      </c>
    </row>
    <row r="96" spans="1:23">
      <c r="A96" s="123">
        <f>'Input data'!A132</f>
        <v>2032</v>
      </c>
      <c r="B96" s="1208">
        <f>'Recycling - Case 1'!AI112</f>
        <v>6437.6604656145792</v>
      </c>
      <c r="C96" s="1209">
        <f t="shared" si="18"/>
        <v>0.1</v>
      </c>
      <c r="D96" s="1209">
        <f t="shared" si="10"/>
        <v>0.9</v>
      </c>
      <c r="E96" s="53">
        <v>0</v>
      </c>
      <c r="F96" s="53">
        <v>0</v>
      </c>
      <c r="G96" s="776">
        <f t="shared" si="11"/>
        <v>0.51501283724916636</v>
      </c>
      <c r="H96" s="519">
        <f t="shared" si="12"/>
        <v>23.175577676212484</v>
      </c>
      <c r="I96" s="53"/>
      <c r="J96" s="776">
        <f t="shared" si="13"/>
        <v>1.3905346605727491</v>
      </c>
      <c r="K96" s="527">
        <f>'Recycling - Case 1'!Z152</f>
        <v>3743.3904051781628</v>
      </c>
      <c r="L96" s="1209">
        <f t="shared" si="19"/>
        <v>0.1</v>
      </c>
      <c r="M96" s="1209">
        <f t="shared" si="14"/>
        <v>0.9</v>
      </c>
      <c r="N96" s="53">
        <f t="shared" si="15"/>
        <v>0</v>
      </c>
      <c r="O96" s="53">
        <f t="shared" si="15"/>
        <v>0</v>
      </c>
      <c r="P96" s="178">
        <f t="shared" si="16"/>
        <v>0.29947123241425311</v>
      </c>
      <c r="Q96" s="519">
        <f t="shared" si="5"/>
        <v>13.476205458641386</v>
      </c>
      <c r="R96" s="53"/>
      <c r="S96" s="1211">
        <f t="shared" si="6"/>
        <v>0.80857232751848307</v>
      </c>
      <c r="T96" s="1198">
        <f t="shared" si="9"/>
        <v>0.81448406966341946</v>
      </c>
      <c r="U96" s="1199">
        <f t="shared" si="9"/>
        <v>36.651783134853872</v>
      </c>
      <c r="V96" s="1199">
        <f t="shared" si="9"/>
        <v>0</v>
      </c>
      <c r="W96" s="1200">
        <f t="shared" si="9"/>
        <v>2.1991069880912324</v>
      </c>
    </row>
    <row r="97" spans="1:23">
      <c r="A97" s="123">
        <f>'Input data'!A133</f>
        <v>2033</v>
      </c>
      <c r="B97" s="1208">
        <f>'Recycling - Case 1'!AI113</f>
        <v>6437.6604656145792</v>
      </c>
      <c r="C97" s="1209">
        <f t="shared" si="18"/>
        <v>0.1</v>
      </c>
      <c r="D97" s="1209">
        <f t="shared" si="10"/>
        <v>0.9</v>
      </c>
      <c r="E97" s="53">
        <v>0</v>
      </c>
      <c r="F97" s="53">
        <v>0</v>
      </c>
      <c r="G97" s="776">
        <f t="shared" si="11"/>
        <v>0.51501283724916636</v>
      </c>
      <c r="H97" s="519">
        <f t="shared" si="12"/>
        <v>23.175577676212484</v>
      </c>
      <c r="I97" s="53"/>
      <c r="J97" s="776">
        <f t="shared" si="13"/>
        <v>1.3905346605727491</v>
      </c>
      <c r="K97" s="527">
        <f>'Recycling - Case 1'!Z153</f>
        <v>3830.9006389526726</v>
      </c>
      <c r="L97" s="1209">
        <f t="shared" si="19"/>
        <v>0.1</v>
      </c>
      <c r="M97" s="1209">
        <f t="shared" si="14"/>
        <v>0.9</v>
      </c>
      <c r="N97" s="53">
        <f t="shared" si="15"/>
        <v>0</v>
      </c>
      <c r="O97" s="53">
        <f t="shared" si="15"/>
        <v>0</v>
      </c>
      <c r="P97" s="178">
        <f t="shared" si="16"/>
        <v>0.30647205111621389</v>
      </c>
      <c r="Q97" s="519">
        <f t="shared" si="5"/>
        <v>13.791242300229621</v>
      </c>
      <c r="R97" s="53"/>
      <c r="S97" s="1211">
        <f t="shared" si="6"/>
        <v>0.82747453801377735</v>
      </c>
      <c r="T97" s="1198">
        <f t="shared" si="9"/>
        <v>0.82148488836538025</v>
      </c>
      <c r="U97" s="1199">
        <f t="shared" si="9"/>
        <v>36.966819976442103</v>
      </c>
      <c r="V97" s="1199">
        <f t="shared" si="9"/>
        <v>0</v>
      </c>
      <c r="W97" s="1200">
        <f t="shared" si="9"/>
        <v>2.2180091985865262</v>
      </c>
    </row>
    <row r="98" spans="1:23">
      <c r="A98" s="123">
        <f>'Input data'!A134</f>
        <v>2034</v>
      </c>
      <c r="B98" s="1208">
        <f>'Recycling - Case 1'!AI114</f>
        <v>6437.6604656145792</v>
      </c>
      <c r="C98" s="1209">
        <f t="shared" si="18"/>
        <v>0.1</v>
      </c>
      <c r="D98" s="1209">
        <f t="shared" si="10"/>
        <v>0.9</v>
      </c>
      <c r="E98" s="53">
        <v>0</v>
      </c>
      <c r="F98" s="53">
        <v>0</v>
      </c>
      <c r="G98" s="776">
        <f t="shared" si="11"/>
        <v>0.51501283724916636</v>
      </c>
      <c r="H98" s="519">
        <f t="shared" si="12"/>
        <v>23.175577676212484</v>
      </c>
      <c r="I98" s="53"/>
      <c r="J98" s="776">
        <f t="shared" si="13"/>
        <v>1.3905346605727491</v>
      </c>
      <c r="K98" s="527">
        <f>'Recycling - Case 1'!Z154</f>
        <v>3926.3322451557001</v>
      </c>
      <c r="L98" s="1209">
        <f t="shared" si="19"/>
        <v>0.1</v>
      </c>
      <c r="M98" s="1209">
        <f t="shared" si="14"/>
        <v>0.9</v>
      </c>
      <c r="N98" s="53">
        <f t="shared" si="15"/>
        <v>0</v>
      </c>
      <c r="O98" s="53">
        <f t="shared" si="15"/>
        <v>0</v>
      </c>
      <c r="P98" s="178">
        <f t="shared" si="16"/>
        <v>0.31410657961245608</v>
      </c>
      <c r="Q98" s="519">
        <f t="shared" si="5"/>
        <v>14.13479608256052</v>
      </c>
      <c r="R98" s="53"/>
      <c r="S98" s="1211">
        <f t="shared" si="6"/>
        <v>0.84808776495363125</v>
      </c>
      <c r="T98" s="1198">
        <f t="shared" si="9"/>
        <v>0.82911941686162249</v>
      </c>
      <c r="U98" s="1199">
        <f t="shared" si="9"/>
        <v>37.310373758773004</v>
      </c>
      <c r="V98" s="1199">
        <f t="shared" si="9"/>
        <v>0</v>
      </c>
      <c r="W98" s="1200">
        <f t="shared" si="9"/>
        <v>2.2386224255263802</v>
      </c>
    </row>
    <row r="99" spans="1:23">
      <c r="A99" s="123">
        <f>'Input data'!A135</f>
        <v>2035</v>
      </c>
      <c r="B99" s="1208">
        <f>'Recycling - Case 1'!AI115</f>
        <v>6437.6604656145792</v>
      </c>
      <c r="C99" s="1209">
        <f t="shared" si="18"/>
        <v>0.1</v>
      </c>
      <c r="D99" s="1209">
        <f t="shared" si="10"/>
        <v>0.9</v>
      </c>
      <c r="E99" s="53">
        <v>0</v>
      </c>
      <c r="F99" s="53">
        <v>0</v>
      </c>
      <c r="G99" s="776">
        <f t="shared" si="11"/>
        <v>0.51501283724916636</v>
      </c>
      <c r="H99" s="519">
        <f t="shared" si="12"/>
        <v>23.175577676212484</v>
      </c>
      <c r="I99" s="53"/>
      <c r="J99" s="776">
        <f t="shared" si="13"/>
        <v>1.3905346605727491</v>
      </c>
      <c r="K99" s="527">
        <f>'Recycling - Case 1'!Z155</f>
        <v>4002.4905052646268</v>
      </c>
      <c r="L99" s="1209">
        <f t="shared" si="19"/>
        <v>0.1</v>
      </c>
      <c r="M99" s="1209">
        <f t="shared" si="14"/>
        <v>0.9</v>
      </c>
      <c r="N99" s="53">
        <f t="shared" ref="N99:O114" si="20">N97</f>
        <v>0</v>
      </c>
      <c r="O99" s="53">
        <f t="shared" si="20"/>
        <v>0</v>
      </c>
      <c r="P99" s="178">
        <f>L99*$D$5*K99/1000-N99</f>
        <v>0.32019924042117021</v>
      </c>
      <c r="Q99" s="519">
        <f t="shared" si="5"/>
        <v>14.408965818952657</v>
      </c>
      <c r="R99" s="53"/>
      <c r="S99" s="1211">
        <f t="shared" si="6"/>
        <v>0.86453794913715931</v>
      </c>
      <c r="T99" s="1198">
        <f t="shared" si="9"/>
        <v>0.83521207767033656</v>
      </c>
      <c r="U99" s="1199">
        <f t="shared" si="9"/>
        <v>37.584543495165143</v>
      </c>
      <c r="V99" s="1199">
        <f t="shared" si="9"/>
        <v>0</v>
      </c>
      <c r="W99" s="1200">
        <f t="shared" si="9"/>
        <v>2.2550726097099085</v>
      </c>
    </row>
    <row r="100" spans="1:23">
      <c r="A100" s="123">
        <f>'Input data'!A136</f>
        <v>2036</v>
      </c>
      <c r="B100" s="1208">
        <f>'Recycling - Case 1'!AI116</f>
        <v>6437.6604656145792</v>
      </c>
      <c r="C100" s="1209">
        <f t="shared" si="18"/>
        <v>0.1</v>
      </c>
      <c r="D100" s="1209">
        <f t="shared" si="10"/>
        <v>0.9</v>
      </c>
      <c r="E100" s="53">
        <v>0</v>
      </c>
      <c r="F100" s="53">
        <v>0</v>
      </c>
      <c r="G100" s="776">
        <f t="shared" si="11"/>
        <v>0.51501283724916636</v>
      </c>
      <c r="H100" s="519">
        <f t="shared" si="12"/>
        <v>23.175577676212484</v>
      </c>
      <c r="I100" s="53"/>
      <c r="J100" s="776">
        <f>D100*$D$7*B100/1000</f>
        <v>1.3905346605727491</v>
      </c>
      <c r="K100" s="527">
        <f>'Recycling - Case 1'!Z156</f>
        <v>4078.7466272155002</v>
      </c>
      <c r="L100" s="1209">
        <f t="shared" si="19"/>
        <v>0.1</v>
      </c>
      <c r="M100" s="1209">
        <f t="shared" si="14"/>
        <v>0.9</v>
      </c>
      <c r="N100" s="53">
        <f t="shared" si="20"/>
        <v>0</v>
      </c>
      <c r="O100" s="53">
        <f t="shared" si="20"/>
        <v>0</v>
      </c>
      <c r="P100" s="178">
        <f t="shared" si="16"/>
        <v>0.32629973017724007</v>
      </c>
      <c r="Q100" s="519">
        <f t="shared" si="5"/>
        <v>14.6834878579758</v>
      </c>
      <c r="R100" s="53"/>
      <c r="S100" s="1211">
        <f t="shared" si="6"/>
        <v>0.88100927147854802</v>
      </c>
      <c r="T100" s="1198">
        <f t="shared" si="9"/>
        <v>0.84131256742640637</v>
      </c>
      <c r="U100" s="1199">
        <f t="shared" si="9"/>
        <v>37.859065534188282</v>
      </c>
      <c r="V100" s="1199">
        <f t="shared" si="9"/>
        <v>0</v>
      </c>
      <c r="W100" s="1200">
        <f t="shared" si="9"/>
        <v>2.2715439320512969</v>
      </c>
    </row>
    <row r="101" spans="1:23">
      <c r="A101" s="123">
        <f>'Input data'!A137</f>
        <v>2037</v>
      </c>
      <c r="B101" s="1208">
        <f>'Recycling - Case 1'!AI117</f>
        <v>6437.6604656145792</v>
      </c>
      <c r="C101" s="1209">
        <f t="shared" si="18"/>
        <v>0.1</v>
      </c>
      <c r="D101" s="1209">
        <f t="shared" si="10"/>
        <v>0.9</v>
      </c>
      <c r="E101" s="53">
        <v>0</v>
      </c>
      <c r="F101" s="53">
        <v>0</v>
      </c>
      <c r="G101" s="776">
        <f t="shared" si="11"/>
        <v>0.51501283724916636</v>
      </c>
      <c r="H101" s="519">
        <f t="shared" si="12"/>
        <v>23.175577676212484</v>
      </c>
      <c r="I101" s="53"/>
      <c r="J101" s="776">
        <f t="shared" si="13"/>
        <v>1.3905346605727491</v>
      </c>
      <c r="K101" s="527">
        <f>'Recycling - Case 1'!Z157</f>
        <v>4167.9694432240412</v>
      </c>
      <c r="L101" s="1209">
        <f t="shared" si="19"/>
        <v>0.1</v>
      </c>
      <c r="M101" s="1209">
        <f t="shared" si="14"/>
        <v>0.9</v>
      </c>
      <c r="N101" s="53">
        <f t="shared" si="20"/>
        <v>0</v>
      </c>
      <c r="O101" s="53">
        <f t="shared" si="20"/>
        <v>0</v>
      </c>
      <c r="P101" s="178">
        <f t="shared" si="16"/>
        <v>0.33343755545792336</v>
      </c>
      <c r="Q101" s="519">
        <f t="shared" si="5"/>
        <v>15.004689995606547</v>
      </c>
      <c r="R101" s="53"/>
      <c r="S101" s="1211">
        <f t="shared" si="6"/>
        <v>0.90028139973639287</v>
      </c>
      <c r="T101" s="1198">
        <f t="shared" si="9"/>
        <v>0.84845039270708966</v>
      </c>
      <c r="U101" s="1199">
        <f t="shared" si="9"/>
        <v>38.180267671819031</v>
      </c>
      <c r="V101" s="1199">
        <f t="shared" si="9"/>
        <v>0</v>
      </c>
      <c r="W101" s="1200">
        <f t="shared" si="9"/>
        <v>2.2908160603091421</v>
      </c>
    </row>
    <row r="102" spans="1:23">
      <c r="A102" s="123">
        <f>'Input data'!A138</f>
        <v>2038</v>
      </c>
      <c r="B102" s="1208">
        <f>'Recycling - Case 1'!AI118</f>
        <v>6437.6604656145792</v>
      </c>
      <c r="C102" s="1209">
        <f t="shared" si="18"/>
        <v>0.1</v>
      </c>
      <c r="D102" s="1209">
        <f t="shared" si="10"/>
        <v>0.9</v>
      </c>
      <c r="E102" s="53">
        <v>0</v>
      </c>
      <c r="F102" s="53">
        <v>0</v>
      </c>
      <c r="G102" s="776">
        <f t="shared" si="11"/>
        <v>0.51501283724916636</v>
      </c>
      <c r="H102" s="519">
        <f t="shared" si="12"/>
        <v>23.175577676212484</v>
      </c>
      <c r="I102" s="53"/>
      <c r="J102" s="776">
        <f t="shared" si="13"/>
        <v>1.3905346605727491</v>
      </c>
      <c r="K102" s="527">
        <f>'Recycling - Case 1'!Z158</f>
        <v>4255.0991031687627</v>
      </c>
      <c r="L102" s="1209">
        <f t="shared" si="19"/>
        <v>0.1</v>
      </c>
      <c r="M102" s="1209">
        <f t="shared" si="14"/>
        <v>0.9</v>
      </c>
      <c r="N102" s="53">
        <f t="shared" si="20"/>
        <v>0</v>
      </c>
      <c r="O102" s="53">
        <f t="shared" si="20"/>
        <v>0</v>
      </c>
      <c r="P102" s="178">
        <f t="shared" si="16"/>
        <v>0.34040792825350108</v>
      </c>
      <c r="Q102" s="519">
        <f t="shared" si="5"/>
        <v>15.318356771407545</v>
      </c>
      <c r="R102" s="53"/>
      <c r="S102" s="1211">
        <f t="shared" si="6"/>
        <v>0.9191014062844528</v>
      </c>
      <c r="T102" s="1198">
        <f t="shared" si="9"/>
        <v>0.85542076550266744</v>
      </c>
      <c r="U102" s="1199">
        <f t="shared" si="9"/>
        <v>38.493934447620028</v>
      </c>
      <c r="V102" s="1199">
        <f t="shared" si="9"/>
        <v>0</v>
      </c>
      <c r="W102" s="1200">
        <f t="shared" si="9"/>
        <v>2.3096360668572018</v>
      </c>
    </row>
    <row r="103" spans="1:23">
      <c r="A103" s="123">
        <f>'Input data'!A139</f>
        <v>2039</v>
      </c>
      <c r="B103" s="1208">
        <f>'Recycling - Case 1'!AI119</f>
        <v>6437.6604656145792</v>
      </c>
      <c r="C103" s="1209">
        <f t="shared" si="18"/>
        <v>0.1</v>
      </c>
      <c r="D103" s="1209">
        <f t="shared" si="10"/>
        <v>0.9</v>
      </c>
      <c r="E103" s="53">
        <v>0</v>
      </c>
      <c r="F103" s="53">
        <v>0</v>
      </c>
      <c r="G103" s="776">
        <f t="shared" si="11"/>
        <v>0.51501283724916636</v>
      </c>
      <c r="H103" s="519">
        <f t="shared" si="12"/>
        <v>23.175577676212484</v>
      </c>
      <c r="I103" s="53"/>
      <c r="J103" s="776">
        <f t="shared" si="13"/>
        <v>1.3905346605727491</v>
      </c>
      <c r="K103" s="527">
        <f>'Recycling - Case 1'!Z159</f>
        <v>4348.4810474599535</v>
      </c>
      <c r="L103" s="1209">
        <f t="shared" si="19"/>
        <v>0.1</v>
      </c>
      <c r="M103" s="1209">
        <f t="shared" si="14"/>
        <v>0.9</v>
      </c>
      <c r="N103" s="53">
        <f t="shared" si="20"/>
        <v>0</v>
      </c>
      <c r="O103" s="53">
        <f t="shared" si="20"/>
        <v>0</v>
      </c>
      <c r="P103" s="178">
        <f t="shared" si="16"/>
        <v>0.34787848379679631</v>
      </c>
      <c r="Q103" s="519">
        <f t="shared" si="5"/>
        <v>15.654531770855833</v>
      </c>
      <c r="R103" s="53"/>
      <c r="S103" s="1211">
        <f t="shared" si="6"/>
        <v>0.93927190625134993</v>
      </c>
      <c r="T103" s="1198">
        <f t="shared" si="9"/>
        <v>0.86289132104596267</v>
      </c>
      <c r="U103" s="1199">
        <f t="shared" si="9"/>
        <v>38.830109447068317</v>
      </c>
      <c r="V103" s="1199">
        <f t="shared" si="9"/>
        <v>0</v>
      </c>
      <c r="W103" s="1200">
        <f t="shared" si="9"/>
        <v>2.3298065668240993</v>
      </c>
    </row>
    <row r="104" spans="1:23">
      <c r="A104" s="123">
        <f>'Input data'!A140</f>
        <v>2040</v>
      </c>
      <c r="B104" s="1208">
        <f>'Recycling - Case 1'!AI120</f>
        <v>6437.6604656145792</v>
      </c>
      <c r="C104" s="1209">
        <f t="shared" si="18"/>
        <v>0.1</v>
      </c>
      <c r="D104" s="1209">
        <f t="shared" si="10"/>
        <v>0.9</v>
      </c>
      <c r="E104" s="53">
        <v>0</v>
      </c>
      <c r="F104" s="53">
        <v>0</v>
      </c>
      <c r="G104" s="776">
        <f t="shared" si="11"/>
        <v>0.51501283724916636</v>
      </c>
      <c r="H104" s="519">
        <f t="shared" si="12"/>
        <v>23.175577676212484</v>
      </c>
      <c r="I104" s="53"/>
      <c r="J104" s="776">
        <f t="shared" si="13"/>
        <v>1.3905346605727491</v>
      </c>
      <c r="K104" s="527">
        <f>'Recycling - Case 1'!Z160</f>
        <v>4442.1783243529617</v>
      </c>
      <c r="L104" s="1209">
        <f t="shared" si="19"/>
        <v>0.1</v>
      </c>
      <c r="M104" s="1209">
        <f t="shared" si="14"/>
        <v>0.9</v>
      </c>
      <c r="N104" s="53">
        <f t="shared" si="20"/>
        <v>0</v>
      </c>
      <c r="O104" s="53">
        <f t="shared" si="20"/>
        <v>0</v>
      </c>
      <c r="P104" s="178">
        <f t="shared" si="16"/>
        <v>0.35537426594823701</v>
      </c>
      <c r="Q104" s="519">
        <f t="shared" si="5"/>
        <v>15.991841967670661</v>
      </c>
      <c r="R104" s="53"/>
      <c r="S104" s="1211">
        <f t="shared" si="6"/>
        <v>0.95951051806023979</v>
      </c>
      <c r="T104" s="1198">
        <f t="shared" si="9"/>
        <v>0.87038710319740331</v>
      </c>
      <c r="U104" s="1199">
        <f t="shared" si="9"/>
        <v>39.167419643883143</v>
      </c>
      <c r="V104" s="1199">
        <f t="shared" si="9"/>
        <v>0</v>
      </c>
      <c r="W104" s="1200">
        <f t="shared" si="9"/>
        <v>2.350045178632989</v>
      </c>
    </row>
    <row r="105" spans="1:23">
      <c r="A105" s="123">
        <f>'Input data'!A141</f>
        <v>2041</v>
      </c>
      <c r="B105" s="1208">
        <f>'Recycling - Case 1'!AI121</f>
        <v>6437.6604656145792</v>
      </c>
      <c r="C105" s="1209">
        <f t="shared" si="18"/>
        <v>0.1</v>
      </c>
      <c r="D105" s="1209">
        <f t="shared" si="10"/>
        <v>0.9</v>
      </c>
      <c r="E105" s="53">
        <v>0</v>
      </c>
      <c r="F105" s="53">
        <v>0</v>
      </c>
      <c r="G105" s="776">
        <f t="shared" si="11"/>
        <v>0.51501283724916636</v>
      </c>
      <c r="H105" s="519">
        <f t="shared" si="12"/>
        <v>23.175577676212484</v>
      </c>
      <c r="I105" s="53"/>
      <c r="J105" s="776">
        <f t="shared" si="13"/>
        <v>1.3905346605727491</v>
      </c>
      <c r="K105" s="527">
        <f>'Recycling - Case 1'!Z161</f>
        <v>4547.532033975378</v>
      </c>
      <c r="L105" s="1209">
        <f t="shared" si="19"/>
        <v>0.1</v>
      </c>
      <c r="M105" s="1209">
        <f t="shared" si="14"/>
        <v>0.9</v>
      </c>
      <c r="N105" s="53">
        <f t="shared" si="20"/>
        <v>0</v>
      </c>
      <c r="O105" s="53">
        <f t="shared" si="20"/>
        <v>0</v>
      </c>
      <c r="P105" s="178">
        <f t="shared" si="16"/>
        <v>0.3638025627180303</v>
      </c>
      <c r="Q105" s="519">
        <f t="shared" si="5"/>
        <v>16.371115322311361</v>
      </c>
      <c r="R105" s="53"/>
      <c r="S105" s="1211">
        <f t="shared" si="6"/>
        <v>0.9822669193386816</v>
      </c>
      <c r="T105" s="1198">
        <f t="shared" si="9"/>
        <v>0.8788153999671966</v>
      </c>
      <c r="U105" s="1199">
        <f t="shared" si="9"/>
        <v>39.546692998523845</v>
      </c>
      <c r="V105" s="1199">
        <f t="shared" si="9"/>
        <v>0</v>
      </c>
      <c r="W105" s="1200">
        <f t="shared" si="9"/>
        <v>2.3728015799114308</v>
      </c>
    </row>
    <row r="106" spans="1:23">
      <c r="A106" s="123">
        <f>'Input data'!A142</f>
        <v>2042</v>
      </c>
      <c r="B106" s="1208">
        <f>'Recycling - Case 1'!AI122</f>
        <v>6437.6604656145792</v>
      </c>
      <c r="C106" s="1209">
        <f t="shared" si="18"/>
        <v>0.1</v>
      </c>
      <c r="D106" s="1209">
        <f t="shared" si="10"/>
        <v>0.9</v>
      </c>
      <c r="E106" s="53">
        <v>0</v>
      </c>
      <c r="F106" s="53">
        <v>0</v>
      </c>
      <c r="G106" s="776">
        <f t="shared" si="11"/>
        <v>0.51501283724916636</v>
      </c>
      <c r="H106" s="519">
        <f t="shared" si="12"/>
        <v>23.175577676212484</v>
      </c>
      <c r="I106" s="53"/>
      <c r="J106" s="776">
        <f t="shared" si="13"/>
        <v>1.3905346605727491</v>
      </c>
      <c r="K106" s="527">
        <f>'Recycling - Case 1'!Z162</f>
        <v>4654.5439581418577</v>
      </c>
      <c r="L106" s="1209">
        <f t="shared" si="19"/>
        <v>0.1</v>
      </c>
      <c r="M106" s="1209">
        <f t="shared" si="14"/>
        <v>0.9</v>
      </c>
      <c r="N106" s="53">
        <f t="shared" si="20"/>
        <v>0</v>
      </c>
      <c r="O106" s="53">
        <f t="shared" si="20"/>
        <v>0</v>
      </c>
      <c r="P106" s="178">
        <f t="shared" si="16"/>
        <v>0.3723635166513487</v>
      </c>
      <c r="Q106" s="519">
        <f t="shared" si="5"/>
        <v>16.756358249310686</v>
      </c>
      <c r="R106" s="53"/>
      <c r="S106" s="1211">
        <f t="shared" si="6"/>
        <v>1.0053814949586413</v>
      </c>
      <c r="T106" s="1198">
        <f t="shared" si="9"/>
        <v>0.88737635390051506</v>
      </c>
      <c r="U106" s="1199">
        <f t="shared" si="9"/>
        <v>39.93193592552317</v>
      </c>
      <c r="V106" s="1199">
        <f t="shared" si="9"/>
        <v>0</v>
      </c>
      <c r="W106" s="1200">
        <f t="shared" si="9"/>
        <v>2.3959161555313901</v>
      </c>
    </row>
    <row r="107" spans="1:23">
      <c r="A107" s="123">
        <f>'Input data'!A143</f>
        <v>2043</v>
      </c>
      <c r="B107" s="1208">
        <f>'Recycling - Case 1'!AI123</f>
        <v>6437.6604656145792</v>
      </c>
      <c r="C107" s="1209">
        <f t="shared" si="18"/>
        <v>0.1</v>
      </c>
      <c r="D107" s="1209">
        <f t="shared" si="10"/>
        <v>0.9</v>
      </c>
      <c r="E107" s="53">
        <v>0</v>
      </c>
      <c r="F107" s="53">
        <v>0</v>
      </c>
      <c r="G107" s="776">
        <f t="shared" si="11"/>
        <v>0.51501283724916636</v>
      </c>
      <c r="H107" s="519">
        <f t="shared" si="12"/>
        <v>23.175577676212484</v>
      </c>
      <c r="I107" s="53"/>
      <c r="J107" s="776">
        <f t="shared" si="13"/>
        <v>1.3905346605727491</v>
      </c>
      <c r="K107" s="527">
        <f>'Recycling - Case 1'!Z163</f>
        <v>4764.3177609587738</v>
      </c>
      <c r="L107" s="1209">
        <f t="shared" si="19"/>
        <v>0.1</v>
      </c>
      <c r="M107" s="1209">
        <f t="shared" si="14"/>
        <v>0.9</v>
      </c>
      <c r="N107" s="53">
        <f t="shared" si="20"/>
        <v>0</v>
      </c>
      <c r="O107" s="53">
        <f t="shared" si="20"/>
        <v>0</v>
      </c>
      <c r="P107" s="178">
        <f t="shared" si="16"/>
        <v>0.38114542087670195</v>
      </c>
      <c r="Q107" s="519">
        <f t="shared" si="5"/>
        <v>17.151543939451585</v>
      </c>
      <c r="R107" s="53"/>
      <c r="S107" s="1211">
        <f t="shared" si="6"/>
        <v>1.0290926363670951</v>
      </c>
      <c r="T107" s="1198">
        <f t="shared" si="9"/>
        <v>0.89615825812586825</v>
      </c>
      <c r="U107" s="1199">
        <f t="shared" si="9"/>
        <v>40.327121615664069</v>
      </c>
      <c r="V107" s="1199">
        <f t="shared" si="9"/>
        <v>0</v>
      </c>
      <c r="W107" s="1200">
        <f t="shared" si="9"/>
        <v>2.4196272969398445</v>
      </c>
    </row>
    <row r="108" spans="1:23">
      <c r="A108" s="123">
        <f>'Input data'!A144</f>
        <v>2044</v>
      </c>
      <c r="B108" s="1208">
        <f>'Recycling - Case 1'!AI124</f>
        <v>6437.6604656145792</v>
      </c>
      <c r="C108" s="1209">
        <f t="shared" si="18"/>
        <v>0.1</v>
      </c>
      <c r="D108" s="1209">
        <f t="shared" si="10"/>
        <v>0.9</v>
      </c>
      <c r="E108" s="53">
        <v>0</v>
      </c>
      <c r="F108" s="53">
        <v>0</v>
      </c>
      <c r="G108" s="776">
        <f t="shared" si="11"/>
        <v>0.51501283724916636</v>
      </c>
      <c r="H108" s="519">
        <f t="shared" si="12"/>
        <v>23.175577676212484</v>
      </c>
      <c r="I108" s="53"/>
      <c r="J108" s="776">
        <f t="shared" si="13"/>
        <v>1.3905346605727491</v>
      </c>
      <c r="K108" s="527">
        <f>'Recycling - Case 1'!Z164</f>
        <v>4878.3539906692804</v>
      </c>
      <c r="L108" s="1209">
        <f t="shared" si="19"/>
        <v>0.1</v>
      </c>
      <c r="M108" s="1209">
        <f t="shared" si="14"/>
        <v>0.9</v>
      </c>
      <c r="N108" s="53">
        <f t="shared" si="20"/>
        <v>0</v>
      </c>
      <c r="O108" s="53">
        <f t="shared" si="20"/>
        <v>0</v>
      </c>
      <c r="P108" s="178">
        <f t="shared" si="16"/>
        <v>0.39026831925354255</v>
      </c>
      <c r="Q108" s="519">
        <f t="shared" si="5"/>
        <v>17.562074366409412</v>
      </c>
      <c r="R108" s="53"/>
      <c r="S108" s="1211">
        <f t="shared" si="6"/>
        <v>1.0537244619845647</v>
      </c>
      <c r="T108" s="1198">
        <f t="shared" si="9"/>
        <v>0.90528115650270891</v>
      </c>
      <c r="U108" s="1199">
        <f t="shared" si="9"/>
        <v>40.737652042621896</v>
      </c>
      <c r="V108" s="1199">
        <f t="shared" si="9"/>
        <v>0</v>
      </c>
      <c r="W108" s="1200">
        <f t="shared" si="9"/>
        <v>2.4442591225573138</v>
      </c>
    </row>
    <row r="109" spans="1:23">
      <c r="A109" s="123">
        <f>'Input data'!A145</f>
        <v>2045</v>
      </c>
      <c r="B109" s="1208">
        <f>'Recycling - Case 1'!AI125</f>
        <v>6437.6604656145792</v>
      </c>
      <c r="C109" s="1209">
        <f t="shared" si="18"/>
        <v>0.1</v>
      </c>
      <c r="D109" s="1209">
        <f t="shared" si="10"/>
        <v>0.9</v>
      </c>
      <c r="E109" s="53">
        <v>0</v>
      </c>
      <c r="F109" s="53">
        <v>0</v>
      </c>
      <c r="G109" s="776">
        <f t="shared" si="11"/>
        <v>0.51501283724916636</v>
      </c>
      <c r="H109" s="519">
        <f t="shared" si="12"/>
        <v>23.175577676212484</v>
      </c>
      <c r="I109" s="53"/>
      <c r="J109" s="776">
        <f t="shared" si="13"/>
        <v>1.3905346605727491</v>
      </c>
      <c r="K109" s="527">
        <f>'Recycling - Case 1'!Z165</f>
        <v>4997.2071977110627</v>
      </c>
      <c r="L109" s="1209">
        <f t="shared" si="19"/>
        <v>0.1</v>
      </c>
      <c r="M109" s="1209">
        <f t="shared" si="14"/>
        <v>0.9</v>
      </c>
      <c r="N109" s="53">
        <f t="shared" si="20"/>
        <v>0</v>
      </c>
      <c r="O109" s="53">
        <f t="shared" si="20"/>
        <v>0</v>
      </c>
      <c r="P109" s="178">
        <f t="shared" si="16"/>
        <v>0.39977657581688508</v>
      </c>
      <c r="Q109" s="519">
        <f t="shared" si="5"/>
        <v>17.989945911759825</v>
      </c>
      <c r="R109" s="53"/>
      <c r="S109" s="1211">
        <f t="shared" si="6"/>
        <v>1.0793967547055896</v>
      </c>
      <c r="T109" s="1198">
        <f t="shared" si="9"/>
        <v>0.91478941306605144</v>
      </c>
      <c r="U109" s="1199">
        <f t="shared" si="9"/>
        <v>41.165523587972309</v>
      </c>
      <c r="V109" s="1199">
        <f t="shared" si="9"/>
        <v>0</v>
      </c>
      <c r="W109" s="1200">
        <f t="shared" si="9"/>
        <v>2.4699314152783387</v>
      </c>
    </row>
    <row r="110" spans="1:23">
      <c r="A110" s="123">
        <f>'Input data'!A146</f>
        <v>2046</v>
      </c>
      <c r="B110" s="1208">
        <f>'Recycling - Case 1'!AI126</f>
        <v>6437.6604656145792</v>
      </c>
      <c r="C110" s="1209">
        <f t="shared" si="18"/>
        <v>0.1</v>
      </c>
      <c r="D110" s="1209">
        <f t="shared" si="10"/>
        <v>0.9</v>
      </c>
      <c r="E110" s="53">
        <v>0</v>
      </c>
      <c r="F110" s="53">
        <v>0</v>
      </c>
      <c r="G110" s="776">
        <f t="shared" si="11"/>
        <v>0.51501283724916636</v>
      </c>
      <c r="H110" s="519">
        <f t="shared" si="12"/>
        <v>23.175577676212484</v>
      </c>
      <c r="I110" s="53"/>
      <c r="J110" s="776">
        <f t="shared" si="13"/>
        <v>1.3905346605727491</v>
      </c>
      <c r="K110" s="527">
        <f>'Recycling - Case 1'!Z166</f>
        <v>5124.3025465521841</v>
      </c>
      <c r="L110" s="1209">
        <f t="shared" si="19"/>
        <v>0.1</v>
      </c>
      <c r="M110" s="1209">
        <f t="shared" si="14"/>
        <v>0.9</v>
      </c>
      <c r="N110" s="53">
        <f t="shared" si="20"/>
        <v>0</v>
      </c>
      <c r="O110" s="53">
        <f t="shared" si="20"/>
        <v>0</v>
      </c>
      <c r="P110" s="178">
        <f t="shared" si="16"/>
        <v>0.40994420372417484</v>
      </c>
      <c r="Q110" s="519">
        <f t="shared" si="5"/>
        <v>18.447489167587865</v>
      </c>
      <c r="R110" s="53"/>
      <c r="S110" s="1211">
        <f t="shared" si="6"/>
        <v>1.1068493500552719</v>
      </c>
      <c r="T110" s="1198">
        <f t="shared" si="9"/>
        <v>0.92495704097334119</v>
      </c>
      <c r="U110" s="1199">
        <f t="shared" si="9"/>
        <v>41.623066843800345</v>
      </c>
      <c r="V110" s="1199">
        <f t="shared" si="9"/>
        <v>0</v>
      </c>
      <c r="W110" s="1200">
        <f t="shared" si="9"/>
        <v>2.497384010628021</v>
      </c>
    </row>
    <row r="111" spans="1:23">
      <c r="A111" s="123">
        <f>'Input data'!A147</f>
        <v>2047</v>
      </c>
      <c r="B111" s="1208">
        <f>'Recycling - Case 1'!AI127</f>
        <v>6437.6604656145792</v>
      </c>
      <c r="C111" s="1209">
        <f t="shared" si="18"/>
        <v>0.1</v>
      </c>
      <c r="D111" s="1209">
        <f t="shared" si="10"/>
        <v>0.9</v>
      </c>
      <c r="E111" s="53">
        <v>0</v>
      </c>
      <c r="F111" s="53">
        <v>0</v>
      </c>
      <c r="G111" s="776">
        <f t="shared" si="11"/>
        <v>0.51501283724916636</v>
      </c>
      <c r="H111" s="519">
        <f t="shared" si="12"/>
        <v>23.175577676212484</v>
      </c>
      <c r="I111" s="53"/>
      <c r="J111" s="776">
        <f t="shared" si="13"/>
        <v>1.3905346605727491</v>
      </c>
      <c r="K111" s="527">
        <f>'Recycling - Case 1'!Z167</f>
        <v>5203.2226853115508</v>
      </c>
      <c r="L111" s="1209">
        <f t="shared" si="19"/>
        <v>0.1</v>
      </c>
      <c r="M111" s="1209">
        <f t="shared" si="14"/>
        <v>0.9</v>
      </c>
      <c r="N111" s="53">
        <f t="shared" si="20"/>
        <v>0</v>
      </c>
      <c r="O111" s="53">
        <f t="shared" si="20"/>
        <v>0</v>
      </c>
      <c r="P111" s="178">
        <f t="shared" si="16"/>
        <v>0.41625781482492413</v>
      </c>
      <c r="Q111" s="519">
        <f t="shared" si="5"/>
        <v>18.731601667121584</v>
      </c>
      <c r="R111" s="53"/>
      <c r="S111" s="1211">
        <f t="shared" si="6"/>
        <v>1.1238961000272949</v>
      </c>
      <c r="T111" s="1198">
        <f t="shared" si="9"/>
        <v>0.93127065207409054</v>
      </c>
      <c r="U111" s="1199">
        <f t="shared" si="9"/>
        <v>41.907179343334064</v>
      </c>
      <c r="V111" s="1199">
        <f t="shared" si="9"/>
        <v>0</v>
      </c>
      <c r="W111" s="1200">
        <f t="shared" si="9"/>
        <v>2.5144307606000442</v>
      </c>
    </row>
    <row r="112" spans="1:23">
      <c r="A112" s="123">
        <f>'Input data'!A148</f>
        <v>2048</v>
      </c>
      <c r="B112" s="1208">
        <f>'Recycling - Case 1'!AI128</f>
        <v>6437.6604656145792</v>
      </c>
      <c r="C112" s="1209">
        <f t="shared" si="18"/>
        <v>0.1</v>
      </c>
      <c r="D112" s="1209">
        <f t="shared" si="10"/>
        <v>0.9</v>
      </c>
      <c r="E112" s="53">
        <v>0</v>
      </c>
      <c r="F112" s="53">
        <v>0</v>
      </c>
      <c r="G112" s="776">
        <f t="shared" si="11"/>
        <v>0.51501283724916636</v>
      </c>
      <c r="H112" s="519">
        <f t="shared" si="12"/>
        <v>23.175577676212484</v>
      </c>
      <c r="I112" s="53"/>
      <c r="J112" s="776">
        <f t="shared" si="13"/>
        <v>1.3905346605727491</v>
      </c>
      <c r="K112" s="527">
        <f>'Recycling - Case 1'!Z168</f>
        <v>5276.7441124569687</v>
      </c>
      <c r="L112" s="1209">
        <f t="shared" si="19"/>
        <v>0.1</v>
      </c>
      <c r="M112" s="1209">
        <f t="shared" si="14"/>
        <v>0.9</v>
      </c>
      <c r="N112" s="53">
        <f t="shared" si="20"/>
        <v>0</v>
      </c>
      <c r="O112" s="53">
        <f t="shared" si="20"/>
        <v>0</v>
      </c>
      <c r="P112" s="178">
        <f t="shared" si="16"/>
        <v>0.4221395289965576</v>
      </c>
      <c r="Q112" s="519">
        <f t="shared" si="5"/>
        <v>18.99627880484509</v>
      </c>
      <c r="R112" s="53"/>
      <c r="S112" s="1211">
        <f t="shared" si="6"/>
        <v>1.1397767282907052</v>
      </c>
      <c r="T112" s="1198">
        <f t="shared" si="9"/>
        <v>0.93715236624572396</v>
      </c>
      <c r="U112" s="1199">
        <f t="shared" si="9"/>
        <v>42.171856481057574</v>
      </c>
      <c r="V112" s="1199">
        <f t="shared" si="9"/>
        <v>0</v>
      </c>
      <c r="W112" s="1200">
        <f t="shared" si="9"/>
        <v>2.5303113888634545</v>
      </c>
    </row>
    <row r="113" spans="1:23">
      <c r="A113" s="123">
        <f>'Input data'!A149</f>
        <v>2049</v>
      </c>
      <c r="B113" s="1208">
        <f>'Recycling - Case 1'!AI129</f>
        <v>6437.6604656145792</v>
      </c>
      <c r="C113" s="1209">
        <f t="shared" si="18"/>
        <v>0.1</v>
      </c>
      <c r="D113" s="1209">
        <f t="shared" si="10"/>
        <v>0.9</v>
      </c>
      <c r="E113" s="53">
        <v>0</v>
      </c>
      <c r="F113" s="53">
        <v>0</v>
      </c>
      <c r="G113" s="776">
        <f t="shared" si="11"/>
        <v>0.51501283724916636</v>
      </c>
      <c r="H113" s="519">
        <f t="shared" si="12"/>
        <v>23.175577676212484</v>
      </c>
      <c r="I113" s="53"/>
      <c r="J113" s="776">
        <f t="shared" si="13"/>
        <v>1.3905346605727491</v>
      </c>
      <c r="K113" s="527">
        <f>'Recycling - Case 1'!Z169</f>
        <v>5349.9991379215398</v>
      </c>
      <c r="L113" s="1209">
        <f t="shared" si="19"/>
        <v>0.1</v>
      </c>
      <c r="M113" s="1209">
        <f t="shared" si="14"/>
        <v>0.9</v>
      </c>
      <c r="N113" s="53">
        <f t="shared" si="20"/>
        <v>0</v>
      </c>
      <c r="O113" s="53">
        <f t="shared" si="20"/>
        <v>0</v>
      </c>
      <c r="P113" s="776">
        <f t="shared" si="8"/>
        <v>0.42799993103372325</v>
      </c>
      <c r="Q113" s="519">
        <f t="shared" si="5"/>
        <v>19.259996896517542</v>
      </c>
      <c r="R113" s="53"/>
      <c r="S113" s="1211">
        <f t="shared" si="6"/>
        <v>1.1555998137910526</v>
      </c>
      <c r="T113" s="1198">
        <f t="shared" si="9"/>
        <v>0.9430127682828896</v>
      </c>
      <c r="U113" s="1199">
        <f t="shared" si="9"/>
        <v>42.435574572730026</v>
      </c>
      <c r="V113" s="1199">
        <f t="shared" si="9"/>
        <v>0</v>
      </c>
      <c r="W113" s="1200">
        <f t="shared" si="9"/>
        <v>2.5461344743638019</v>
      </c>
    </row>
    <row r="114" spans="1:23" ht="15.75" thickBot="1">
      <c r="A114" s="123">
        <f>'Input data'!A150</f>
        <v>2050</v>
      </c>
      <c r="B114" s="1208">
        <f>'Recycling - Case 1'!AI130</f>
        <v>6437.6604656145792</v>
      </c>
      <c r="C114" s="578">
        <f t="shared" si="18"/>
        <v>0.1</v>
      </c>
      <c r="D114" s="578">
        <f t="shared" si="10"/>
        <v>0.9</v>
      </c>
      <c r="E114" s="1212">
        <v>0</v>
      </c>
      <c r="F114" s="1212">
        <v>0</v>
      </c>
      <c r="G114" s="776">
        <f t="shared" si="11"/>
        <v>0.51501283724916636</v>
      </c>
      <c r="H114" s="519">
        <f t="shared" si="12"/>
        <v>23.175577676212484</v>
      </c>
      <c r="I114" s="1212"/>
      <c r="J114" s="1213">
        <f t="shared" si="13"/>
        <v>1.3905346605727491</v>
      </c>
      <c r="K114" s="527">
        <f>'Recycling - Case 1'!Z170</f>
        <v>5421.623132687032</v>
      </c>
      <c r="L114" s="578">
        <f t="shared" si="19"/>
        <v>0.1</v>
      </c>
      <c r="M114" s="578">
        <f t="shared" si="14"/>
        <v>0.9</v>
      </c>
      <c r="N114" s="1212">
        <f t="shared" si="20"/>
        <v>0</v>
      </c>
      <c r="O114" s="1212">
        <f t="shared" si="20"/>
        <v>0</v>
      </c>
      <c r="P114" s="1213">
        <f t="shared" si="8"/>
        <v>0.43372985061496261</v>
      </c>
      <c r="Q114" s="1144">
        <f t="shared" si="5"/>
        <v>19.517843277673318</v>
      </c>
      <c r="R114" s="1212"/>
      <c r="S114" s="1214">
        <f t="shared" si="6"/>
        <v>1.1710705966603989</v>
      </c>
      <c r="T114" s="1215">
        <f t="shared" si="9"/>
        <v>0.94874268786412896</v>
      </c>
      <c r="U114" s="1216">
        <f t="shared" si="9"/>
        <v>42.693420953885806</v>
      </c>
      <c r="V114" s="1216">
        <f t="shared" si="9"/>
        <v>0</v>
      </c>
      <c r="W114" s="1217">
        <f t="shared" si="9"/>
        <v>2.5616052572331478</v>
      </c>
    </row>
    <row r="115" spans="1:23">
      <c r="A115" s="1202" t="s">
        <v>641</v>
      </c>
      <c r="B115" s="1203"/>
      <c r="C115" s="1218"/>
      <c r="D115" s="1218"/>
      <c r="E115" s="1219"/>
      <c r="F115" s="1219"/>
      <c r="G115" s="1220"/>
      <c r="H115" s="1221"/>
      <c r="I115" s="1222"/>
      <c r="J115" s="1220"/>
      <c r="K115" s="1223"/>
      <c r="L115" s="1218"/>
      <c r="M115" s="1218"/>
      <c r="N115" s="1219"/>
      <c r="O115" s="1219"/>
      <c r="P115" s="1220"/>
      <c r="Q115" s="1221"/>
      <c r="R115" s="1219"/>
      <c r="S115" s="1224"/>
      <c r="T115" s="1194"/>
      <c r="U115" s="1195"/>
      <c r="V115" s="1195"/>
      <c r="W115" s="1196"/>
    </row>
    <row r="116" spans="1:23">
      <c r="A116" s="123">
        <f>'Input data'!A118</f>
        <v>2018</v>
      </c>
      <c r="B116" s="1208">
        <f>'Recycling - Case 1'!AI98</f>
        <v>3707.5235423427162</v>
      </c>
      <c r="C116" s="1209">
        <f>($C$120-$C$80)/($A$120-$A$80)+C80</f>
        <v>6.0000000000000005E-2</v>
      </c>
      <c r="D116" s="1209">
        <f>1-C116</f>
        <v>0.94</v>
      </c>
      <c r="E116" s="53">
        <v>0</v>
      </c>
      <c r="F116" s="53">
        <v>0</v>
      </c>
      <c r="G116" s="776">
        <f>C116*$D$5*B116/1000-E116</f>
        <v>0.1779611300324504</v>
      </c>
      <c r="H116" s="519">
        <f>D116*$D$4*B116/1000-F116</f>
        <v>13.940288519208613</v>
      </c>
      <c r="I116" s="53"/>
      <c r="J116" s="776">
        <f>D116*$D$7*B116/1000</f>
        <v>0.83641731115251661</v>
      </c>
      <c r="K116" s="1210">
        <f>'Recycling - Case 1'!Z178</f>
        <v>1789.9687605419947</v>
      </c>
      <c r="L116" s="1209">
        <f>($L$120-$L$80)/($A$120-$A$80)+L80</f>
        <v>0.1</v>
      </c>
      <c r="M116" s="1209">
        <f>1-L116</f>
        <v>0.9</v>
      </c>
      <c r="N116" s="53">
        <f>N114</f>
        <v>0</v>
      </c>
      <c r="O116" s="53">
        <f>O114</f>
        <v>0</v>
      </c>
      <c r="P116" s="776">
        <f>L116*$D$5*K116/1000-N116</f>
        <v>0.14319750084335958</v>
      </c>
      <c r="Q116" s="519">
        <f t="shared" ref="Q116:Q148" si="21">M116*$D$4*K116/1000-O116</f>
        <v>6.4438875379511806</v>
      </c>
      <c r="R116" s="53"/>
      <c r="S116" s="1211">
        <f t="shared" ref="S116:S148" si="22">M116*$D$7*K116/1000</f>
        <v>0.38663325227707085</v>
      </c>
      <c r="T116" s="1198">
        <f t="shared" ref="T116:W148" si="23">G116+P116</f>
        <v>0.32115863087580998</v>
      </c>
      <c r="U116" s="1199">
        <f t="shared" si="23"/>
        <v>20.384176057159792</v>
      </c>
      <c r="V116" s="1199">
        <f t="shared" si="23"/>
        <v>0</v>
      </c>
      <c r="W116" s="1200">
        <f t="shared" si="23"/>
        <v>1.2230505634295874</v>
      </c>
    </row>
    <row r="117" spans="1:23">
      <c r="A117" s="123">
        <f>'Input data'!A119</f>
        <v>2019</v>
      </c>
      <c r="B117" s="1208">
        <f>'Recycling - Case 1'!AI99</f>
        <v>4010.8720893729233</v>
      </c>
      <c r="C117" s="1209">
        <f>($C$120-$C$80)/($A$120-$A$80)+C116</f>
        <v>7.0000000000000007E-2</v>
      </c>
      <c r="D117" s="1209">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0">
        <f>'Recycling - Case 1'!Z179</f>
        <v>2562.5527582487894</v>
      </c>
      <c r="L117" s="1209">
        <f>($L$120-$L$80)/($A$120-$A$80)+L116</f>
        <v>0.1</v>
      </c>
      <c r="M117" s="1209">
        <f t="shared" ref="M117:M148" si="28">1-L117</f>
        <v>0.9</v>
      </c>
      <c r="N117" s="53">
        <f t="shared" ref="N117:O132" si="29">N115</f>
        <v>0</v>
      </c>
      <c r="O117" s="53">
        <f t="shared" si="29"/>
        <v>0</v>
      </c>
      <c r="P117" s="776">
        <f>L117*$D$5*K117/1000-N117</f>
        <v>0.20500422065990317</v>
      </c>
      <c r="Q117" s="519">
        <f t="shared" si="21"/>
        <v>9.2251899296956417</v>
      </c>
      <c r="R117" s="53"/>
      <c r="S117" s="1211">
        <f t="shared" si="22"/>
        <v>0.55351139578173858</v>
      </c>
      <c r="T117" s="1198">
        <f t="shared" si="23"/>
        <v>0.42961305766478691</v>
      </c>
      <c r="U117" s="1199">
        <f t="shared" si="23"/>
        <v>24.145634102162916</v>
      </c>
      <c r="V117" s="1199">
        <f t="shared" si="23"/>
        <v>0</v>
      </c>
      <c r="W117" s="1200">
        <f t="shared" si="23"/>
        <v>1.448738046129775</v>
      </c>
    </row>
    <row r="118" spans="1:23">
      <c r="A118" s="123">
        <f>'Input data'!A120</f>
        <v>2020</v>
      </c>
      <c r="B118" s="1208">
        <f>'Recycling - Case 1'!AI100</f>
        <v>4314.2206364031299</v>
      </c>
      <c r="C118" s="1209">
        <f t="shared" ref="C118:C119" si="30">($C$120-$C$80)/($A$120-$A$80)+C117</f>
        <v>0.08</v>
      </c>
      <c r="D118" s="1209">
        <f t="shared" si="24"/>
        <v>0.92</v>
      </c>
      <c r="E118" s="53">
        <v>0</v>
      </c>
      <c r="F118" s="53">
        <v>0</v>
      </c>
      <c r="G118" s="776">
        <f t="shared" si="25"/>
        <v>0.27611012072980029</v>
      </c>
      <c r="H118" s="519">
        <f t="shared" si="26"/>
        <v>15.876331941963519</v>
      </c>
      <c r="I118" s="53"/>
      <c r="J118" s="776">
        <f t="shared" si="27"/>
        <v>0.95257991651781104</v>
      </c>
      <c r="K118" s="1210">
        <f>'Recycling - Case 1'!Z180</f>
        <v>2485.7704544777393</v>
      </c>
      <c r="L118" s="1209">
        <f t="shared" ref="L118:L119" si="31">($L$120-$L$80)/($A$120-$A$80)+L117</f>
        <v>0.1</v>
      </c>
      <c r="M118" s="1209">
        <f t="shared" si="28"/>
        <v>0.9</v>
      </c>
      <c r="N118" s="53">
        <f t="shared" si="29"/>
        <v>0</v>
      </c>
      <c r="O118" s="53">
        <f t="shared" si="29"/>
        <v>0</v>
      </c>
      <c r="P118" s="776">
        <f t="shared" ref="P118:P148" si="32">L118*$D$5*K118/1000-N118</f>
        <v>0.19886163635821918</v>
      </c>
      <c r="Q118" s="519">
        <f t="shared" si="21"/>
        <v>8.9487736361198618</v>
      </c>
      <c r="R118" s="53"/>
      <c r="S118" s="1211">
        <f t="shared" si="22"/>
        <v>0.53692641816719178</v>
      </c>
      <c r="T118" s="1198">
        <f t="shared" si="23"/>
        <v>0.47497175708801948</v>
      </c>
      <c r="U118" s="1199">
        <f t="shared" si="23"/>
        <v>24.825105578083381</v>
      </c>
      <c r="V118" s="1199">
        <f t="shared" si="23"/>
        <v>0</v>
      </c>
      <c r="W118" s="1200">
        <f t="shared" si="23"/>
        <v>1.4895063346850028</v>
      </c>
    </row>
    <row r="119" spans="1:23">
      <c r="A119" s="123">
        <f>'Input data'!A121</f>
        <v>2021</v>
      </c>
      <c r="B119" s="1208">
        <f>'Recycling - Case 1'!AI101</f>
        <v>4617.5691834333375</v>
      </c>
      <c r="C119" s="1209">
        <f t="shared" si="30"/>
        <v>0.09</v>
      </c>
      <c r="D119" s="1209">
        <f t="shared" si="24"/>
        <v>0.91</v>
      </c>
      <c r="E119" s="53">
        <v>0</v>
      </c>
      <c r="F119" s="53">
        <v>0</v>
      </c>
      <c r="G119" s="776">
        <f t="shared" si="25"/>
        <v>0.33246498120720025</v>
      </c>
      <c r="H119" s="519">
        <f t="shared" si="26"/>
        <v>16.807951827697352</v>
      </c>
      <c r="I119" s="53"/>
      <c r="J119" s="776">
        <f t="shared" si="27"/>
        <v>1.008477109661841</v>
      </c>
      <c r="K119" s="1210">
        <f>'Recycling - Case 1'!Z181</f>
        <v>2636.7344039878863</v>
      </c>
      <c r="L119" s="1209">
        <f t="shared" si="31"/>
        <v>0.1</v>
      </c>
      <c r="M119" s="1209">
        <f t="shared" si="28"/>
        <v>0.9</v>
      </c>
      <c r="N119" s="53">
        <f t="shared" si="29"/>
        <v>0</v>
      </c>
      <c r="O119" s="53">
        <f t="shared" si="29"/>
        <v>0</v>
      </c>
      <c r="P119" s="776">
        <f t="shared" si="32"/>
        <v>0.21093875231903095</v>
      </c>
      <c r="Q119" s="519">
        <f t="shared" si="21"/>
        <v>9.4922438543563921</v>
      </c>
      <c r="R119" s="53"/>
      <c r="S119" s="1211">
        <f t="shared" si="22"/>
        <v>0.56953463126138337</v>
      </c>
      <c r="T119" s="1198">
        <f t="shared" si="23"/>
        <v>0.54340373352623117</v>
      </c>
      <c r="U119" s="1199">
        <f t="shared" si="23"/>
        <v>26.300195682053744</v>
      </c>
      <c r="V119" s="1199">
        <f t="shared" si="23"/>
        <v>0</v>
      </c>
      <c r="W119" s="1200">
        <f t="shared" si="23"/>
        <v>1.5780117409232244</v>
      </c>
    </row>
    <row r="120" spans="1:23">
      <c r="A120" s="123">
        <f>'Input data'!A122</f>
        <v>2022</v>
      </c>
      <c r="B120" s="1208">
        <f>'Recycling - Case 1'!AI102</f>
        <v>4920.9177304635441</v>
      </c>
      <c r="C120" s="1209">
        <f>'Recycling - Case 1'!C31</f>
        <v>0.1</v>
      </c>
      <c r="D120" s="1209">
        <f t="shared" si="24"/>
        <v>0.9</v>
      </c>
      <c r="E120" s="53">
        <v>0</v>
      </c>
      <c r="F120" s="53">
        <v>0</v>
      </c>
      <c r="G120" s="776">
        <f t="shared" si="25"/>
        <v>0.39367341843708364</v>
      </c>
      <c r="H120" s="519">
        <f t="shared" si="26"/>
        <v>17.715303829668759</v>
      </c>
      <c r="I120" s="53"/>
      <c r="J120" s="776">
        <f t="shared" si="27"/>
        <v>1.0629182297801256</v>
      </c>
      <c r="K120" s="1210">
        <f>'Recycling - Case 1'!Z182</f>
        <v>2772.7635490634798</v>
      </c>
      <c r="L120" s="1209">
        <f>'Recycling - Case 1'!C31</f>
        <v>0.1</v>
      </c>
      <c r="M120" s="1209">
        <f t="shared" si="28"/>
        <v>0.9</v>
      </c>
      <c r="N120" s="53">
        <f t="shared" si="29"/>
        <v>0</v>
      </c>
      <c r="O120" s="53">
        <f t="shared" si="29"/>
        <v>0</v>
      </c>
      <c r="P120" s="776">
        <f t="shared" si="32"/>
        <v>0.22182108392507843</v>
      </c>
      <c r="Q120" s="519">
        <f t="shared" si="21"/>
        <v>9.9819487766285278</v>
      </c>
      <c r="R120" s="53"/>
      <c r="S120" s="1211">
        <f t="shared" si="22"/>
        <v>0.59891692659771156</v>
      </c>
      <c r="T120" s="1198">
        <f t="shared" si="23"/>
        <v>0.61549450236216208</v>
      </c>
      <c r="U120" s="1199">
        <f t="shared" si="23"/>
        <v>27.697252606297287</v>
      </c>
      <c r="V120" s="1199">
        <f t="shared" si="23"/>
        <v>0</v>
      </c>
      <c r="W120" s="1200">
        <f t="shared" si="23"/>
        <v>1.6618351563778373</v>
      </c>
    </row>
    <row r="121" spans="1:23">
      <c r="A121" s="123">
        <f>'Input data'!A123</f>
        <v>2023</v>
      </c>
      <c r="B121" s="1208">
        <f>'Recycling - Case 1'!AI103</f>
        <v>5224.2662774937517</v>
      </c>
      <c r="C121" s="1209">
        <f>C120</f>
        <v>0.1</v>
      </c>
      <c r="D121" s="1209">
        <f t="shared" si="24"/>
        <v>0.9</v>
      </c>
      <c r="E121" s="53">
        <v>0</v>
      </c>
      <c r="F121" s="53">
        <v>0</v>
      </c>
      <c r="G121" s="776">
        <f t="shared" si="25"/>
        <v>0.41794130219950021</v>
      </c>
      <c r="H121" s="519">
        <f t="shared" si="26"/>
        <v>18.807358598977505</v>
      </c>
      <c r="I121" s="53"/>
      <c r="J121" s="776">
        <f t="shared" si="27"/>
        <v>1.1284415159386503</v>
      </c>
      <c r="K121" s="1210">
        <f>'Recycling - Case 1'!Z183</f>
        <v>2904.0681418807435</v>
      </c>
      <c r="L121" s="1209">
        <f>L120</f>
        <v>0.1</v>
      </c>
      <c r="M121" s="1209">
        <f t="shared" si="28"/>
        <v>0.9</v>
      </c>
      <c r="N121" s="53">
        <f t="shared" si="29"/>
        <v>0</v>
      </c>
      <c r="O121" s="53">
        <f t="shared" si="29"/>
        <v>0</v>
      </c>
      <c r="P121" s="776">
        <f t="shared" si="32"/>
        <v>0.23232545135045954</v>
      </c>
      <c r="Q121" s="519">
        <f t="shared" si="21"/>
        <v>10.454645310770676</v>
      </c>
      <c r="R121" s="53"/>
      <c r="S121" s="1211">
        <f t="shared" si="22"/>
        <v>0.62727871864624063</v>
      </c>
      <c r="T121" s="1198">
        <f t="shared" si="23"/>
        <v>0.65026675354995978</v>
      </c>
      <c r="U121" s="1199">
        <f t="shared" si="23"/>
        <v>29.262003909748181</v>
      </c>
      <c r="V121" s="1199">
        <f t="shared" si="23"/>
        <v>0</v>
      </c>
      <c r="W121" s="1200">
        <f t="shared" si="23"/>
        <v>1.7557202345848908</v>
      </c>
    </row>
    <row r="122" spans="1:23">
      <c r="A122" s="123">
        <f>'Input data'!A124</f>
        <v>2024</v>
      </c>
      <c r="B122" s="1208">
        <f>'Recycling - Case 1'!AI104</f>
        <v>5527.6148245239583</v>
      </c>
      <c r="C122" s="1209">
        <f t="shared" ref="C122:C148" si="33">C121</f>
        <v>0.1</v>
      </c>
      <c r="D122" s="1209">
        <f t="shared" si="24"/>
        <v>0.9</v>
      </c>
      <c r="E122" s="53">
        <v>0</v>
      </c>
      <c r="F122" s="53">
        <v>0</v>
      </c>
      <c r="G122" s="776">
        <f t="shared" si="25"/>
        <v>0.44220918596191677</v>
      </c>
      <c r="H122" s="519">
        <f t="shared" si="26"/>
        <v>19.89941336828625</v>
      </c>
      <c r="I122" s="53"/>
      <c r="J122" s="776">
        <f t="shared" si="27"/>
        <v>1.1939648020971749</v>
      </c>
      <c r="K122" s="1210">
        <f>'Recycling - Case 1'!Z184</f>
        <v>3039.4774952906882</v>
      </c>
      <c r="L122" s="1209">
        <f t="shared" ref="L122:L148" si="34">L121</f>
        <v>0.1</v>
      </c>
      <c r="M122" s="1209">
        <f t="shared" si="28"/>
        <v>0.9</v>
      </c>
      <c r="N122" s="53">
        <f t="shared" si="29"/>
        <v>0</v>
      </c>
      <c r="O122" s="53">
        <f t="shared" si="29"/>
        <v>0</v>
      </c>
      <c r="P122" s="776">
        <f t="shared" si="32"/>
        <v>0.24315819962325511</v>
      </c>
      <c r="Q122" s="519">
        <f t="shared" si="21"/>
        <v>10.942118983046477</v>
      </c>
      <c r="R122" s="53"/>
      <c r="S122" s="1211">
        <f t="shared" si="22"/>
        <v>0.65652713898278869</v>
      </c>
      <c r="T122" s="1198">
        <f t="shared" si="23"/>
        <v>0.68536738558517185</v>
      </c>
      <c r="U122" s="1199">
        <f t="shared" si="23"/>
        <v>30.841532351332727</v>
      </c>
      <c r="V122" s="1199">
        <f t="shared" si="23"/>
        <v>0</v>
      </c>
      <c r="W122" s="1200">
        <f t="shared" si="23"/>
        <v>1.8504919410799636</v>
      </c>
    </row>
    <row r="123" spans="1:23">
      <c r="A123" s="123">
        <f>'Input data'!A125</f>
        <v>2025</v>
      </c>
      <c r="B123" s="1208">
        <f>'Recycling - Case 1'!AI105</f>
        <v>5830.9633715541659</v>
      </c>
      <c r="C123" s="1209">
        <f t="shared" si="33"/>
        <v>0.1</v>
      </c>
      <c r="D123" s="1209">
        <f t="shared" si="24"/>
        <v>0.9</v>
      </c>
      <c r="E123" s="53">
        <v>0</v>
      </c>
      <c r="F123" s="53">
        <v>0</v>
      </c>
      <c r="G123" s="776">
        <f t="shared" si="25"/>
        <v>0.46647706972433339</v>
      </c>
      <c r="H123" s="519">
        <f t="shared" si="26"/>
        <v>20.991468137595</v>
      </c>
      <c r="I123" s="53"/>
      <c r="J123" s="776">
        <f t="shared" si="27"/>
        <v>1.2594880882556998</v>
      </c>
      <c r="K123" s="1210">
        <f>'Recycling - Case 1'!Z185</f>
        <v>3171.6628446854556</v>
      </c>
      <c r="L123" s="1209">
        <f t="shared" si="34"/>
        <v>0.1</v>
      </c>
      <c r="M123" s="1209">
        <f t="shared" si="28"/>
        <v>0.9</v>
      </c>
      <c r="N123" s="53">
        <f t="shared" si="29"/>
        <v>0</v>
      </c>
      <c r="O123" s="53">
        <f t="shared" si="29"/>
        <v>0</v>
      </c>
      <c r="P123" s="776">
        <f t="shared" si="32"/>
        <v>0.25373302757483651</v>
      </c>
      <c r="Q123" s="519">
        <f t="shared" si="21"/>
        <v>11.41798624086764</v>
      </c>
      <c r="R123" s="53"/>
      <c r="S123" s="1211">
        <f t="shared" si="22"/>
        <v>0.68507917445205835</v>
      </c>
      <c r="T123" s="1198">
        <f t="shared" si="23"/>
        <v>0.72021009729916985</v>
      </c>
      <c r="U123" s="1199">
        <f t="shared" si="23"/>
        <v>32.409454378462641</v>
      </c>
      <c r="V123" s="1199">
        <f t="shared" si="23"/>
        <v>0</v>
      </c>
      <c r="W123" s="1200">
        <f t="shared" si="23"/>
        <v>1.9445672627077581</v>
      </c>
    </row>
    <row r="124" spans="1:23">
      <c r="A124" s="123">
        <f>'Input data'!A126</f>
        <v>2026</v>
      </c>
      <c r="B124" s="1208">
        <f>'Recycling - Case 1'!AI106</f>
        <v>6134.3119185843725</v>
      </c>
      <c r="C124" s="1209">
        <f t="shared" si="33"/>
        <v>0.1</v>
      </c>
      <c r="D124" s="1209">
        <f t="shared" si="24"/>
        <v>0.9</v>
      </c>
      <c r="E124" s="53">
        <v>0</v>
      </c>
      <c r="F124" s="53">
        <v>0</v>
      </c>
      <c r="G124" s="776">
        <f t="shared" si="25"/>
        <v>0.4907449534867499</v>
      </c>
      <c r="H124" s="519">
        <f t="shared" si="26"/>
        <v>22.083522906903742</v>
      </c>
      <c r="I124" s="53"/>
      <c r="J124" s="776">
        <f t="shared" si="27"/>
        <v>1.3250113744142245</v>
      </c>
      <c r="K124" s="1210">
        <f>'Recycling - Case 1'!Z186</f>
        <v>3296.3889470164409</v>
      </c>
      <c r="L124" s="1209">
        <f t="shared" si="34"/>
        <v>0.1</v>
      </c>
      <c r="M124" s="1209">
        <f t="shared" si="28"/>
        <v>0.9</v>
      </c>
      <c r="N124" s="53">
        <f t="shared" si="29"/>
        <v>0</v>
      </c>
      <c r="O124" s="53">
        <f t="shared" si="29"/>
        <v>0</v>
      </c>
      <c r="P124" s="776">
        <f t="shared" si="32"/>
        <v>0.26371111576131534</v>
      </c>
      <c r="Q124" s="519">
        <f t="shared" si="21"/>
        <v>11.867000209259187</v>
      </c>
      <c r="R124" s="53"/>
      <c r="S124" s="1211">
        <f t="shared" si="22"/>
        <v>0.71202001255555125</v>
      </c>
      <c r="T124" s="1198">
        <f t="shared" si="23"/>
        <v>0.7544560692480653</v>
      </c>
      <c r="U124" s="1199">
        <f t="shared" si="23"/>
        <v>33.950523116162927</v>
      </c>
      <c r="V124" s="1199">
        <f t="shared" si="23"/>
        <v>0</v>
      </c>
      <c r="W124" s="1200">
        <f t="shared" si="23"/>
        <v>2.0370313869697756</v>
      </c>
    </row>
    <row r="125" spans="1:23">
      <c r="A125" s="123">
        <f>'Input data'!A127</f>
        <v>2027</v>
      </c>
      <c r="B125" s="1208">
        <f>'Recycling - Case 1'!AI107</f>
        <v>6437.6604656145792</v>
      </c>
      <c r="C125" s="1209">
        <f t="shared" si="33"/>
        <v>0.1</v>
      </c>
      <c r="D125" s="1209">
        <f t="shared" si="24"/>
        <v>0.9</v>
      </c>
      <c r="E125" s="53">
        <v>0</v>
      </c>
      <c r="F125" s="53">
        <v>0</v>
      </c>
      <c r="G125" s="776">
        <f t="shared" si="25"/>
        <v>0.51501283724916636</v>
      </c>
      <c r="H125" s="519">
        <f t="shared" si="26"/>
        <v>23.175577676212484</v>
      </c>
      <c r="I125" s="53"/>
      <c r="J125" s="776">
        <f t="shared" si="27"/>
        <v>1.3905346605727491</v>
      </c>
      <c r="K125" s="1210">
        <f>'Recycling - Case 1'!Z187</f>
        <v>3420.7616593626267</v>
      </c>
      <c r="L125" s="1209">
        <f t="shared" si="34"/>
        <v>0.1</v>
      </c>
      <c r="M125" s="1209">
        <f t="shared" si="28"/>
        <v>0.9</v>
      </c>
      <c r="N125" s="53">
        <f t="shared" si="29"/>
        <v>0</v>
      </c>
      <c r="O125" s="53">
        <f t="shared" si="29"/>
        <v>0</v>
      </c>
      <c r="P125" s="776">
        <f t="shared" si="32"/>
        <v>0.27366093274901021</v>
      </c>
      <c r="Q125" s="519">
        <f t="shared" si="21"/>
        <v>12.314741973705457</v>
      </c>
      <c r="R125" s="53"/>
      <c r="S125" s="1211">
        <f t="shared" si="22"/>
        <v>0.73888451842232739</v>
      </c>
      <c r="T125" s="1198">
        <f t="shared" si="23"/>
        <v>0.78867376999817651</v>
      </c>
      <c r="U125" s="1199">
        <f t="shared" si="23"/>
        <v>35.490319649917943</v>
      </c>
      <c r="V125" s="1199">
        <f t="shared" si="23"/>
        <v>0</v>
      </c>
      <c r="W125" s="1200">
        <f t="shared" si="23"/>
        <v>2.1294191789950765</v>
      </c>
    </row>
    <row r="126" spans="1:23">
      <c r="A126" s="123">
        <f>'Input data'!A128</f>
        <v>2028</v>
      </c>
      <c r="B126" s="1208">
        <f>'Recycling - Case 1'!AI108</f>
        <v>6437.6604656145792</v>
      </c>
      <c r="C126" s="1209">
        <f t="shared" si="33"/>
        <v>0.1</v>
      </c>
      <c r="D126" s="1209">
        <f t="shared" si="24"/>
        <v>0.9</v>
      </c>
      <c r="E126" s="53">
        <v>0</v>
      </c>
      <c r="F126" s="53">
        <v>0</v>
      </c>
      <c r="G126" s="776">
        <f t="shared" si="25"/>
        <v>0.51501283724916636</v>
      </c>
      <c r="H126" s="519">
        <f t="shared" si="26"/>
        <v>23.175577676212484</v>
      </c>
      <c r="I126" s="53"/>
      <c r="J126" s="776">
        <f t="shared" si="27"/>
        <v>1.3905346605727491</v>
      </c>
      <c r="K126" s="1210">
        <f>'Recycling - Case 1'!Z188</f>
        <v>3471.0300255081979</v>
      </c>
      <c r="L126" s="1209">
        <f t="shared" si="34"/>
        <v>0.1</v>
      </c>
      <c r="M126" s="1209">
        <f t="shared" si="28"/>
        <v>0.9</v>
      </c>
      <c r="N126" s="53">
        <f t="shared" si="29"/>
        <v>0</v>
      </c>
      <c r="O126" s="53">
        <f t="shared" si="29"/>
        <v>0</v>
      </c>
      <c r="P126" s="776">
        <f t="shared" si="32"/>
        <v>0.27768240204065592</v>
      </c>
      <c r="Q126" s="519">
        <f t="shared" si="21"/>
        <v>12.495708091829512</v>
      </c>
      <c r="R126" s="53"/>
      <c r="S126" s="1211">
        <f t="shared" si="22"/>
        <v>0.74974248550977074</v>
      </c>
      <c r="T126" s="1198">
        <f t="shared" si="23"/>
        <v>0.79269523928982233</v>
      </c>
      <c r="U126" s="1199">
        <f t="shared" si="23"/>
        <v>35.671285768041997</v>
      </c>
      <c r="V126" s="1199">
        <f t="shared" si="23"/>
        <v>0</v>
      </c>
      <c r="W126" s="1200">
        <f t="shared" si="23"/>
        <v>2.1402771460825196</v>
      </c>
    </row>
    <row r="127" spans="1:23">
      <c r="A127" s="123">
        <f>'Input data'!A129</f>
        <v>2029</v>
      </c>
      <c r="B127" s="1208">
        <f>'Recycling - Case 1'!AI109</f>
        <v>6437.6604656145792</v>
      </c>
      <c r="C127" s="1209">
        <f t="shared" si="33"/>
        <v>0.1</v>
      </c>
      <c r="D127" s="1209">
        <f t="shared" si="24"/>
        <v>0.9</v>
      </c>
      <c r="E127" s="53">
        <v>0</v>
      </c>
      <c r="F127" s="53">
        <v>0</v>
      </c>
      <c r="G127" s="776">
        <f t="shared" si="25"/>
        <v>0.51501283724916636</v>
      </c>
      <c r="H127" s="519">
        <f t="shared" si="26"/>
        <v>23.175577676212484</v>
      </c>
      <c r="I127" s="53"/>
      <c r="J127" s="776">
        <f t="shared" si="27"/>
        <v>1.3905346605727491</v>
      </c>
      <c r="K127" s="1210">
        <f>'Recycling - Case 1'!Z189</f>
        <v>3537.8044223284328</v>
      </c>
      <c r="L127" s="1209">
        <f t="shared" si="34"/>
        <v>0.1</v>
      </c>
      <c r="M127" s="1209">
        <f t="shared" si="28"/>
        <v>0.9</v>
      </c>
      <c r="N127" s="53">
        <f t="shared" si="29"/>
        <v>0</v>
      </c>
      <c r="O127" s="53">
        <f t="shared" si="29"/>
        <v>0</v>
      </c>
      <c r="P127" s="776">
        <f t="shared" si="32"/>
        <v>0.28302435378627466</v>
      </c>
      <c r="Q127" s="519">
        <f t="shared" si="21"/>
        <v>12.736095920382359</v>
      </c>
      <c r="R127" s="53"/>
      <c r="S127" s="1211">
        <f t="shared" si="22"/>
        <v>0.7641657552229415</v>
      </c>
      <c r="T127" s="1198">
        <f t="shared" si="23"/>
        <v>0.79803719103544102</v>
      </c>
      <c r="U127" s="1199">
        <f t="shared" si="23"/>
        <v>35.911673596594845</v>
      </c>
      <c r="V127" s="1199">
        <f t="shared" si="23"/>
        <v>0</v>
      </c>
      <c r="W127" s="1200">
        <f t="shared" si="23"/>
        <v>2.1547004157956904</v>
      </c>
    </row>
    <row r="128" spans="1:23">
      <c r="A128" s="123">
        <f>'Input data'!A130</f>
        <v>2030</v>
      </c>
      <c r="B128" s="1208">
        <f>'Recycling - Case 1'!AI110</f>
        <v>6437.6604656145792</v>
      </c>
      <c r="C128" s="1209">
        <f t="shared" si="33"/>
        <v>0.1</v>
      </c>
      <c r="D128" s="1209">
        <f t="shared" si="24"/>
        <v>0.9</v>
      </c>
      <c r="E128" s="53">
        <v>0</v>
      </c>
      <c r="F128" s="53">
        <v>0</v>
      </c>
      <c r="G128" s="776">
        <f t="shared" si="25"/>
        <v>0.51501283724916636</v>
      </c>
      <c r="H128" s="519">
        <f t="shared" si="26"/>
        <v>23.175577676212484</v>
      </c>
      <c r="I128" s="53"/>
      <c r="J128" s="776">
        <f t="shared" si="27"/>
        <v>1.3905346605727491</v>
      </c>
      <c r="K128" s="1210">
        <f>'Recycling - Case 1'!Z190</f>
        <v>3597.8752829754594</v>
      </c>
      <c r="L128" s="1209">
        <f t="shared" si="34"/>
        <v>0.1</v>
      </c>
      <c r="M128" s="1209">
        <f t="shared" si="28"/>
        <v>0.9</v>
      </c>
      <c r="N128" s="53">
        <f t="shared" si="29"/>
        <v>0</v>
      </c>
      <c r="O128" s="53">
        <f t="shared" si="29"/>
        <v>0</v>
      </c>
      <c r="P128" s="776">
        <f t="shared" si="32"/>
        <v>0.28783002263803686</v>
      </c>
      <c r="Q128" s="519">
        <f t="shared" si="21"/>
        <v>12.952351018711653</v>
      </c>
      <c r="R128" s="53"/>
      <c r="S128" s="1211">
        <f t="shared" si="22"/>
        <v>0.77714106112269921</v>
      </c>
      <c r="T128" s="1198">
        <f t="shared" si="23"/>
        <v>0.80284285988720328</v>
      </c>
      <c r="U128" s="1199">
        <f t="shared" si="23"/>
        <v>36.127928694924137</v>
      </c>
      <c r="V128" s="1199">
        <f t="shared" si="23"/>
        <v>0</v>
      </c>
      <c r="W128" s="1200">
        <f t="shared" si="23"/>
        <v>2.1676757216954483</v>
      </c>
    </row>
    <row r="129" spans="1:23">
      <c r="A129" s="123">
        <f>'Input data'!A131</f>
        <v>2031</v>
      </c>
      <c r="B129" s="1208">
        <f>'Recycling - Case 1'!AI111</f>
        <v>6437.6604656145792</v>
      </c>
      <c r="C129" s="1209">
        <f t="shared" si="33"/>
        <v>0.1</v>
      </c>
      <c r="D129" s="1209">
        <f t="shared" si="24"/>
        <v>0.9</v>
      </c>
      <c r="E129" s="53">
        <v>0</v>
      </c>
      <c r="F129" s="53">
        <v>0</v>
      </c>
      <c r="G129" s="776">
        <f t="shared" si="25"/>
        <v>0.51501283724916636</v>
      </c>
      <c r="H129" s="519">
        <f t="shared" si="26"/>
        <v>23.175577676212484</v>
      </c>
      <c r="I129" s="53"/>
      <c r="J129" s="776">
        <f t="shared" si="27"/>
        <v>1.3905346605727491</v>
      </c>
      <c r="K129" s="1210">
        <f>'Recycling - Case 1'!Z191</f>
        <v>3668.9827846862445</v>
      </c>
      <c r="L129" s="1209">
        <f t="shared" si="34"/>
        <v>0.1</v>
      </c>
      <c r="M129" s="1209">
        <f t="shared" si="28"/>
        <v>0.9</v>
      </c>
      <c r="N129" s="53">
        <f t="shared" si="29"/>
        <v>0</v>
      </c>
      <c r="O129" s="53">
        <f t="shared" si="29"/>
        <v>0</v>
      </c>
      <c r="P129" s="776">
        <f t="shared" si="32"/>
        <v>0.2935186227748996</v>
      </c>
      <c r="Q129" s="519">
        <f t="shared" si="21"/>
        <v>13.20833802487048</v>
      </c>
      <c r="R129" s="53"/>
      <c r="S129" s="1211">
        <f t="shared" si="22"/>
        <v>0.79250028149222884</v>
      </c>
      <c r="T129" s="1198">
        <f t="shared" si="23"/>
        <v>0.80853146002406595</v>
      </c>
      <c r="U129" s="1199">
        <f t="shared" si="23"/>
        <v>36.383915701082962</v>
      </c>
      <c r="V129" s="1199">
        <f t="shared" si="23"/>
        <v>0</v>
      </c>
      <c r="W129" s="1200">
        <f t="shared" si="23"/>
        <v>2.1830349420649782</v>
      </c>
    </row>
    <row r="130" spans="1:23">
      <c r="A130" s="123">
        <f>'Input data'!A132</f>
        <v>2032</v>
      </c>
      <c r="B130" s="1208">
        <f>'Recycling - Case 1'!AI112</f>
        <v>6437.6604656145792</v>
      </c>
      <c r="C130" s="1209">
        <f t="shared" si="33"/>
        <v>0.1</v>
      </c>
      <c r="D130" s="1209">
        <f t="shared" si="24"/>
        <v>0.9</v>
      </c>
      <c r="E130" s="53">
        <v>0</v>
      </c>
      <c r="F130" s="53">
        <v>0</v>
      </c>
      <c r="G130" s="776">
        <f t="shared" si="25"/>
        <v>0.51501283724916636</v>
      </c>
      <c r="H130" s="519">
        <f t="shared" si="26"/>
        <v>23.175577676212484</v>
      </c>
      <c r="I130" s="53"/>
      <c r="J130" s="776">
        <f t="shared" si="27"/>
        <v>1.3905346605727491</v>
      </c>
      <c r="K130" s="1210">
        <f>'Recycling - Case 1'!Z192</f>
        <v>3743.3904051781628</v>
      </c>
      <c r="L130" s="1209">
        <f t="shared" si="34"/>
        <v>0.1</v>
      </c>
      <c r="M130" s="1209">
        <f t="shared" si="28"/>
        <v>0.9</v>
      </c>
      <c r="N130" s="53">
        <f t="shared" si="29"/>
        <v>0</v>
      </c>
      <c r="O130" s="53">
        <f t="shared" si="29"/>
        <v>0</v>
      </c>
      <c r="P130" s="776">
        <f t="shared" si="32"/>
        <v>0.29947123241425311</v>
      </c>
      <c r="Q130" s="519">
        <f t="shared" si="21"/>
        <v>13.476205458641386</v>
      </c>
      <c r="R130" s="53"/>
      <c r="S130" s="1211">
        <f t="shared" si="22"/>
        <v>0.80857232751848307</v>
      </c>
      <c r="T130" s="1198">
        <f t="shared" si="23"/>
        <v>0.81448406966341946</v>
      </c>
      <c r="U130" s="1199">
        <f t="shared" si="23"/>
        <v>36.651783134853872</v>
      </c>
      <c r="V130" s="1199">
        <f t="shared" si="23"/>
        <v>0</v>
      </c>
      <c r="W130" s="1200">
        <f t="shared" si="23"/>
        <v>2.1991069880912324</v>
      </c>
    </row>
    <row r="131" spans="1:23">
      <c r="A131" s="123">
        <f>'Input data'!A133</f>
        <v>2033</v>
      </c>
      <c r="B131" s="1208">
        <f>'Recycling - Case 1'!AI113</f>
        <v>6437.6604656145792</v>
      </c>
      <c r="C131" s="1209">
        <f t="shared" si="33"/>
        <v>0.1</v>
      </c>
      <c r="D131" s="1209">
        <f t="shared" si="24"/>
        <v>0.9</v>
      </c>
      <c r="E131" s="53">
        <v>0</v>
      </c>
      <c r="F131" s="53">
        <v>0</v>
      </c>
      <c r="G131" s="776">
        <f t="shared" si="25"/>
        <v>0.51501283724916636</v>
      </c>
      <c r="H131" s="519">
        <f t="shared" si="26"/>
        <v>23.175577676212484</v>
      </c>
      <c r="I131" s="53"/>
      <c r="J131" s="776">
        <f t="shared" si="27"/>
        <v>1.3905346605727491</v>
      </c>
      <c r="K131" s="1210">
        <f>'Recycling - Case 1'!Z193</f>
        <v>3830.9006389526726</v>
      </c>
      <c r="L131" s="1209">
        <f t="shared" si="34"/>
        <v>0.1</v>
      </c>
      <c r="M131" s="1209">
        <f t="shared" si="28"/>
        <v>0.9</v>
      </c>
      <c r="N131" s="53">
        <f t="shared" si="29"/>
        <v>0</v>
      </c>
      <c r="O131" s="53">
        <f t="shared" si="29"/>
        <v>0</v>
      </c>
      <c r="P131" s="776">
        <f t="shared" si="32"/>
        <v>0.30647205111621389</v>
      </c>
      <c r="Q131" s="519">
        <f t="shared" si="21"/>
        <v>13.791242300229621</v>
      </c>
      <c r="R131" s="53"/>
      <c r="S131" s="1211">
        <f t="shared" si="22"/>
        <v>0.82747453801377735</v>
      </c>
      <c r="T131" s="1198">
        <f t="shared" si="23"/>
        <v>0.82148488836538025</v>
      </c>
      <c r="U131" s="1199">
        <f t="shared" si="23"/>
        <v>36.966819976442103</v>
      </c>
      <c r="V131" s="1199">
        <f t="shared" si="23"/>
        <v>0</v>
      </c>
      <c r="W131" s="1200">
        <f t="shared" si="23"/>
        <v>2.2180091985865262</v>
      </c>
    </row>
    <row r="132" spans="1:23">
      <c r="A132" s="123">
        <f>'Input data'!A134</f>
        <v>2034</v>
      </c>
      <c r="B132" s="1208">
        <f>'Recycling - Case 1'!AI114</f>
        <v>6437.6604656145792</v>
      </c>
      <c r="C132" s="1209">
        <f t="shared" si="33"/>
        <v>0.1</v>
      </c>
      <c r="D132" s="1209">
        <f t="shared" si="24"/>
        <v>0.9</v>
      </c>
      <c r="E132" s="53">
        <v>0</v>
      </c>
      <c r="F132" s="53">
        <v>0</v>
      </c>
      <c r="G132" s="776">
        <f t="shared" si="25"/>
        <v>0.51501283724916636</v>
      </c>
      <c r="H132" s="519">
        <f t="shared" si="26"/>
        <v>23.175577676212484</v>
      </c>
      <c r="I132" s="53"/>
      <c r="J132" s="776">
        <f t="shared" si="27"/>
        <v>1.3905346605727491</v>
      </c>
      <c r="K132" s="1210">
        <f>'Recycling - Case 1'!Z194</f>
        <v>3926.3322451557001</v>
      </c>
      <c r="L132" s="1209">
        <f t="shared" si="34"/>
        <v>0.1</v>
      </c>
      <c r="M132" s="1209">
        <f t="shared" si="28"/>
        <v>0.9</v>
      </c>
      <c r="N132" s="53">
        <f t="shared" si="29"/>
        <v>0</v>
      </c>
      <c r="O132" s="53">
        <f t="shared" si="29"/>
        <v>0</v>
      </c>
      <c r="P132" s="776">
        <f t="shared" si="32"/>
        <v>0.31410657961245608</v>
      </c>
      <c r="Q132" s="519">
        <f t="shared" si="21"/>
        <v>14.13479608256052</v>
      </c>
      <c r="R132" s="53"/>
      <c r="S132" s="1211">
        <f t="shared" si="22"/>
        <v>0.84808776495363125</v>
      </c>
      <c r="T132" s="1198">
        <f t="shared" si="23"/>
        <v>0.82911941686162249</v>
      </c>
      <c r="U132" s="1199">
        <f t="shared" si="23"/>
        <v>37.310373758773004</v>
      </c>
      <c r="V132" s="1199">
        <f t="shared" si="23"/>
        <v>0</v>
      </c>
      <c r="W132" s="1200">
        <f t="shared" si="23"/>
        <v>2.2386224255263802</v>
      </c>
    </row>
    <row r="133" spans="1:23">
      <c r="A133" s="123">
        <f>'Input data'!A135</f>
        <v>2035</v>
      </c>
      <c r="B133" s="1208">
        <f>'Recycling - Case 1'!AI115</f>
        <v>6437.6604656145792</v>
      </c>
      <c r="C133" s="1209">
        <f t="shared" si="33"/>
        <v>0.1</v>
      </c>
      <c r="D133" s="1209">
        <f t="shared" si="24"/>
        <v>0.9</v>
      </c>
      <c r="E133" s="53">
        <v>0</v>
      </c>
      <c r="F133" s="53">
        <v>0</v>
      </c>
      <c r="G133" s="776">
        <f t="shared" si="25"/>
        <v>0.51501283724916636</v>
      </c>
      <c r="H133" s="519">
        <f t="shared" si="26"/>
        <v>23.175577676212484</v>
      </c>
      <c r="I133" s="53"/>
      <c r="J133" s="776">
        <f t="shared" si="27"/>
        <v>1.3905346605727491</v>
      </c>
      <c r="K133" s="1210">
        <f>'Recycling - Case 1'!Z195</f>
        <v>4002.4905052646268</v>
      </c>
      <c r="L133" s="1209">
        <f t="shared" si="34"/>
        <v>0.1</v>
      </c>
      <c r="M133" s="1209">
        <f t="shared" si="28"/>
        <v>0.9</v>
      </c>
      <c r="N133" s="53">
        <f t="shared" ref="N133:O148" si="35">N131</f>
        <v>0</v>
      </c>
      <c r="O133" s="53">
        <f t="shared" si="35"/>
        <v>0</v>
      </c>
      <c r="P133" s="776">
        <f t="shared" si="32"/>
        <v>0.32019924042117021</v>
      </c>
      <c r="Q133" s="519">
        <f t="shared" si="21"/>
        <v>14.408965818952657</v>
      </c>
      <c r="R133" s="53"/>
      <c r="S133" s="1211">
        <f t="shared" si="22"/>
        <v>0.86453794913715931</v>
      </c>
      <c r="T133" s="1198">
        <f t="shared" si="23"/>
        <v>0.83521207767033656</v>
      </c>
      <c r="U133" s="1199">
        <f t="shared" si="23"/>
        <v>37.584543495165143</v>
      </c>
      <c r="V133" s="1199">
        <f t="shared" si="23"/>
        <v>0</v>
      </c>
      <c r="W133" s="1200">
        <f t="shared" si="23"/>
        <v>2.2550726097099085</v>
      </c>
    </row>
    <row r="134" spans="1:23">
      <c r="A134" s="123">
        <f>'Input data'!A136</f>
        <v>2036</v>
      </c>
      <c r="B134" s="1208">
        <f>'Recycling - Case 1'!AI116</f>
        <v>6437.6604656145792</v>
      </c>
      <c r="C134" s="1209">
        <f t="shared" si="33"/>
        <v>0.1</v>
      </c>
      <c r="D134" s="1209">
        <f t="shared" si="24"/>
        <v>0.9</v>
      </c>
      <c r="E134" s="53">
        <v>0</v>
      </c>
      <c r="F134" s="53">
        <v>0</v>
      </c>
      <c r="G134" s="776">
        <f t="shared" si="25"/>
        <v>0.51501283724916636</v>
      </c>
      <c r="H134" s="519">
        <f t="shared" si="26"/>
        <v>23.175577676212484</v>
      </c>
      <c r="I134" s="53"/>
      <c r="J134" s="776">
        <f>D134*$D$7*B134/1000</f>
        <v>1.3905346605727491</v>
      </c>
      <c r="K134" s="1210">
        <f>'Recycling - Case 1'!Z196</f>
        <v>4078.7466272155002</v>
      </c>
      <c r="L134" s="1209">
        <f t="shared" si="34"/>
        <v>0.1</v>
      </c>
      <c r="M134" s="1209">
        <f t="shared" si="28"/>
        <v>0.9</v>
      </c>
      <c r="N134" s="53">
        <f t="shared" si="35"/>
        <v>0</v>
      </c>
      <c r="O134" s="53">
        <f t="shared" si="35"/>
        <v>0</v>
      </c>
      <c r="P134" s="776">
        <f t="shared" si="32"/>
        <v>0.32629973017724007</v>
      </c>
      <c r="Q134" s="519">
        <f t="shared" si="21"/>
        <v>14.6834878579758</v>
      </c>
      <c r="R134" s="53"/>
      <c r="S134" s="1211">
        <f t="shared" si="22"/>
        <v>0.88100927147854802</v>
      </c>
      <c r="T134" s="1198">
        <f t="shared" si="23"/>
        <v>0.84131256742640637</v>
      </c>
      <c r="U134" s="1199">
        <f t="shared" si="23"/>
        <v>37.859065534188282</v>
      </c>
      <c r="V134" s="1199">
        <f t="shared" si="23"/>
        <v>0</v>
      </c>
      <c r="W134" s="1200">
        <f t="shared" si="23"/>
        <v>2.2715439320512969</v>
      </c>
    </row>
    <row r="135" spans="1:23">
      <c r="A135" s="123">
        <f>'Input data'!A137</f>
        <v>2037</v>
      </c>
      <c r="B135" s="1208">
        <f>'Recycling - Case 1'!AI117</f>
        <v>6437.6604656145792</v>
      </c>
      <c r="C135" s="1209">
        <f t="shared" si="33"/>
        <v>0.1</v>
      </c>
      <c r="D135" s="1209">
        <f t="shared" si="24"/>
        <v>0.9</v>
      </c>
      <c r="E135" s="53">
        <v>0</v>
      </c>
      <c r="F135" s="53">
        <v>0</v>
      </c>
      <c r="G135" s="776">
        <f t="shared" si="25"/>
        <v>0.51501283724916636</v>
      </c>
      <c r="H135" s="519">
        <f t="shared" si="26"/>
        <v>23.175577676212484</v>
      </c>
      <c r="I135" s="53"/>
      <c r="J135" s="776">
        <f t="shared" ref="J135:J148" si="36">D135*$D$7*B135/1000</f>
        <v>1.3905346605727491</v>
      </c>
      <c r="K135" s="1210">
        <f>'Recycling - Case 1'!Z197</f>
        <v>4167.9694432240412</v>
      </c>
      <c r="L135" s="1209">
        <f t="shared" si="34"/>
        <v>0.1</v>
      </c>
      <c r="M135" s="1209">
        <f t="shared" si="28"/>
        <v>0.9</v>
      </c>
      <c r="N135" s="53">
        <f t="shared" si="35"/>
        <v>0</v>
      </c>
      <c r="O135" s="53">
        <f t="shared" si="35"/>
        <v>0</v>
      </c>
      <c r="P135" s="776">
        <f t="shared" si="32"/>
        <v>0.33343755545792336</v>
      </c>
      <c r="Q135" s="519">
        <f t="shared" si="21"/>
        <v>15.004689995606547</v>
      </c>
      <c r="R135" s="53"/>
      <c r="S135" s="1211">
        <f t="shared" si="22"/>
        <v>0.90028139973639287</v>
      </c>
      <c r="T135" s="1198">
        <f t="shared" si="23"/>
        <v>0.84845039270708966</v>
      </c>
      <c r="U135" s="1199">
        <f t="shared" si="23"/>
        <v>38.180267671819031</v>
      </c>
      <c r="V135" s="1199">
        <f t="shared" si="23"/>
        <v>0</v>
      </c>
      <c r="W135" s="1200">
        <f t="shared" si="23"/>
        <v>2.2908160603091421</v>
      </c>
    </row>
    <row r="136" spans="1:23">
      <c r="A136" s="123">
        <f>'Input data'!A138</f>
        <v>2038</v>
      </c>
      <c r="B136" s="1208">
        <f>'Recycling - Case 1'!AI118</f>
        <v>6437.6604656145792</v>
      </c>
      <c r="C136" s="1209">
        <f t="shared" si="33"/>
        <v>0.1</v>
      </c>
      <c r="D136" s="1209">
        <f t="shared" si="24"/>
        <v>0.9</v>
      </c>
      <c r="E136" s="53">
        <v>0</v>
      </c>
      <c r="F136" s="53">
        <v>0</v>
      </c>
      <c r="G136" s="776">
        <f t="shared" si="25"/>
        <v>0.51501283724916636</v>
      </c>
      <c r="H136" s="519">
        <f t="shared" si="26"/>
        <v>23.175577676212484</v>
      </c>
      <c r="I136" s="53"/>
      <c r="J136" s="776">
        <f t="shared" si="36"/>
        <v>1.3905346605727491</v>
      </c>
      <c r="K136" s="1210">
        <f>'Recycling - Case 1'!Z198</f>
        <v>4255.0991031687627</v>
      </c>
      <c r="L136" s="1209">
        <f t="shared" si="34"/>
        <v>0.1</v>
      </c>
      <c r="M136" s="1209">
        <f t="shared" si="28"/>
        <v>0.9</v>
      </c>
      <c r="N136" s="53">
        <f t="shared" si="35"/>
        <v>0</v>
      </c>
      <c r="O136" s="53">
        <f t="shared" si="35"/>
        <v>0</v>
      </c>
      <c r="P136" s="776">
        <f t="shared" si="32"/>
        <v>0.34040792825350108</v>
      </c>
      <c r="Q136" s="519">
        <f t="shared" si="21"/>
        <v>15.318356771407545</v>
      </c>
      <c r="R136" s="53"/>
      <c r="S136" s="1211">
        <f t="shared" si="22"/>
        <v>0.9191014062844528</v>
      </c>
      <c r="T136" s="1198">
        <f t="shared" si="23"/>
        <v>0.85542076550266744</v>
      </c>
      <c r="U136" s="1199">
        <f t="shared" si="23"/>
        <v>38.493934447620028</v>
      </c>
      <c r="V136" s="1199">
        <f t="shared" si="23"/>
        <v>0</v>
      </c>
      <c r="W136" s="1200">
        <f t="shared" si="23"/>
        <v>2.3096360668572018</v>
      </c>
    </row>
    <row r="137" spans="1:23">
      <c r="A137" s="123">
        <f>'Input data'!A139</f>
        <v>2039</v>
      </c>
      <c r="B137" s="1208">
        <f>'Recycling - Case 1'!AI119</f>
        <v>6437.6604656145792</v>
      </c>
      <c r="C137" s="1209">
        <f t="shared" si="33"/>
        <v>0.1</v>
      </c>
      <c r="D137" s="1209">
        <f t="shared" si="24"/>
        <v>0.9</v>
      </c>
      <c r="E137" s="53">
        <v>0</v>
      </c>
      <c r="F137" s="53">
        <v>0</v>
      </c>
      <c r="G137" s="776">
        <f t="shared" si="25"/>
        <v>0.51501283724916636</v>
      </c>
      <c r="H137" s="519">
        <f t="shared" si="26"/>
        <v>23.175577676212484</v>
      </c>
      <c r="I137" s="53"/>
      <c r="J137" s="776">
        <f t="shared" si="36"/>
        <v>1.3905346605727491</v>
      </c>
      <c r="K137" s="1210">
        <f>'Recycling - Case 1'!Z199</f>
        <v>4348.4810474599535</v>
      </c>
      <c r="L137" s="1209">
        <f t="shared" si="34"/>
        <v>0.1</v>
      </c>
      <c r="M137" s="1209">
        <f t="shared" si="28"/>
        <v>0.9</v>
      </c>
      <c r="N137" s="53">
        <f t="shared" si="35"/>
        <v>0</v>
      </c>
      <c r="O137" s="53">
        <f t="shared" si="35"/>
        <v>0</v>
      </c>
      <c r="P137" s="776">
        <f t="shared" si="32"/>
        <v>0.34787848379679631</v>
      </c>
      <c r="Q137" s="519">
        <f t="shared" si="21"/>
        <v>15.654531770855833</v>
      </c>
      <c r="R137" s="53"/>
      <c r="S137" s="1211">
        <f t="shared" si="22"/>
        <v>0.93927190625134993</v>
      </c>
      <c r="T137" s="1198">
        <f t="shared" si="23"/>
        <v>0.86289132104596267</v>
      </c>
      <c r="U137" s="1199">
        <f t="shared" si="23"/>
        <v>38.830109447068317</v>
      </c>
      <c r="V137" s="1199">
        <f t="shared" si="23"/>
        <v>0</v>
      </c>
      <c r="W137" s="1200">
        <f t="shared" si="23"/>
        <v>2.3298065668240993</v>
      </c>
    </row>
    <row r="138" spans="1:23">
      <c r="A138" s="123">
        <f>'Input data'!A140</f>
        <v>2040</v>
      </c>
      <c r="B138" s="1208">
        <f>'Recycling - Case 1'!AI120</f>
        <v>6437.6604656145792</v>
      </c>
      <c r="C138" s="1209">
        <f t="shared" si="33"/>
        <v>0.1</v>
      </c>
      <c r="D138" s="1209">
        <f t="shared" si="24"/>
        <v>0.9</v>
      </c>
      <c r="E138" s="53">
        <v>0</v>
      </c>
      <c r="F138" s="53">
        <v>0</v>
      </c>
      <c r="G138" s="776">
        <f t="shared" si="25"/>
        <v>0.51501283724916636</v>
      </c>
      <c r="H138" s="519">
        <f t="shared" si="26"/>
        <v>23.175577676212484</v>
      </c>
      <c r="I138" s="53"/>
      <c r="J138" s="776">
        <f t="shared" si="36"/>
        <v>1.3905346605727491</v>
      </c>
      <c r="K138" s="1210">
        <f>'Recycling - Case 1'!Z200</f>
        <v>4442.1783243529617</v>
      </c>
      <c r="L138" s="1209">
        <f t="shared" si="34"/>
        <v>0.1</v>
      </c>
      <c r="M138" s="1209">
        <f t="shared" si="28"/>
        <v>0.9</v>
      </c>
      <c r="N138" s="53">
        <f t="shared" si="35"/>
        <v>0</v>
      </c>
      <c r="O138" s="53">
        <f t="shared" si="35"/>
        <v>0</v>
      </c>
      <c r="P138" s="776">
        <f t="shared" si="32"/>
        <v>0.35537426594823701</v>
      </c>
      <c r="Q138" s="519">
        <f t="shared" si="21"/>
        <v>15.991841967670661</v>
      </c>
      <c r="R138" s="53"/>
      <c r="S138" s="1211">
        <f t="shared" si="22"/>
        <v>0.95951051806023979</v>
      </c>
      <c r="T138" s="1198">
        <f t="shared" si="23"/>
        <v>0.87038710319740331</v>
      </c>
      <c r="U138" s="1199">
        <f t="shared" si="23"/>
        <v>39.167419643883143</v>
      </c>
      <c r="V138" s="1199">
        <f t="shared" si="23"/>
        <v>0</v>
      </c>
      <c r="W138" s="1200">
        <f t="shared" si="23"/>
        <v>2.350045178632989</v>
      </c>
    </row>
    <row r="139" spans="1:23">
      <c r="A139" s="123">
        <f>'Input data'!A141</f>
        <v>2041</v>
      </c>
      <c r="B139" s="1208">
        <f>'Recycling - Case 1'!AI121</f>
        <v>6437.6604656145792</v>
      </c>
      <c r="C139" s="1209">
        <f t="shared" si="33"/>
        <v>0.1</v>
      </c>
      <c r="D139" s="1209">
        <f t="shared" si="24"/>
        <v>0.9</v>
      </c>
      <c r="E139" s="53">
        <v>0</v>
      </c>
      <c r="F139" s="53">
        <v>0</v>
      </c>
      <c r="G139" s="776">
        <f t="shared" si="25"/>
        <v>0.51501283724916636</v>
      </c>
      <c r="H139" s="519">
        <f t="shared" si="26"/>
        <v>23.175577676212484</v>
      </c>
      <c r="I139" s="53"/>
      <c r="J139" s="776">
        <f t="shared" si="36"/>
        <v>1.3905346605727491</v>
      </c>
      <c r="K139" s="1210">
        <f>'Recycling - Case 1'!Z201</f>
        <v>4547.532033975378</v>
      </c>
      <c r="L139" s="1209">
        <f t="shared" si="34"/>
        <v>0.1</v>
      </c>
      <c r="M139" s="1209">
        <f t="shared" si="28"/>
        <v>0.9</v>
      </c>
      <c r="N139" s="53">
        <f t="shared" si="35"/>
        <v>0</v>
      </c>
      <c r="O139" s="53">
        <f t="shared" si="35"/>
        <v>0</v>
      </c>
      <c r="P139" s="776">
        <f t="shared" si="32"/>
        <v>0.3638025627180303</v>
      </c>
      <c r="Q139" s="519">
        <f t="shared" si="21"/>
        <v>16.371115322311361</v>
      </c>
      <c r="R139" s="53"/>
      <c r="S139" s="1211">
        <f t="shared" si="22"/>
        <v>0.9822669193386816</v>
      </c>
      <c r="T139" s="1198">
        <f t="shared" si="23"/>
        <v>0.8788153999671966</v>
      </c>
      <c r="U139" s="1199">
        <f t="shared" si="23"/>
        <v>39.546692998523845</v>
      </c>
      <c r="V139" s="1199">
        <f t="shared" si="23"/>
        <v>0</v>
      </c>
      <c r="W139" s="1200">
        <f t="shared" si="23"/>
        <v>2.3728015799114308</v>
      </c>
    </row>
    <row r="140" spans="1:23">
      <c r="A140" s="123">
        <f>'Input data'!A142</f>
        <v>2042</v>
      </c>
      <c r="B140" s="1208">
        <f>'Recycling - Case 1'!AI122</f>
        <v>6437.6604656145792</v>
      </c>
      <c r="C140" s="1209">
        <f t="shared" si="33"/>
        <v>0.1</v>
      </c>
      <c r="D140" s="1209">
        <f t="shared" si="24"/>
        <v>0.9</v>
      </c>
      <c r="E140" s="53">
        <v>0</v>
      </c>
      <c r="F140" s="53">
        <v>0</v>
      </c>
      <c r="G140" s="776">
        <f t="shared" si="25"/>
        <v>0.51501283724916636</v>
      </c>
      <c r="H140" s="519">
        <f t="shared" si="26"/>
        <v>23.175577676212484</v>
      </c>
      <c r="I140" s="53"/>
      <c r="J140" s="776">
        <f t="shared" si="36"/>
        <v>1.3905346605727491</v>
      </c>
      <c r="K140" s="1210">
        <f>'Recycling - Case 1'!Z202</f>
        <v>4654.5439581418577</v>
      </c>
      <c r="L140" s="1209">
        <f t="shared" si="34"/>
        <v>0.1</v>
      </c>
      <c r="M140" s="1209">
        <f t="shared" si="28"/>
        <v>0.9</v>
      </c>
      <c r="N140" s="53">
        <f t="shared" si="35"/>
        <v>0</v>
      </c>
      <c r="O140" s="53">
        <f t="shared" si="35"/>
        <v>0</v>
      </c>
      <c r="P140" s="776">
        <f t="shared" si="32"/>
        <v>0.3723635166513487</v>
      </c>
      <c r="Q140" s="519">
        <f t="shared" si="21"/>
        <v>16.756358249310686</v>
      </c>
      <c r="R140" s="53"/>
      <c r="S140" s="1211">
        <f t="shared" si="22"/>
        <v>1.0053814949586413</v>
      </c>
      <c r="T140" s="1198">
        <f t="shared" si="23"/>
        <v>0.88737635390051506</v>
      </c>
      <c r="U140" s="1199">
        <f t="shared" si="23"/>
        <v>39.93193592552317</v>
      </c>
      <c r="V140" s="1199">
        <f t="shared" si="23"/>
        <v>0</v>
      </c>
      <c r="W140" s="1200">
        <f t="shared" si="23"/>
        <v>2.3959161555313901</v>
      </c>
    </row>
    <row r="141" spans="1:23">
      <c r="A141" s="123">
        <f>'Input data'!A143</f>
        <v>2043</v>
      </c>
      <c r="B141" s="1208">
        <f>'Recycling - Case 1'!AI123</f>
        <v>6437.6604656145792</v>
      </c>
      <c r="C141" s="1209">
        <f t="shared" si="33"/>
        <v>0.1</v>
      </c>
      <c r="D141" s="1209">
        <f t="shared" si="24"/>
        <v>0.9</v>
      </c>
      <c r="E141" s="53">
        <v>0</v>
      </c>
      <c r="F141" s="53">
        <v>0</v>
      </c>
      <c r="G141" s="776">
        <f t="shared" si="25"/>
        <v>0.51501283724916636</v>
      </c>
      <c r="H141" s="519">
        <f t="shared" si="26"/>
        <v>23.175577676212484</v>
      </c>
      <c r="I141" s="53"/>
      <c r="J141" s="776">
        <f t="shared" si="36"/>
        <v>1.3905346605727491</v>
      </c>
      <c r="K141" s="1210">
        <f>'Recycling - Case 1'!Z203</f>
        <v>4764.3177609587738</v>
      </c>
      <c r="L141" s="1209">
        <f t="shared" si="34"/>
        <v>0.1</v>
      </c>
      <c r="M141" s="1209">
        <f t="shared" si="28"/>
        <v>0.9</v>
      </c>
      <c r="N141" s="53">
        <f t="shared" si="35"/>
        <v>0</v>
      </c>
      <c r="O141" s="53">
        <f t="shared" si="35"/>
        <v>0</v>
      </c>
      <c r="P141" s="776">
        <f t="shared" si="32"/>
        <v>0.38114542087670195</v>
      </c>
      <c r="Q141" s="519">
        <f t="shared" si="21"/>
        <v>17.151543939451585</v>
      </c>
      <c r="R141" s="53"/>
      <c r="S141" s="1211">
        <f t="shared" si="22"/>
        <v>1.0290926363670951</v>
      </c>
      <c r="T141" s="1198">
        <f t="shared" si="23"/>
        <v>0.89615825812586825</v>
      </c>
      <c r="U141" s="1199">
        <f t="shared" si="23"/>
        <v>40.327121615664069</v>
      </c>
      <c r="V141" s="1199">
        <f t="shared" si="23"/>
        <v>0</v>
      </c>
      <c r="W141" s="1200">
        <f t="shared" si="23"/>
        <v>2.4196272969398445</v>
      </c>
    </row>
    <row r="142" spans="1:23">
      <c r="A142" s="123">
        <f>'Input data'!A144</f>
        <v>2044</v>
      </c>
      <c r="B142" s="1208">
        <f>'Recycling - Case 1'!AI124</f>
        <v>6437.6604656145792</v>
      </c>
      <c r="C142" s="1209">
        <f t="shared" si="33"/>
        <v>0.1</v>
      </c>
      <c r="D142" s="1209">
        <f t="shared" si="24"/>
        <v>0.9</v>
      </c>
      <c r="E142" s="53">
        <v>0</v>
      </c>
      <c r="F142" s="53">
        <v>0</v>
      </c>
      <c r="G142" s="776">
        <f t="shared" si="25"/>
        <v>0.51501283724916636</v>
      </c>
      <c r="H142" s="519">
        <f t="shared" si="26"/>
        <v>23.175577676212484</v>
      </c>
      <c r="I142" s="53"/>
      <c r="J142" s="776">
        <f t="shared" si="36"/>
        <v>1.3905346605727491</v>
      </c>
      <c r="K142" s="1210">
        <f>'Recycling - Case 1'!Z204</f>
        <v>4878.3539906692804</v>
      </c>
      <c r="L142" s="1209">
        <f t="shared" si="34"/>
        <v>0.1</v>
      </c>
      <c r="M142" s="1209">
        <f t="shared" si="28"/>
        <v>0.9</v>
      </c>
      <c r="N142" s="53">
        <f t="shared" si="35"/>
        <v>0</v>
      </c>
      <c r="O142" s="53">
        <f t="shared" si="35"/>
        <v>0</v>
      </c>
      <c r="P142" s="776">
        <f t="shared" si="32"/>
        <v>0.39026831925354255</v>
      </c>
      <c r="Q142" s="519">
        <f t="shared" si="21"/>
        <v>17.562074366409412</v>
      </c>
      <c r="R142" s="53"/>
      <c r="S142" s="1211">
        <f t="shared" si="22"/>
        <v>1.0537244619845647</v>
      </c>
      <c r="T142" s="1198">
        <f t="shared" si="23"/>
        <v>0.90528115650270891</v>
      </c>
      <c r="U142" s="1199">
        <f t="shared" si="23"/>
        <v>40.737652042621896</v>
      </c>
      <c r="V142" s="1199">
        <f t="shared" si="23"/>
        <v>0</v>
      </c>
      <c r="W142" s="1200">
        <f t="shared" si="23"/>
        <v>2.4442591225573138</v>
      </c>
    </row>
    <row r="143" spans="1:23">
      <c r="A143" s="123">
        <f>'Input data'!A145</f>
        <v>2045</v>
      </c>
      <c r="B143" s="1208">
        <f>'Recycling - Case 1'!AI125</f>
        <v>6437.6604656145792</v>
      </c>
      <c r="C143" s="1209">
        <f t="shared" si="33"/>
        <v>0.1</v>
      </c>
      <c r="D143" s="1209">
        <f t="shared" si="24"/>
        <v>0.9</v>
      </c>
      <c r="E143" s="53">
        <v>0</v>
      </c>
      <c r="F143" s="53">
        <v>0</v>
      </c>
      <c r="G143" s="776">
        <f t="shared" si="25"/>
        <v>0.51501283724916636</v>
      </c>
      <c r="H143" s="519">
        <f t="shared" si="26"/>
        <v>23.175577676212484</v>
      </c>
      <c r="I143" s="53"/>
      <c r="J143" s="776">
        <f t="shared" si="36"/>
        <v>1.3905346605727491</v>
      </c>
      <c r="K143" s="1210">
        <f>'Recycling - Case 1'!Z205</f>
        <v>4997.2071977110627</v>
      </c>
      <c r="L143" s="1209">
        <f t="shared" si="34"/>
        <v>0.1</v>
      </c>
      <c r="M143" s="1209">
        <f t="shared" si="28"/>
        <v>0.9</v>
      </c>
      <c r="N143" s="53">
        <f t="shared" si="35"/>
        <v>0</v>
      </c>
      <c r="O143" s="53">
        <f t="shared" si="35"/>
        <v>0</v>
      </c>
      <c r="P143" s="776">
        <f t="shared" si="32"/>
        <v>0.39977657581688508</v>
      </c>
      <c r="Q143" s="519">
        <f t="shared" si="21"/>
        <v>17.989945911759825</v>
      </c>
      <c r="R143" s="53"/>
      <c r="S143" s="1211">
        <f t="shared" si="22"/>
        <v>1.0793967547055896</v>
      </c>
      <c r="T143" s="1198">
        <f t="shared" si="23"/>
        <v>0.91478941306605144</v>
      </c>
      <c r="U143" s="1199">
        <f t="shared" si="23"/>
        <v>41.165523587972309</v>
      </c>
      <c r="V143" s="1199">
        <f t="shared" si="23"/>
        <v>0</v>
      </c>
      <c r="W143" s="1200">
        <f t="shared" si="23"/>
        <v>2.4699314152783387</v>
      </c>
    </row>
    <row r="144" spans="1:23">
      <c r="A144" s="123">
        <f>'Input data'!A146</f>
        <v>2046</v>
      </c>
      <c r="B144" s="1208">
        <f>'Recycling - Case 1'!AI126</f>
        <v>6437.6604656145792</v>
      </c>
      <c r="C144" s="1209">
        <f t="shared" si="33"/>
        <v>0.1</v>
      </c>
      <c r="D144" s="1209">
        <f t="shared" si="24"/>
        <v>0.9</v>
      </c>
      <c r="E144" s="53">
        <v>0</v>
      </c>
      <c r="F144" s="53">
        <v>0</v>
      </c>
      <c r="G144" s="776">
        <f t="shared" si="25"/>
        <v>0.51501283724916636</v>
      </c>
      <c r="H144" s="519">
        <f t="shared" si="26"/>
        <v>23.175577676212484</v>
      </c>
      <c r="I144" s="53"/>
      <c r="J144" s="776">
        <f t="shared" si="36"/>
        <v>1.3905346605727491</v>
      </c>
      <c r="K144" s="1210">
        <f>'Recycling - Case 1'!Z206</f>
        <v>5124.3025465521841</v>
      </c>
      <c r="L144" s="1209">
        <f t="shared" si="34"/>
        <v>0.1</v>
      </c>
      <c r="M144" s="1209">
        <f t="shared" si="28"/>
        <v>0.9</v>
      </c>
      <c r="N144" s="53">
        <f t="shared" si="35"/>
        <v>0</v>
      </c>
      <c r="O144" s="53">
        <f t="shared" si="35"/>
        <v>0</v>
      </c>
      <c r="P144" s="776">
        <f t="shared" si="32"/>
        <v>0.40994420372417484</v>
      </c>
      <c r="Q144" s="519">
        <f t="shared" si="21"/>
        <v>18.447489167587865</v>
      </c>
      <c r="R144" s="53"/>
      <c r="S144" s="1211">
        <f t="shared" si="22"/>
        <v>1.1068493500552719</v>
      </c>
      <c r="T144" s="1198">
        <f t="shared" si="23"/>
        <v>0.92495704097334119</v>
      </c>
      <c r="U144" s="1199">
        <f t="shared" si="23"/>
        <v>41.623066843800345</v>
      </c>
      <c r="V144" s="1199">
        <f t="shared" si="23"/>
        <v>0</v>
      </c>
      <c r="W144" s="1200">
        <f t="shared" si="23"/>
        <v>2.497384010628021</v>
      </c>
    </row>
    <row r="145" spans="1:23">
      <c r="A145" s="123">
        <f>'Input data'!A147</f>
        <v>2047</v>
      </c>
      <c r="B145" s="1208">
        <f>'Recycling - Case 1'!AI127</f>
        <v>6437.6604656145792</v>
      </c>
      <c r="C145" s="1209">
        <f t="shared" si="33"/>
        <v>0.1</v>
      </c>
      <c r="D145" s="1209">
        <f t="shared" si="24"/>
        <v>0.9</v>
      </c>
      <c r="E145" s="53">
        <v>0</v>
      </c>
      <c r="F145" s="53">
        <v>0</v>
      </c>
      <c r="G145" s="776">
        <f t="shared" si="25"/>
        <v>0.51501283724916636</v>
      </c>
      <c r="H145" s="519">
        <f t="shared" si="26"/>
        <v>23.175577676212484</v>
      </c>
      <c r="I145" s="53"/>
      <c r="J145" s="776">
        <f t="shared" si="36"/>
        <v>1.3905346605727491</v>
      </c>
      <c r="K145" s="1210">
        <f>'Recycling - Case 1'!Z207</f>
        <v>5203.2226853115508</v>
      </c>
      <c r="L145" s="1209">
        <f t="shared" si="34"/>
        <v>0.1</v>
      </c>
      <c r="M145" s="1209">
        <f t="shared" si="28"/>
        <v>0.9</v>
      </c>
      <c r="N145" s="53">
        <f t="shared" si="35"/>
        <v>0</v>
      </c>
      <c r="O145" s="53">
        <f t="shared" si="35"/>
        <v>0</v>
      </c>
      <c r="P145" s="776">
        <f t="shared" si="32"/>
        <v>0.41625781482492413</v>
      </c>
      <c r="Q145" s="519">
        <f t="shared" si="21"/>
        <v>18.731601667121584</v>
      </c>
      <c r="R145" s="53"/>
      <c r="S145" s="1211">
        <f t="shared" si="22"/>
        <v>1.1238961000272949</v>
      </c>
      <c r="T145" s="1198">
        <f t="shared" si="23"/>
        <v>0.93127065207409054</v>
      </c>
      <c r="U145" s="1199">
        <f t="shared" si="23"/>
        <v>41.907179343334064</v>
      </c>
      <c r="V145" s="1199">
        <f t="shared" si="23"/>
        <v>0</v>
      </c>
      <c r="W145" s="1200">
        <f t="shared" si="23"/>
        <v>2.5144307606000442</v>
      </c>
    </row>
    <row r="146" spans="1:23">
      <c r="A146" s="123">
        <f>'Input data'!A148</f>
        <v>2048</v>
      </c>
      <c r="B146" s="1208">
        <f>'Recycling - Case 1'!AI128</f>
        <v>6437.6604656145792</v>
      </c>
      <c r="C146" s="1209">
        <f t="shared" si="33"/>
        <v>0.1</v>
      </c>
      <c r="D146" s="1209">
        <f t="shared" si="24"/>
        <v>0.9</v>
      </c>
      <c r="E146" s="53">
        <v>0</v>
      </c>
      <c r="F146" s="53">
        <v>0</v>
      </c>
      <c r="G146" s="776">
        <f t="shared" si="25"/>
        <v>0.51501283724916636</v>
      </c>
      <c r="H146" s="519">
        <f t="shared" si="26"/>
        <v>23.175577676212484</v>
      </c>
      <c r="I146" s="53"/>
      <c r="J146" s="776">
        <f t="shared" si="36"/>
        <v>1.3905346605727491</v>
      </c>
      <c r="K146" s="1210">
        <f>'Recycling - Case 1'!Z208</f>
        <v>5276.7441124569687</v>
      </c>
      <c r="L146" s="1209">
        <f t="shared" si="34"/>
        <v>0.1</v>
      </c>
      <c r="M146" s="1209">
        <f t="shared" si="28"/>
        <v>0.9</v>
      </c>
      <c r="N146" s="53">
        <f t="shared" si="35"/>
        <v>0</v>
      </c>
      <c r="O146" s="53">
        <f t="shared" si="35"/>
        <v>0</v>
      </c>
      <c r="P146" s="776">
        <f t="shared" si="32"/>
        <v>0.4221395289965576</v>
      </c>
      <c r="Q146" s="519">
        <f t="shared" si="21"/>
        <v>18.99627880484509</v>
      </c>
      <c r="R146" s="53"/>
      <c r="S146" s="1211">
        <f t="shared" si="22"/>
        <v>1.1397767282907052</v>
      </c>
      <c r="T146" s="1198">
        <f t="shared" si="23"/>
        <v>0.93715236624572396</v>
      </c>
      <c r="U146" s="1199">
        <f t="shared" si="23"/>
        <v>42.171856481057574</v>
      </c>
      <c r="V146" s="1199">
        <f t="shared" si="23"/>
        <v>0</v>
      </c>
      <c r="W146" s="1200">
        <f t="shared" si="23"/>
        <v>2.5303113888634545</v>
      </c>
    </row>
    <row r="147" spans="1:23">
      <c r="A147" s="123">
        <f>'Input data'!A149</f>
        <v>2049</v>
      </c>
      <c r="B147" s="1208">
        <f>'Recycling - Case 1'!AI129</f>
        <v>6437.6604656145792</v>
      </c>
      <c r="C147" s="1209">
        <f t="shared" si="33"/>
        <v>0.1</v>
      </c>
      <c r="D147" s="1209">
        <f t="shared" si="24"/>
        <v>0.9</v>
      </c>
      <c r="E147" s="53">
        <v>0</v>
      </c>
      <c r="F147" s="53">
        <v>0</v>
      </c>
      <c r="G147" s="776">
        <f t="shared" si="25"/>
        <v>0.51501283724916636</v>
      </c>
      <c r="H147" s="519">
        <f t="shared" si="26"/>
        <v>23.175577676212484</v>
      </c>
      <c r="I147" s="53"/>
      <c r="J147" s="776">
        <f t="shared" si="36"/>
        <v>1.3905346605727491</v>
      </c>
      <c r="K147" s="1210">
        <f>'Recycling - Case 1'!Z209</f>
        <v>5349.9991379215398</v>
      </c>
      <c r="L147" s="1209">
        <f t="shared" si="34"/>
        <v>0.1</v>
      </c>
      <c r="M147" s="1209">
        <f t="shared" si="28"/>
        <v>0.9</v>
      </c>
      <c r="N147" s="53">
        <f t="shared" si="35"/>
        <v>0</v>
      </c>
      <c r="O147" s="53">
        <f t="shared" si="35"/>
        <v>0</v>
      </c>
      <c r="P147" s="776">
        <f t="shared" si="32"/>
        <v>0.42799993103372325</v>
      </c>
      <c r="Q147" s="519">
        <f t="shared" si="21"/>
        <v>19.259996896517542</v>
      </c>
      <c r="R147" s="53"/>
      <c r="S147" s="1211">
        <f t="shared" si="22"/>
        <v>1.1555998137910526</v>
      </c>
      <c r="T147" s="1198">
        <f t="shared" si="23"/>
        <v>0.9430127682828896</v>
      </c>
      <c r="U147" s="1199">
        <f t="shared" si="23"/>
        <v>42.435574572730026</v>
      </c>
      <c r="V147" s="1199">
        <f t="shared" si="23"/>
        <v>0</v>
      </c>
      <c r="W147" s="1200">
        <f t="shared" si="23"/>
        <v>2.5461344743638019</v>
      </c>
    </row>
    <row r="148" spans="1:23" ht="15.75" thickBot="1">
      <c r="A148" s="123">
        <f>'Input data'!A150</f>
        <v>2050</v>
      </c>
      <c r="B148" s="1208">
        <f>'Recycling - Case 1'!AI130</f>
        <v>6437.6604656145792</v>
      </c>
      <c r="C148" s="578">
        <f t="shared" si="33"/>
        <v>0.1</v>
      </c>
      <c r="D148" s="578">
        <f t="shared" si="24"/>
        <v>0.9</v>
      </c>
      <c r="E148" s="1212">
        <v>0</v>
      </c>
      <c r="F148" s="1212">
        <v>0</v>
      </c>
      <c r="G148" s="776">
        <f t="shared" si="25"/>
        <v>0.51501283724916636</v>
      </c>
      <c r="H148" s="519">
        <f t="shared" si="26"/>
        <v>23.175577676212484</v>
      </c>
      <c r="I148" s="1212"/>
      <c r="J148" s="1213">
        <f t="shared" si="36"/>
        <v>1.3905346605727491</v>
      </c>
      <c r="K148" s="1210">
        <f>'Recycling - Case 1'!Z210</f>
        <v>5421.623132687032</v>
      </c>
      <c r="L148" s="578">
        <f t="shared" si="34"/>
        <v>0.1</v>
      </c>
      <c r="M148" s="578">
        <f t="shared" si="28"/>
        <v>0.9</v>
      </c>
      <c r="N148" s="1212">
        <f t="shared" si="35"/>
        <v>0</v>
      </c>
      <c r="O148" s="1212">
        <f t="shared" si="35"/>
        <v>0</v>
      </c>
      <c r="P148" s="1213">
        <f t="shared" si="32"/>
        <v>0.43372985061496261</v>
      </c>
      <c r="Q148" s="1144">
        <f t="shared" si="21"/>
        <v>19.517843277673318</v>
      </c>
      <c r="R148" s="1212"/>
      <c r="S148" s="1214">
        <f t="shared" si="22"/>
        <v>1.1710705966603989</v>
      </c>
      <c r="T148" s="1215">
        <f t="shared" si="23"/>
        <v>0.94874268786412896</v>
      </c>
      <c r="U148" s="1216">
        <f t="shared" si="23"/>
        <v>42.693420953885806</v>
      </c>
      <c r="V148" s="1216">
        <f t="shared" si="23"/>
        <v>0</v>
      </c>
      <c r="W148" s="1217">
        <f t="shared" si="23"/>
        <v>2.5616052572331478</v>
      </c>
    </row>
    <row r="149" spans="1:23">
      <c r="A149" s="1202" t="s">
        <v>645</v>
      </c>
      <c r="B149" s="1203"/>
      <c r="C149" s="1218"/>
      <c r="D149" s="1218"/>
      <c r="E149" s="1219"/>
      <c r="F149" s="1219"/>
      <c r="G149" s="1220"/>
      <c r="H149" s="1221"/>
      <c r="I149" s="1222"/>
      <c r="J149" s="1220"/>
      <c r="K149" s="1223"/>
      <c r="L149" s="1218"/>
      <c r="M149" s="1218"/>
      <c r="N149" s="1219"/>
      <c r="O149" s="1219"/>
      <c r="P149" s="1220"/>
      <c r="Q149" s="1221"/>
      <c r="R149" s="1219"/>
      <c r="S149" s="1224"/>
      <c r="T149" s="1194"/>
      <c r="U149" s="1195"/>
      <c r="V149" s="1195"/>
      <c r="W149" s="1196"/>
    </row>
    <row r="150" spans="1:23">
      <c r="A150" s="123">
        <f>'Input data'!A118</f>
        <v>2018</v>
      </c>
      <c r="B150" s="1208">
        <f>'Recycling - Case 2'!AI98</f>
        <v>3707.5235423427162</v>
      </c>
      <c r="C150" s="1209">
        <f>($C$154-$C$80)/($A$154-$A$80)+C80</f>
        <v>6.0000000000000005E-2</v>
      </c>
      <c r="D150" s="1209">
        <f>1-C150</f>
        <v>0.94</v>
      </c>
      <c r="E150" s="53">
        <v>0</v>
      </c>
      <c r="F150" s="53">
        <v>0</v>
      </c>
      <c r="G150" s="776">
        <f>C150*$D$5*B150/1000-E150</f>
        <v>0.1779611300324504</v>
      </c>
      <c r="H150" s="519">
        <f>D150*$D$4*B150/1000-F150</f>
        <v>13.940288519208613</v>
      </c>
      <c r="I150" s="53"/>
      <c r="J150" s="776">
        <f>D150*$D$7*B150/1000</f>
        <v>0.83641731115251661</v>
      </c>
      <c r="K150" s="1210">
        <f>'Recycling - Case 2'!Z138</f>
        <v>1789.9687605419947</v>
      </c>
      <c r="L150" s="1209">
        <f>($L$154-$L$80)/($A$154-$A$80)+L80</f>
        <v>0.1</v>
      </c>
      <c r="M150" s="1209">
        <f>($M$154-$M$80)/($A$154-$A$80)+M80</f>
        <v>0.9</v>
      </c>
      <c r="N150" s="53">
        <f>N114</f>
        <v>0</v>
      </c>
      <c r="O150" s="53">
        <f>O114</f>
        <v>0</v>
      </c>
      <c r="P150" s="776">
        <f>L150*$D$5*K150/1000-N150</f>
        <v>0.14319750084335958</v>
      </c>
      <c r="Q150" s="519">
        <f t="shared" ref="Q150:Q182" si="37">M150*$D$4*K150/1000-O150</f>
        <v>6.4438875379511806</v>
      </c>
      <c r="R150" s="53"/>
      <c r="S150" s="1211">
        <f t="shared" ref="S150:S182" si="38">M150*$D$7*K150/1000</f>
        <v>0.38663325227707085</v>
      </c>
      <c r="T150" s="1198">
        <f t="shared" ref="T150:W182" si="39">G150+P150</f>
        <v>0.32115863087580998</v>
      </c>
      <c r="U150" s="1199">
        <f t="shared" si="39"/>
        <v>20.384176057159792</v>
      </c>
      <c r="V150" s="1199">
        <f t="shared" si="39"/>
        <v>0</v>
      </c>
      <c r="W150" s="1200">
        <f t="shared" si="39"/>
        <v>1.2230505634295874</v>
      </c>
    </row>
    <row r="151" spans="1:23">
      <c r="A151" s="123">
        <f>'Input data'!A119</f>
        <v>2019</v>
      </c>
      <c r="B151" s="1208">
        <f>'Recycling - Case 2'!AI99</f>
        <v>4010.8720893729233</v>
      </c>
      <c r="C151" s="1209">
        <f>($C$154-$C$80)/($A$154-$A$80)+C150</f>
        <v>7.0000000000000007E-2</v>
      </c>
      <c r="D151" s="1209">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0">
        <f>'Recycling - Case 2'!Z139</f>
        <v>2562.5527582487894</v>
      </c>
      <c r="L151" s="1209">
        <f>($L$154-$L$80)/($A$154-$A$80)+L150</f>
        <v>0.1</v>
      </c>
      <c r="M151" s="1209">
        <f>($M$154-$M$80)/($A$154-$A$80)+M150</f>
        <v>0.9</v>
      </c>
      <c r="N151" s="53">
        <f t="shared" ref="N151:O166" si="44">N149</f>
        <v>0</v>
      </c>
      <c r="O151" s="53">
        <f t="shared" si="44"/>
        <v>0</v>
      </c>
      <c r="P151" s="776">
        <f t="shared" ref="P151:P182" si="45">L151*$D$5*K151/1000-N151</f>
        <v>0.20500422065990317</v>
      </c>
      <c r="Q151" s="519">
        <f t="shared" si="37"/>
        <v>9.2251899296956417</v>
      </c>
      <c r="R151" s="53"/>
      <c r="S151" s="1211">
        <f t="shared" si="38"/>
        <v>0.55351139578173858</v>
      </c>
      <c r="T151" s="1198">
        <f t="shared" si="39"/>
        <v>0.42961305766478691</v>
      </c>
      <c r="U151" s="1199">
        <f t="shared" si="39"/>
        <v>24.145634102162916</v>
      </c>
      <c r="V151" s="1199">
        <f t="shared" si="39"/>
        <v>0</v>
      </c>
      <c r="W151" s="1200">
        <f t="shared" si="39"/>
        <v>1.448738046129775</v>
      </c>
    </row>
    <row r="152" spans="1:23">
      <c r="A152" s="123">
        <f>'Input data'!A120</f>
        <v>2020</v>
      </c>
      <c r="B152" s="1208">
        <f>'Recycling - Case 2'!AI100</f>
        <v>4617.5691834333375</v>
      </c>
      <c r="C152" s="1209">
        <f>($C$154-$C$80)/($A$154-$A$80)+C151</f>
        <v>0.08</v>
      </c>
      <c r="D152" s="1209">
        <f t="shared" si="40"/>
        <v>0.92</v>
      </c>
      <c r="E152" s="53">
        <v>0</v>
      </c>
      <c r="F152" s="53">
        <v>0</v>
      </c>
      <c r="G152" s="776">
        <f t="shared" si="41"/>
        <v>0.29552442773973359</v>
      </c>
      <c r="H152" s="519">
        <f t="shared" si="42"/>
        <v>16.992654595034679</v>
      </c>
      <c r="I152" s="53"/>
      <c r="J152" s="776">
        <f t="shared" si="43"/>
        <v>1.0195592757020808</v>
      </c>
      <c r="K152" s="1210">
        <f>'Recycling - Case 2'!Z140</f>
        <v>2560.9621544777392</v>
      </c>
      <c r="L152" s="1209">
        <f>($L$154-$L$80)/($A$154-$A$80)+L151</f>
        <v>0.1</v>
      </c>
      <c r="M152" s="1209">
        <f>($M$154-$M$80)/($A$154-$A$80)+M151</f>
        <v>0.9</v>
      </c>
      <c r="N152" s="53">
        <f t="shared" si="44"/>
        <v>0</v>
      </c>
      <c r="O152" s="53">
        <f t="shared" si="44"/>
        <v>0</v>
      </c>
      <c r="P152" s="776">
        <f t="shared" si="45"/>
        <v>0.20487697235821917</v>
      </c>
      <c r="Q152" s="519">
        <f t="shared" si="37"/>
        <v>9.2194637561198611</v>
      </c>
      <c r="R152" s="53"/>
      <c r="S152" s="1211">
        <f t="shared" si="38"/>
        <v>0.55316782536719167</v>
      </c>
      <c r="T152" s="1198">
        <f t="shared" si="39"/>
        <v>0.50040140009795275</v>
      </c>
      <c r="U152" s="1199">
        <f t="shared" si="39"/>
        <v>26.21211835115454</v>
      </c>
      <c r="V152" s="1199">
        <f t="shared" si="39"/>
        <v>0</v>
      </c>
      <c r="W152" s="1200">
        <f t="shared" si="39"/>
        <v>1.5727271010692725</v>
      </c>
    </row>
    <row r="153" spans="1:23">
      <c r="A153" s="123">
        <f>'Input data'!A121</f>
        <v>2021</v>
      </c>
      <c r="B153" s="1208">
        <f>'Recycling - Case 2'!AI101</f>
        <v>5830.9633715541659</v>
      </c>
      <c r="C153" s="1209">
        <f>($C$154-$C$80)/($A$154-$A$80)+C152</f>
        <v>0.09</v>
      </c>
      <c r="D153" s="1209">
        <f t="shared" si="40"/>
        <v>0.91</v>
      </c>
      <c r="E153" s="53">
        <v>0</v>
      </c>
      <c r="F153" s="53">
        <v>0</v>
      </c>
      <c r="G153" s="776">
        <f t="shared" si="41"/>
        <v>0.41982936275189991</v>
      </c>
      <c r="H153" s="519">
        <f t="shared" si="42"/>
        <v>21.224706672457163</v>
      </c>
      <c r="I153" s="53"/>
      <c r="J153" s="776">
        <f t="shared" si="43"/>
        <v>1.2734824003474299</v>
      </c>
      <c r="K153" s="1210">
        <f>'Recycling - Case 2'!Z141</f>
        <v>2937.5012039878866</v>
      </c>
      <c r="L153" s="1209">
        <f>($L$154-$L$80)/($A$154-$A$80)+L152</f>
        <v>0.1</v>
      </c>
      <c r="M153" s="1209">
        <f>($M$154-$M$80)/($A$154-$A$80)+M152</f>
        <v>0.9</v>
      </c>
      <c r="N153" s="53">
        <f t="shared" si="44"/>
        <v>0</v>
      </c>
      <c r="O153" s="53">
        <f t="shared" si="44"/>
        <v>0</v>
      </c>
      <c r="P153" s="776">
        <f t="shared" si="45"/>
        <v>0.23500009631903096</v>
      </c>
      <c r="Q153" s="519">
        <f t="shared" si="37"/>
        <v>10.575004334356391</v>
      </c>
      <c r="R153" s="53"/>
      <c r="S153" s="1211">
        <f t="shared" si="38"/>
        <v>0.63450026006138349</v>
      </c>
      <c r="T153" s="1198">
        <f t="shared" si="39"/>
        <v>0.65482945907093093</v>
      </c>
      <c r="U153" s="1199">
        <f t="shared" si="39"/>
        <v>31.799711006813553</v>
      </c>
      <c r="V153" s="1199">
        <f t="shared" si="39"/>
        <v>0</v>
      </c>
      <c r="W153" s="1200">
        <f t="shared" si="39"/>
        <v>1.9079826604088135</v>
      </c>
    </row>
    <row r="154" spans="1:23">
      <c r="A154" s="123">
        <f>'Input data'!A122</f>
        <v>2022</v>
      </c>
      <c r="B154" s="1208">
        <f>'Recycling - Case 2'!AI102</f>
        <v>6437.6604656145792</v>
      </c>
      <c r="C154" s="1209">
        <f>'Recycling - Case 2'!E31</f>
        <v>0.1</v>
      </c>
      <c r="D154" s="1209">
        <f>'Recycling - Case 2'!F31</f>
        <v>0.9</v>
      </c>
      <c r="E154" s="53">
        <v>0</v>
      </c>
      <c r="F154" s="53">
        <v>0</v>
      </c>
      <c r="G154" s="776">
        <f t="shared" si="41"/>
        <v>0.51501283724916636</v>
      </c>
      <c r="H154" s="519">
        <f t="shared" si="42"/>
        <v>23.175577676212484</v>
      </c>
      <c r="I154" s="53"/>
      <c r="J154" s="776">
        <f t="shared" si="43"/>
        <v>1.3905346605727491</v>
      </c>
      <c r="K154" s="1210">
        <f>'Recycling - Case 2'!Z142</f>
        <v>3148.72204906348</v>
      </c>
      <c r="L154" s="1209">
        <f>'Recycling - Case 2'!E31</f>
        <v>0.1</v>
      </c>
      <c r="M154" s="1209">
        <f>'Recycling - Case 2'!F31</f>
        <v>0.9</v>
      </c>
      <c r="N154" s="53">
        <f t="shared" si="44"/>
        <v>0</v>
      </c>
      <c r="O154" s="53">
        <f t="shared" si="44"/>
        <v>0</v>
      </c>
      <c r="P154" s="776">
        <f t="shared" si="45"/>
        <v>0.25189776392507846</v>
      </c>
      <c r="Q154" s="519">
        <f t="shared" si="37"/>
        <v>11.335399376628528</v>
      </c>
      <c r="R154" s="53"/>
      <c r="S154" s="1211">
        <f t="shared" si="38"/>
        <v>0.68012396259771157</v>
      </c>
      <c r="T154" s="1198">
        <f t="shared" si="39"/>
        <v>0.76691060117424481</v>
      </c>
      <c r="U154" s="1199">
        <f t="shared" si="39"/>
        <v>34.510977052841014</v>
      </c>
      <c r="V154" s="1199">
        <f t="shared" si="39"/>
        <v>0</v>
      </c>
      <c r="W154" s="1200">
        <f t="shared" si="39"/>
        <v>2.0706586231704609</v>
      </c>
    </row>
    <row r="155" spans="1:23">
      <c r="A155" s="123">
        <f>'Input data'!A123</f>
        <v>2023</v>
      </c>
      <c r="B155" s="1208">
        <f>'Recycling - Case 2'!AI103</f>
        <v>6437.6604656145792</v>
      </c>
      <c r="C155" s="1209">
        <f>C154</f>
        <v>0.1</v>
      </c>
      <c r="D155" s="1209">
        <f>D154</f>
        <v>0.9</v>
      </c>
      <c r="E155" s="53">
        <v>0</v>
      </c>
      <c r="F155" s="53">
        <v>0</v>
      </c>
      <c r="G155" s="776">
        <f t="shared" si="41"/>
        <v>0.51501283724916636</v>
      </c>
      <c r="H155" s="519">
        <f t="shared" si="42"/>
        <v>23.175577676212484</v>
      </c>
      <c r="I155" s="53"/>
      <c r="J155" s="776">
        <f t="shared" si="43"/>
        <v>1.3905346605727491</v>
      </c>
      <c r="K155" s="1210">
        <f>'Recycling - Case 2'!Z143</f>
        <v>3204.8349418807438</v>
      </c>
      <c r="L155" s="1209">
        <f>L154</f>
        <v>0.1</v>
      </c>
      <c r="M155" s="1209">
        <f>M154</f>
        <v>0.9</v>
      </c>
      <c r="N155" s="53">
        <f t="shared" si="44"/>
        <v>0</v>
      </c>
      <c r="O155" s="53">
        <f t="shared" si="44"/>
        <v>0</v>
      </c>
      <c r="P155" s="776">
        <f t="shared" si="45"/>
        <v>0.25638679535045961</v>
      </c>
      <c r="Q155" s="519">
        <f t="shared" si="37"/>
        <v>11.537405790770677</v>
      </c>
      <c r="R155" s="53"/>
      <c r="S155" s="1211">
        <f t="shared" si="38"/>
        <v>0.69224434744624064</v>
      </c>
      <c r="T155" s="1198">
        <f t="shared" si="39"/>
        <v>0.77139963259962596</v>
      </c>
      <c r="U155" s="1199">
        <f t="shared" si="39"/>
        <v>34.712983466983161</v>
      </c>
      <c r="V155" s="1199">
        <f t="shared" si="39"/>
        <v>0</v>
      </c>
      <c r="W155" s="1200">
        <f t="shared" si="39"/>
        <v>2.0827790080189899</v>
      </c>
    </row>
    <row r="156" spans="1:23">
      <c r="A156" s="123">
        <f>'Input data'!A124</f>
        <v>2024</v>
      </c>
      <c r="B156" s="1208">
        <f>'Recycling - Case 2'!AI104</f>
        <v>6437.6604656145792</v>
      </c>
      <c r="C156" s="1209">
        <f t="shared" ref="C156:D171" si="46">C155</f>
        <v>0.1</v>
      </c>
      <c r="D156" s="1209">
        <f t="shared" si="46"/>
        <v>0.9</v>
      </c>
      <c r="E156" s="53">
        <v>0</v>
      </c>
      <c r="F156" s="53">
        <v>0</v>
      </c>
      <c r="G156" s="776">
        <f t="shared" si="41"/>
        <v>0.51501283724916636</v>
      </c>
      <c r="H156" s="519">
        <f t="shared" si="42"/>
        <v>23.175577676212484</v>
      </c>
      <c r="I156" s="53"/>
      <c r="J156" s="776">
        <f t="shared" si="43"/>
        <v>1.3905346605727491</v>
      </c>
      <c r="K156" s="1210">
        <f>'Recycling - Case 2'!Z144</f>
        <v>3265.0525952906887</v>
      </c>
      <c r="L156" s="1209">
        <f t="shared" ref="L156:M171" si="47">L155</f>
        <v>0.1</v>
      </c>
      <c r="M156" s="1209">
        <f t="shared" si="47"/>
        <v>0.9</v>
      </c>
      <c r="N156" s="53">
        <f t="shared" si="44"/>
        <v>0</v>
      </c>
      <c r="O156" s="53">
        <f t="shared" si="44"/>
        <v>0</v>
      </c>
      <c r="P156" s="776">
        <f t="shared" si="45"/>
        <v>0.26120420762325519</v>
      </c>
      <c r="Q156" s="519">
        <f t="shared" si="37"/>
        <v>11.754189343046479</v>
      </c>
      <c r="R156" s="53"/>
      <c r="S156" s="1211">
        <f t="shared" si="38"/>
        <v>0.7052513605827887</v>
      </c>
      <c r="T156" s="1198">
        <f t="shared" si="39"/>
        <v>0.77621704487242149</v>
      </c>
      <c r="U156" s="1199">
        <f t="shared" si="39"/>
        <v>34.929767019258961</v>
      </c>
      <c r="V156" s="1199">
        <f t="shared" si="39"/>
        <v>0</v>
      </c>
      <c r="W156" s="1200">
        <f t="shared" si="39"/>
        <v>2.0957860211555377</v>
      </c>
    </row>
    <row r="157" spans="1:23">
      <c r="A157" s="123">
        <f>'Input data'!A125</f>
        <v>2025</v>
      </c>
      <c r="B157" s="1208">
        <f>'Recycling - Case 2'!AI105</f>
        <v>6437.6604656145792</v>
      </c>
      <c r="C157" s="1209">
        <f t="shared" si="46"/>
        <v>0.1</v>
      </c>
      <c r="D157" s="1209">
        <f t="shared" si="46"/>
        <v>0.9</v>
      </c>
      <c r="E157" s="53">
        <v>0</v>
      </c>
      <c r="F157" s="53">
        <v>0</v>
      </c>
      <c r="G157" s="776">
        <f t="shared" si="41"/>
        <v>0.51501283724916636</v>
      </c>
      <c r="H157" s="519">
        <f t="shared" si="42"/>
        <v>23.175577676212484</v>
      </c>
      <c r="I157" s="53"/>
      <c r="J157" s="776">
        <f t="shared" si="43"/>
        <v>1.3905346605727491</v>
      </c>
      <c r="K157" s="1210">
        <f>'Recycling - Case 2'!Z145</f>
        <v>3322.0462446854558</v>
      </c>
      <c r="L157" s="1209">
        <f t="shared" si="47"/>
        <v>0.1</v>
      </c>
      <c r="M157" s="1209">
        <f t="shared" si="47"/>
        <v>0.9</v>
      </c>
      <c r="N157" s="53">
        <f t="shared" si="44"/>
        <v>0</v>
      </c>
      <c r="O157" s="53">
        <f t="shared" si="44"/>
        <v>0</v>
      </c>
      <c r="P157" s="776">
        <f t="shared" si="45"/>
        <v>0.26576369957483648</v>
      </c>
      <c r="Q157" s="519">
        <f t="shared" si="37"/>
        <v>11.95936648086764</v>
      </c>
      <c r="R157" s="53"/>
      <c r="S157" s="1211">
        <f t="shared" si="38"/>
        <v>0.71756198885205846</v>
      </c>
      <c r="T157" s="1198">
        <f t="shared" si="39"/>
        <v>0.78077653682400283</v>
      </c>
      <c r="U157" s="1199">
        <f t="shared" si="39"/>
        <v>35.134944157080128</v>
      </c>
      <c r="V157" s="1199">
        <f t="shared" si="39"/>
        <v>0</v>
      </c>
      <c r="W157" s="1200">
        <f t="shared" si="39"/>
        <v>2.1080966494248075</v>
      </c>
    </row>
    <row r="158" spans="1:23">
      <c r="A158" s="123">
        <f>'Input data'!A126</f>
        <v>2026</v>
      </c>
      <c r="B158" s="1208">
        <f>'Recycling - Case 2'!AI106</f>
        <v>6437.6604656145792</v>
      </c>
      <c r="C158" s="1209">
        <f t="shared" si="46"/>
        <v>0.1</v>
      </c>
      <c r="D158" s="1209">
        <f t="shared" si="46"/>
        <v>0.9</v>
      </c>
      <c r="E158" s="53">
        <v>0</v>
      </c>
      <c r="F158" s="53">
        <v>0</v>
      </c>
      <c r="G158" s="776">
        <f t="shared" si="41"/>
        <v>0.51501283724916636</v>
      </c>
      <c r="H158" s="519">
        <f t="shared" si="42"/>
        <v>23.175577676212484</v>
      </c>
      <c r="I158" s="53"/>
      <c r="J158" s="776">
        <f t="shared" si="43"/>
        <v>1.3905346605727491</v>
      </c>
      <c r="K158" s="1210">
        <f>'Recycling - Case 2'!Z146</f>
        <v>3371.5806470164412</v>
      </c>
      <c r="L158" s="1209">
        <f t="shared" si="47"/>
        <v>0.1</v>
      </c>
      <c r="M158" s="1209">
        <f t="shared" si="47"/>
        <v>0.9</v>
      </c>
      <c r="N158" s="53">
        <f t="shared" si="44"/>
        <v>0</v>
      </c>
      <c r="O158" s="53">
        <f t="shared" si="44"/>
        <v>0</v>
      </c>
      <c r="P158" s="776">
        <f t="shared" si="45"/>
        <v>0.26972645176131532</v>
      </c>
      <c r="Q158" s="519">
        <f t="shared" si="37"/>
        <v>12.137690329259188</v>
      </c>
      <c r="R158" s="53"/>
      <c r="S158" s="1211">
        <f t="shared" si="38"/>
        <v>0.72826141975555125</v>
      </c>
      <c r="T158" s="1198">
        <f t="shared" si="39"/>
        <v>0.78473928901048162</v>
      </c>
      <c r="U158" s="1199">
        <f t="shared" si="39"/>
        <v>35.31326800547167</v>
      </c>
      <c r="V158" s="1199">
        <f t="shared" si="39"/>
        <v>0</v>
      </c>
      <c r="W158" s="1200">
        <f t="shared" si="39"/>
        <v>2.1187960803283001</v>
      </c>
    </row>
    <row r="159" spans="1:23">
      <c r="A159" s="123">
        <f>'Input data'!A127</f>
        <v>2027</v>
      </c>
      <c r="B159" s="1208">
        <f>'Recycling - Case 2'!AI107</f>
        <v>6437.6604656145792</v>
      </c>
      <c r="C159" s="1209">
        <f t="shared" si="46"/>
        <v>0.1</v>
      </c>
      <c r="D159" s="1209">
        <f t="shared" si="46"/>
        <v>0.9</v>
      </c>
      <c r="E159" s="53">
        <v>0</v>
      </c>
      <c r="F159" s="53">
        <v>0</v>
      </c>
      <c r="G159" s="776">
        <f t="shared" si="41"/>
        <v>0.51501283724916636</v>
      </c>
      <c r="H159" s="519">
        <f t="shared" si="42"/>
        <v>23.175577676212484</v>
      </c>
      <c r="I159" s="53"/>
      <c r="J159" s="776">
        <f t="shared" si="43"/>
        <v>1.3905346605727491</v>
      </c>
      <c r="K159" s="1210">
        <f>'Recycling - Case 2'!Z147</f>
        <v>3420.7616593626267</v>
      </c>
      <c r="L159" s="1209">
        <f t="shared" si="47"/>
        <v>0.1</v>
      </c>
      <c r="M159" s="1209">
        <f t="shared" si="47"/>
        <v>0.9</v>
      </c>
      <c r="N159" s="53">
        <f t="shared" si="44"/>
        <v>0</v>
      </c>
      <c r="O159" s="53">
        <f t="shared" si="44"/>
        <v>0</v>
      </c>
      <c r="P159" s="776">
        <f t="shared" si="45"/>
        <v>0.27366093274901021</v>
      </c>
      <c r="Q159" s="519">
        <f t="shared" si="37"/>
        <v>12.314741973705457</v>
      </c>
      <c r="R159" s="53"/>
      <c r="S159" s="1211">
        <f t="shared" si="38"/>
        <v>0.73888451842232739</v>
      </c>
      <c r="T159" s="1198">
        <f t="shared" si="39"/>
        <v>0.78867376999817651</v>
      </c>
      <c r="U159" s="1199">
        <f t="shared" si="39"/>
        <v>35.490319649917943</v>
      </c>
      <c r="V159" s="1199">
        <f t="shared" si="39"/>
        <v>0</v>
      </c>
      <c r="W159" s="1200">
        <f t="shared" si="39"/>
        <v>2.1294191789950765</v>
      </c>
    </row>
    <row r="160" spans="1:23">
      <c r="A160" s="123">
        <f>'Input data'!A128</f>
        <v>2028</v>
      </c>
      <c r="B160" s="1208">
        <f>'Recycling - Case 2'!AI108</f>
        <v>6437.6604656145792</v>
      </c>
      <c r="C160" s="1209">
        <f t="shared" si="46"/>
        <v>0.1</v>
      </c>
      <c r="D160" s="1209">
        <f t="shared" si="46"/>
        <v>0.9</v>
      </c>
      <c r="E160" s="53">
        <v>0</v>
      </c>
      <c r="F160" s="53">
        <v>0</v>
      </c>
      <c r="G160" s="776">
        <f t="shared" si="41"/>
        <v>0.51501283724916636</v>
      </c>
      <c r="H160" s="519">
        <f t="shared" si="42"/>
        <v>23.175577676212484</v>
      </c>
      <c r="I160" s="53"/>
      <c r="J160" s="776">
        <f t="shared" si="43"/>
        <v>1.3905346605727491</v>
      </c>
      <c r="K160" s="1210">
        <f>'Recycling - Case 2'!Z148</f>
        <v>3471.0300255081979</v>
      </c>
      <c r="L160" s="1209">
        <f t="shared" si="47"/>
        <v>0.1</v>
      </c>
      <c r="M160" s="1209">
        <f t="shared" si="47"/>
        <v>0.9</v>
      </c>
      <c r="N160" s="53">
        <f t="shared" si="44"/>
        <v>0</v>
      </c>
      <c r="O160" s="53">
        <f t="shared" si="44"/>
        <v>0</v>
      </c>
      <c r="P160" s="776">
        <f t="shared" si="45"/>
        <v>0.27768240204065592</v>
      </c>
      <c r="Q160" s="519">
        <f t="shared" si="37"/>
        <v>12.495708091829512</v>
      </c>
      <c r="R160" s="53"/>
      <c r="S160" s="1211">
        <f t="shared" si="38"/>
        <v>0.74974248550977074</v>
      </c>
      <c r="T160" s="1198">
        <f t="shared" si="39"/>
        <v>0.79269523928982233</v>
      </c>
      <c r="U160" s="1199">
        <f t="shared" si="39"/>
        <v>35.671285768041997</v>
      </c>
      <c r="V160" s="1199">
        <f t="shared" si="39"/>
        <v>0</v>
      </c>
      <c r="W160" s="1200">
        <f t="shared" si="39"/>
        <v>2.1402771460825196</v>
      </c>
    </row>
    <row r="161" spans="1:23">
      <c r="A161" s="123">
        <f>'Input data'!A129</f>
        <v>2029</v>
      </c>
      <c r="B161" s="1208">
        <f>'Recycling - Case 2'!AI109</f>
        <v>6437.6604656145792</v>
      </c>
      <c r="C161" s="1209">
        <f t="shared" si="46"/>
        <v>0.1</v>
      </c>
      <c r="D161" s="1209">
        <f t="shared" si="46"/>
        <v>0.9</v>
      </c>
      <c r="E161" s="53">
        <v>0</v>
      </c>
      <c r="F161" s="53">
        <v>0</v>
      </c>
      <c r="G161" s="776">
        <f t="shared" si="41"/>
        <v>0.51501283724916636</v>
      </c>
      <c r="H161" s="519">
        <f t="shared" si="42"/>
        <v>23.175577676212484</v>
      </c>
      <c r="I161" s="53"/>
      <c r="J161" s="776">
        <f t="shared" si="43"/>
        <v>1.3905346605727491</v>
      </c>
      <c r="K161" s="1210">
        <f>'Recycling - Case 2'!Z149</f>
        <v>3537.8044223284328</v>
      </c>
      <c r="L161" s="1209">
        <f t="shared" si="47"/>
        <v>0.1</v>
      </c>
      <c r="M161" s="1209">
        <f t="shared" si="47"/>
        <v>0.9</v>
      </c>
      <c r="N161" s="53">
        <f t="shared" si="44"/>
        <v>0</v>
      </c>
      <c r="O161" s="53">
        <f t="shared" si="44"/>
        <v>0</v>
      </c>
      <c r="P161" s="776">
        <f t="shared" si="45"/>
        <v>0.28302435378627466</v>
      </c>
      <c r="Q161" s="519">
        <f t="shared" si="37"/>
        <v>12.736095920382359</v>
      </c>
      <c r="R161" s="53"/>
      <c r="S161" s="1211">
        <f t="shared" si="38"/>
        <v>0.7641657552229415</v>
      </c>
      <c r="T161" s="1198">
        <f t="shared" si="39"/>
        <v>0.79803719103544102</v>
      </c>
      <c r="U161" s="1199">
        <f t="shared" si="39"/>
        <v>35.911673596594845</v>
      </c>
      <c r="V161" s="1199">
        <f t="shared" si="39"/>
        <v>0</v>
      </c>
      <c r="W161" s="1200">
        <f t="shared" si="39"/>
        <v>2.1547004157956904</v>
      </c>
    </row>
    <row r="162" spans="1:23">
      <c r="A162" s="123">
        <f>'Input data'!A130</f>
        <v>2030</v>
      </c>
      <c r="B162" s="1208">
        <f>'Recycling - Case 2'!AI110</f>
        <v>6437.6604656145792</v>
      </c>
      <c r="C162" s="1209">
        <f t="shared" si="46"/>
        <v>0.1</v>
      </c>
      <c r="D162" s="1209">
        <f t="shared" si="46"/>
        <v>0.9</v>
      </c>
      <c r="E162" s="53">
        <v>0</v>
      </c>
      <c r="F162" s="53">
        <v>0</v>
      </c>
      <c r="G162" s="776">
        <f t="shared" si="41"/>
        <v>0.51501283724916636</v>
      </c>
      <c r="H162" s="519">
        <f t="shared" si="42"/>
        <v>23.175577676212484</v>
      </c>
      <c r="I162" s="53"/>
      <c r="J162" s="776">
        <f t="shared" si="43"/>
        <v>1.3905346605727491</v>
      </c>
      <c r="K162" s="1210">
        <f>'Recycling - Case 2'!Z150</f>
        <v>3597.8752829754594</v>
      </c>
      <c r="L162" s="1209">
        <f t="shared" si="47"/>
        <v>0.1</v>
      </c>
      <c r="M162" s="1209">
        <f t="shared" si="47"/>
        <v>0.9</v>
      </c>
      <c r="N162" s="53">
        <f t="shared" si="44"/>
        <v>0</v>
      </c>
      <c r="O162" s="53">
        <f t="shared" si="44"/>
        <v>0</v>
      </c>
      <c r="P162" s="776">
        <f t="shared" si="45"/>
        <v>0.28783002263803686</v>
      </c>
      <c r="Q162" s="519">
        <f t="shared" si="37"/>
        <v>12.952351018711653</v>
      </c>
      <c r="R162" s="53"/>
      <c r="S162" s="1211">
        <f t="shared" si="38"/>
        <v>0.77714106112269921</v>
      </c>
      <c r="T162" s="1198">
        <f t="shared" si="39"/>
        <v>0.80284285988720328</v>
      </c>
      <c r="U162" s="1199">
        <f t="shared" si="39"/>
        <v>36.127928694924137</v>
      </c>
      <c r="V162" s="1199">
        <f t="shared" si="39"/>
        <v>0</v>
      </c>
      <c r="W162" s="1200">
        <f t="shared" si="39"/>
        <v>2.1676757216954483</v>
      </c>
    </row>
    <row r="163" spans="1:23">
      <c r="A163" s="123">
        <f>'Input data'!A131</f>
        <v>2031</v>
      </c>
      <c r="B163" s="1208">
        <f>'Recycling - Case 2'!AI111</f>
        <v>6437.6604656145792</v>
      </c>
      <c r="C163" s="1209">
        <f t="shared" si="46"/>
        <v>0.1</v>
      </c>
      <c r="D163" s="1209">
        <f t="shared" si="46"/>
        <v>0.9</v>
      </c>
      <c r="E163" s="53">
        <v>0</v>
      </c>
      <c r="F163" s="53">
        <v>0</v>
      </c>
      <c r="G163" s="776">
        <f t="shared" si="41"/>
        <v>0.51501283724916636</v>
      </c>
      <c r="H163" s="519">
        <f t="shared" si="42"/>
        <v>23.175577676212484</v>
      </c>
      <c r="I163" s="53"/>
      <c r="J163" s="776">
        <f t="shared" si="43"/>
        <v>1.3905346605727491</v>
      </c>
      <c r="K163" s="1210">
        <f>'Recycling - Case 2'!Z151</f>
        <v>3668.9827846862445</v>
      </c>
      <c r="L163" s="1209">
        <f t="shared" si="47"/>
        <v>0.1</v>
      </c>
      <c r="M163" s="1209">
        <f t="shared" si="47"/>
        <v>0.9</v>
      </c>
      <c r="N163" s="53">
        <f t="shared" si="44"/>
        <v>0</v>
      </c>
      <c r="O163" s="53">
        <f t="shared" si="44"/>
        <v>0</v>
      </c>
      <c r="P163" s="776">
        <f t="shared" si="45"/>
        <v>0.2935186227748996</v>
      </c>
      <c r="Q163" s="519">
        <f t="shared" si="37"/>
        <v>13.20833802487048</v>
      </c>
      <c r="R163" s="53"/>
      <c r="S163" s="1211">
        <f t="shared" si="38"/>
        <v>0.79250028149222884</v>
      </c>
      <c r="T163" s="1198">
        <f t="shared" si="39"/>
        <v>0.80853146002406595</v>
      </c>
      <c r="U163" s="1199">
        <f t="shared" si="39"/>
        <v>36.383915701082962</v>
      </c>
      <c r="V163" s="1199">
        <f t="shared" si="39"/>
        <v>0</v>
      </c>
      <c r="W163" s="1200">
        <f t="shared" si="39"/>
        <v>2.1830349420649782</v>
      </c>
    </row>
    <row r="164" spans="1:23">
      <c r="A164" s="123">
        <f>'Input data'!A132</f>
        <v>2032</v>
      </c>
      <c r="B164" s="1208">
        <f>'Recycling - Case 2'!AI112</f>
        <v>6437.6604656145792</v>
      </c>
      <c r="C164" s="1209">
        <f t="shared" si="46"/>
        <v>0.1</v>
      </c>
      <c r="D164" s="1209">
        <f t="shared" si="46"/>
        <v>0.9</v>
      </c>
      <c r="E164" s="53">
        <v>0</v>
      </c>
      <c r="F164" s="53">
        <v>0</v>
      </c>
      <c r="G164" s="776">
        <f t="shared" si="41"/>
        <v>0.51501283724916636</v>
      </c>
      <c r="H164" s="519">
        <f t="shared" si="42"/>
        <v>23.175577676212484</v>
      </c>
      <c r="I164" s="53"/>
      <c r="J164" s="776">
        <f t="shared" si="43"/>
        <v>1.3905346605727491</v>
      </c>
      <c r="K164" s="1210">
        <f>'Recycling - Case 2'!Z152</f>
        <v>3743.3904051781628</v>
      </c>
      <c r="L164" s="1209">
        <f t="shared" si="47"/>
        <v>0.1</v>
      </c>
      <c r="M164" s="1209">
        <f t="shared" si="47"/>
        <v>0.9</v>
      </c>
      <c r="N164" s="53">
        <f t="shared" si="44"/>
        <v>0</v>
      </c>
      <c r="O164" s="53">
        <f t="shared" si="44"/>
        <v>0</v>
      </c>
      <c r="P164" s="776">
        <f t="shared" si="45"/>
        <v>0.29947123241425311</v>
      </c>
      <c r="Q164" s="519">
        <f t="shared" si="37"/>
        <v>13.476205458641386</v>
      </c>
      <c r="R164" s="53"/>
      <c r="S164" s="1211">
        <f t="shared" si="38"/>
        <v>0.80857232751848307</v>
      </c>
      <c r="T164" s="1198">
        <f t="shared" si="39"/>
        <v>0.81448406966341946</v>
      </c>
      <c r="U164" s="1199">
        <f t="shared" si="39"/>
        <v>36.651783134853872</v>
      </c>
      <c r="V164" s="1199">
        <f t="shared" si="39"/>
        <v>0</v>
      </c>
      <c r="W164" s="1200">
        <f t="shared" si="39"/>
        <v>2.1991069880912324</v>
      </c>
    </row>
    <row r="165" spans="1:23">
      <c r="A165" s="123">
        <f>'Input data'!A133</f>
        <v>2033</v>
      </c>
      <c r="B165" s="1208">
        <f>'Recycling - Case 2'!AI113</f>
        <v>6437.6604656145792</v>
      </c>
      <c r="C165" s="1209">
        <f t="shared" si="46"/>
        <v>0.1</v>
      </c>
      <c r="D165" s="1209">
        <f t="shared" si="46"/>
        <v>0.9</v>
      </c>
      <c r="E165" s="53">
        <v>0</v>
      </c>
      <c r="F165" s="53">
        <v>0</v>
      </c>
      <c r="G165" s="776">
        <f t="shared" si="41"/>
        <v>0.51501283724916636</v>
      </c>
      <c r="H165" s="519">
        <f t="shared" si="42"/>
        <v>23.175577676212484</v>
      </c>
      <c r="I165" s="53"/>
      <c r="J165" s="776">
        <f t="shared" si="43"/>
        <v>1.3905346605727491</v>
      </c>
      <c r="K165" s="1210">
        <f>'Recycling - Case 2'!Z153</f>
        <v>3830.9006389526726</v>
      </c>
      <c r="L165" s="1209">
        <f t="shared" si="47"/>
        <v>0.1</v>
      </c>
      <c r="M165" s="1209">
        <f t="shared" si="47"/>
        <v>0.9</v>
      </c>
      <c r="N165" s="53">
        <f t="shared" si="44"/>
        <v>0</v>
      </c>
      <c r="O165" s="53">
        <f t="shared" si="44"/>
        <v>0</v>
      </c>
      <c r="P165" s="776">
        <f t="shared" si="45"/>
        <v>0.30647205111621389</v>
      </c>
      <c r="Q165" s="519">
        <f t="shared" si="37"/>
        <v>13.791242300229621</v>
      </c>
      <c r="R165" s="53"/>
      <c r="S165" s="1211">
        <f t="shared" si="38"/>
        <v>0.82747453801377735</v>
      </c>
      <c r="T165" s="1198">
        <f t="shared" si="39"/>
        <v>0.82148488836538025</v>
      </c>
      <c r="U165" s="1199">
        <f t="shared" si="39"/>
        <v>36.966819976442103</v>
      </c>
      <c r="V165" s="1199">
        <f t="shared" si="39"/>
        <v>0</v>
      </c>
      <c r="W165" s="1200">
        <f t="shared" si="39"/>
        <v>2.2180091985865262</v>
      </c>
    </row>
    <row r="166" spans="1:23">
      <c r="A166" s="123">
        <f>'Input data'!A134</f>
        <v>2034</v>
      </c>
      <c r="B166" s="1208">
        <f>'Recycling - Case 2'!AI114</f>
        <v>6437.6604656145792</v>
      </c>
      <c r="C166" s="1209">
        <f t="shared" si="46"/>
        <v>0.1</v>
      </c>
      <c r="D166" s="1209">
        <f t="shared" si="46"/>
        <v>0.9</v>
      </c>
      <c r="E166" s="53">
        <v>0</v>
      </c>
      <c r="F166" s="53">
        <v>0</v>
      </c>
      <c r="G166" s="776">
        <f t="shared" si="41"/>
        <v>0.51501283724916636</v>
      </c>
      <c r="H166" s="519">
        <f t="shared" si="42"/>
        <v>23.175577676212484</v>
      </c>
      <c r="I166" s="53"/>
      <c r="J166" s="776">
        <f t="shared" si="43"/>
        <v>1.3905346605727491</v>
      </c>
      <c r="K166" s="1210">
        <f>'Recycling - Case 2'!Z154</f>
        <v>3926.3322451557001</v>
      </c>
      <c r="L166" s="1209">
        <f t="shared" si="47"/>
        <v>0.1</v>
      </c>
      <c r="M166" s="1209">
        <f t="shared" si="47"/>
        <v>0.9</v>
      </c>
      <c r="N166" s="53">
        <f t="shared" si="44"/>
        <v>0</v>
      </c>
      <c r="O166" s="53">
        <f t="shared" si="44"/>
        <v>0</v>
      </c>
      <c r="P166" s="776">
        <f t="shared" si="45"/>
        <v>0.31410657961245608</v>
      </c>
      <c r="Q166" s="519">
        <f t="shared" si="37"/>
        <v>14.13479608256052</v>
      </c>
      <c r="R166" s="53"/>
      <c r="S166" s="1211">
        <f t="shared" si="38"/>
        <v>0.84808776495363125</v>
      </c>
      <c r="T166" s="1198">
        <f t="shared" si="39"/>
        <v>0.82911941686162249</v>
      </c>
      <c r="U166" s="1199">
        <f t="shared" si="39"/>
        <v>37.310373758773004</v>
      </c>
      <c r="V166" s="1199">
        <f t="shared" si="39"/>
        <v>0</v>
      </c>
      <c r="W166" s="1200">
        <f t="shared" si="39"/>
        <v>2.2386224255263802</v>
      </c>
    </row>
    <row r="167" spans="1:23">
      <c r="A167" s="123">
        <f>'Input data'!A135</f>
        <v>2035</v>
      </c>
      <c r="B167" s="1208">
        <f>'Recycling - Case 2'!AI115</f>
        <v>6437.6604656145792</v>
      </c>
      <c r="C167" s="1209">
        <f t="shared" si="46"/>
        <v>0.1</v>
      </c>
      <c r="D167" s="1209">
        <f t="shared" si="46"/>
        <v>0.9</v>
      </c>
      <c r="E167" s="53">
        <v>0</v>
      </c>
      <c r="F167" s="53">
        <v>0</v>
      </c>
      <c r="G167" s="776">
        <f t="shared" si="41"/>
        <v>0.51501283724916636</v>
      </c>
      <c r="H167" s="519">
        <f t="shared" si="42"/>
        <v>23.175577676212484</v>
      </c>
      <c r="I167" s="53"/>
      <c r="J167" s="776">
        <f t="shared" si="43"/>
        <v>1.3905346605727491</v>
      </c>
      <c r="K167" s="1210">
        <f>'Recycling - Case 2'!Z155</f>
        <v>4002.4905052646268</v>
      </c>
      <c r="L167" s="1209">
        <f t="shared" si="47"/>
        <v>0.1</v>
      </c>
      <c r="M167" s="1209">
        <f t="shared" si="47"/>
        <v>0.9</v>
      </c>
      <c r="N167" s="53">
        <f t="shared" ref="N167:O182" si="48">N165</f>
        <v>0</v>
      </c>
      <c r="O167" s="53">
        <f t="shared" si="48"/>
        <v>0</v>
      </c>
      <c r="P167" s="776">
        <f t="shared" si="45"/>
        <v>0.32019924042117021</v>
      </c>
      <c r="Q167" s="519">
        <f t="shared" si="37"/>
        <v>14.408965818952657</v>
      </c>
      <c r="R167" s="53"/>
      <c r="S167" s="1211">
        <f t="shared" si="38"/>
        <v>0.86453794913715931</v>
      </c>
      <c r="T167" s="1198">
        <f t="shared" si="39"/>
        <v>0.83521207767033656</v>
      </c>
      <c r="U167" s="1199">
        <f t="shared" si="39"/>
        <v>37.584543495165143</v>
      </c>
      <c r="V167" s="1199">
        <f t="shared" si="39"/>
        <v>0</v>
      </c>
      <c r="W167" s="1200">
        <f t="shared" si="39"/>
        <v>2.2550726097099085</v>
      </c>
    </row>
    <row r="168" spans="1:23">
      <c r="A168" s="123">
        <f>'Input data'!A136</f>
        <v>2036</v>
      </c>
      <c r="B168" s="1208">
        <f>'Recycling - Case 2'!AI116</f>
        <v>6437.6604656145792</v>
      </c>
      <c r="C168" s="1209">
        <f t="shared" si="46"/>
        <v>0.1</v>
      </c>
      <c r="D168" s="1209">
        <f t="shared" si="46"/>
        <v>0.9</v>
      </c>
      <c r="E168" s="53">
        <v>0</v>
      </c>
      <c r="F168" s="53">
        <v>0</v>
      </c>
      <c r="G168" s="776">
        <f t="shared" si="41"/>
        <v>0.51501283724916636</v>
      </c>
      <c r="H168" s="519">
        <f t="shared" si="42"/>
        <v>23.175577676212484</v>
      </c>
      <c r="I168" s="53"/>
      <c r="J168" s="776">
        <f t="shared" si="43"/>
        <v>1.3905346605727491</v>
      </c>
      <c r="K168" s="1210">
        <f>'Recycling - Case 2'!Z156</f>
        <v>4078.7466272155002</v>
      </c>
      <c r="L168" s="1209">
        <f t="shared" si="47"/>
        <v>0.1</v>
      </c>
      <c r="M168" s="1209">
        <f t="shared" si="47"/>
        <v>0.9</v>
      </c>
      <c r="N168" s="53">
        <f t="shared" si="48"/>
        <v>0</v>
      </c>
      <c r="O168" s="53">
        <f t="shared" si="48"/>
        <v>0</v>
      </c>
      <c r="P168" s="776">
        <f t="shared" si="45"/>
        <v>0.32629973017724007</v>
      </c>
      <c r="Q168" s="519">
        <f t="shared" si="37"/>
        <v>14.6834878579758</v>
      </c>
      <c r="R168" s="53"/>
      <c r="S168" s="1211">
        <f t="shared" si="38"/>
        <v>0.88100927147854802</v>
      </c>
      <c r="T168" s="1198">
        <f t="shared" si="39"/>
        <v>0.84131256742640637</v>
      </c>
      <c r="U168" s="1199">
        <f t="shared" si="39"/>
        <v>37.859065534188282</v>
      </c>
      <c r="V168" s="1199">
        <f t="shared" si="39"/>
        <v>0</v>
      </c>
      <c r="W168" s="1200">
        <f t="shared" si="39"/>
        <v>2.2715439320512969</v>
      </c>
    </row>
    <row r="169" spans="1:23">
      <c r="A169" s="123">
        <f>'Input data'!A137</f>
        <v>2037</v>
      </c>
      <c r="B169" s="1208">
        <f>'Recycling - Case 2'!AI117</f>
        <v>6437.6604656145792</v>
      </c>
      <c r="C169" s="1209">
        <f t="shared" si="46"/>
        <v>0.1</v>
      </c>
      <c r="D169" s="1209">
        <f t="shared" si="46"/>
        <v>0.9</v>
      </c>
      <c r="E169" s="53">
        <v>0</v>
      </c>
      <c r="F169" s="53">
        <v>0</v>
      </c>
      <c r="G169" s="776">
        <f t="shared" si="41"/>
        <v>0.51501283724916636</v>
      </c>
      <c r="H169" s="519">
        <f t="shared" si="42"/>
        <v>23.175577676212484</v>
      </c>
      <c r="I169" s="53"/>
      <c r="J169" s="776">
        <f t="shared" si="43"/>
        <v>1.3905346605727491</v>
      </c>
      <c r="K169" s="1210">
        <f>'Recycling - Case 2'!Z157</f>
        <v>4167.9694432240412</v>
      </c>
      <c r="L169" s="1209">
        <f t="shared" si="47"/>
        <v>0.1</v>
      </c>
      <c r="M169" s="1209">
        <f t="shared" si="47"/>
        <v>0.9</v>
      </c>
      <c r="N169" s="53">
        <f t="shared" si="48"/>
        <v>0</v>
      </c>
      <c r="O169" s="53">
        <f t="shared" si="48"/>
        <v>0</v>
      </c>
      <c r="P169" s="776">
        <f t="shared" si="45"/>
        <v>0.33343755545792336</v>
      </c>
      <c r="Q169" s="519">
        <f t="shared" si="37"/>
        <v>15.004689995606547</v>
      </c>
      <c r="R169" s="53"/>
      <c r="S169" s="1211">
        <f t="shared" si="38"/>
        <v>0.90028139973639287</v>
      </c>
      <c r="T169" s="1198">
        <f t="shared" si="39"/>
        <v>0.84845039270708966</v>
      </c>
      <c r="U169" s="1199">
        <f t="shared" si="39"/>
        <v>38.180267671819031</v>
      </c>
      <c r="V169" s="1199">
        <f t="shared" si="39"/>
        <v>0</v>
      </c>
      <c r="W169" s="1200">
        <f t="shared" si="39"/>
        <v>2.2908160603091421</v>
      </c>
    </row>
    <row r="170" spans="1:23">
      <c r="A170" s="123">
        <f>'Input data'!A138</f>
        <v>2038</v>
      </c>
      <c r="B170" s="1208">
        <f>'Recycling - Case 2'!AI118</f>
        <v>6437.6604656145792</v>
      </c>
      <c r="C170" s="1209">
        <f t="shared" si="46"/>
        <v>0.1</v>
      </c>
      <c r="D170" s="1209">
        <f t="shared" si="46"/>
        <v>0.9</v>
      </c>
      <c r="E170" s="53">
        <v>0</v>
      </c>
      <c r="F170" s="53">
        <v>0</v>
      </c>
      <c r="G170" s="776">
        <f t="shared" si="41"/>
        <v>0.51501283724916636</v>
      </c>
      <c r="H170" s="519">
        <f t="shared" si="42"/>
        <v>23.175577676212484</v>
      </c>
      <c r="I170" s="53"/>
      <c r="J170" s="776">
        <f t="shared" si="43"/>
        <v>1.3905346605727491</v>
      </c>
      <c r="K170" s="1210">
        <f>'Recycling - Case 2'!Z158</f>
        <v>4255.0991031687627</v>
      </c>
      <c r="L170" s="1209">
        <f t="shared" si="47"/>
        <v>0.1</v>
      </c>
      <c r="M170" s="1209">
        <f t="shared" si="47"/>
        <v>0.9</v>
      </c>
      <c r="N170" s="53">
        <f t="shared" si="48"/>
        <v>0</v>
      </c>
      <c r="O170" s="53">
        <f t="shared" si="48"/>
        <v>0</v>
      </c>
      <c r="P170" s="776">
        <f t="shared" si="45"/>
        <v>0.34040792825350108</v>
      </c>
      <c r="Q170" s="519">
        <f t="shared" si="37"/>
        <v>15.318356771407545</v>
      </c>
      <c r="R170" s="53"/>
      <c r="S170" s="1211">
        <f t="shared" si="38"/>
        <v>0.9191014062844528</v>
      </c>
      <c r="T170" s="1198">
        <f t="shared" si="39"/>
        <v>0.85542076550266744</v>
      </c>
      <c r="U170" s="1199">
        <f t="shared" si="39"/>
        <v>38.493934447620028</v>
      </c>
      <c r="V170" s="1199">
        <f t="shared" si="39"/>
        <v>0</v>
      </c>
      <c r="W170" s="1200">
        <f t="shared" si="39"/>
        <v>2.3096360668572018</v>
      </c>
    </row>
    <row r="171" spans="1:23">
      <c r="A171" s="123">
        <f>'Input data'!A139</f>
        <v>2039</v>
      </c>
      <c r="B171" s="1208">
        <f>'Recycling - Case 2'!AI119</f>
        <v>6437.6604656145792</v>
      </c>
      <c r="C171" s="1209">
        <f t="shared" si="46"/>
        <v>0.1</v>
      </c>
      <c r="D171" s="1209">
        <f t="shared" si="46"/>
        <v>0.9</v>
      </c>
      <c r="E171" s="53">
        <v>0</v>
      </c>
      <c r="F171" s="53">
        <v>0</v>
      </c>
      <c r="G171" s="776">
        <f t="shared" si="41"/>
        <v>0.51501283724916636</v>
      </c>
      <c r="H171" s="519">
        <f t="shared" si="42"/>
        <v>23.175577676212484</v>
      </c>
      <c r="I171" s="53"/>
      <c r="J171" s="776">
        <f t="shared" si="43"/>
        <v>1.3905346605727491</v>
      </c>
      <c r="K171" s="1210">
        <f>'Recycling - Case 2'!Z159</f>
        <v>4348.4810474599535</v>
      </c>
      <c r="L171" s="1209">
        <f t="shared" si="47"/>
        <v>0.1</v>
      </c>
      <c r="M171" s="1209">
        <f t="shared" si="47"/>
        <v>0.9</v>
      </c>
      <c r="N171" s="53">
        <f t="shared" si="48"/>
        <v>0</v>
      </c>
      <c r="O171" s="53">
        <f t="shared" si="48"/>
        <v>0</v>
      </c>
      <c r="P171" s="776">
        <f t="shared" si="45"/>
        <v>0.34787848379679631</v>
      </c>
      <c r="Q171" s="519">
        <f t="shared" si="37"/>
        <v>15.654531770855833</v>
      </c>
      <c r="R171" s="53"/>
      <c r="S171" s="1211">
        <f t="shared" si="38"/>
        <v>0.93927190625134993</v>
      </c>
      <c r="T171" s="1198">
        <f t="shared" si="39"/>
        <v>0.86289132104596267</v>
      </c>
      <c r="U171" s="1199">
        <f t="shared" si="39"/>
        <v>38.830109447068317</v>
      </c>
      <c r="V171" s="1199">
        <f t="shared" si="39"/>
        <v>0</v>
      </c>
      <c r="W171" s="1200">
        <f t="shared" si="39"/>
        <v>2.3298065668240993</v>
      </c>
    </row>
    <row r="172" spans="1:23">
      <c r="A172" s="123">
        <f>'Input data'!A140</f>
        <v>2040</v>
      </c>
      <c r="B172" s="1208">
        <f>'Recycling - Case 2'!AI120</f>
        <v>6437.6604656145792</v>
      </c>
      <c r="C172" s="1209">
        <f t="shared" ref="C172:D182" si="49">C171</f>
        <v>0.1</v>
      </c>
      <c r="D172" s="1209">
        <f t="shared" si="49"/>
        <v>0.9</v>
      </c>
      <c r="E172" s="53">
        <v>0</v>
      </c>
      <c r="F172" s="53">
        <v>0</v>
      </c>
      <c r="G172" s="776">
        <f t="shared" si="41"/>
        <v>0.51501283724916636</v>
      </c>
      <c r="H172" s="519">
        <f t="shared" si="42"/>
        <v>23.175577676212484</v>
      </c>
      <c r="I172" s="53"/>
      <c r="J172" s="776">
        <f t="shared" si="43"/>
        <v>1.3905346605727491</v>
      </c>
      <c r="K172" s="1210">
        <f>'Recycling - Case 2'!Z160</f>
        <v>4442.1783243529617</v>
      </c>
      <c r="L172" s="1209">
        <f t="shared" ref="L172:M182" si="50">L171</f>
        <v>0.1</v>
      </c>
      <c r="M172" s="1209">
        <f t="shared" si="50"/>
        <v>0.9</v>
      </c>
      <c r="N172" s="53">
        <f t="shared" si="48"/>
        <v>0</v>
      </c>
      <c r="O172" s="53">
        <f t="shared" si="48"/>
        <v>0</v>
      </c>
      <c r="P172" s="776">
        <f t="shared" si="45"/>
        <v>0.35537426594823701</v>
      </c>
      <c r="Q172" s="519">
        <f t="shared" si="37"/>
        <v>15.991841967670661</v>
      </c>
      <c r="R172" s="53"/>
      <c r="S172" s="1211">
        <f t="shared" si="38"/>
        <v>0.95951051806023979</v>
      </c>
      <c r="T172" s="1198">
        <f t="shared" si="39"/>
        <v>0.87038710319740331</v>
      </c>
      <c r="U172" s="1199">
        <f t="shared" si="39"/>
        <v>39.167419643883143</v>
      </c>
      <c r="V172" s="1199">
        <f t="shared" si="39"/>
        <v>0</v>
      </c>
      <c r="W172" s="1200">
        <f t="shared" si="39"/>
        <v>2.350045178632989</v>
      </c>
    </row>
    <row r="173" spans="1:23">
      <c r="A173" s="123">
        <f>'Input data'!A141</f>
        <v>2041</v>
      </c>
      <c r="B173" s="1208">
        <f>'Recycling - Case 2'!AI121</f>
        <v>6437.6604656145792</v>
      </c>
      <c r="C173" s="1209">
        <f t="shared" si="49"/>
        <v>0.1</v>
      </c>
      <c r="D173" s="1209">
        <f t="shared" si="49"/>
        <v>0.9</v>
      </c>
      <c r="E173" s="53">
        <v>0</v>
      </c>
      <c r="F173" s="53">
        <v>0</v>
      </c>
      <c r="G173" s="776">
        <f t="shared" si="41"/>
        <v>0.51501283724916636</v>
      </c>
      <c r="H173" s="519">
        <f t="shared" si="42"/>
        <v>23.175577676212484</v>
      </c>
      <c r="I173" s="53"/>
      <c r="J173" s="776">
        <f t="shared" si="43"/>
        <v>1.3905346605727491</v>
      </c>
      <c r="K173" s="1210">
        <f>'Recycling - Case 2'!Z161</f>
        <v>4547.532033975378</v>
      </c>
      <c r="L173" s="1209">
        <f t="shared" si="50"/>
        <v>0.1</v>
      </c>
      <c r="M173" s="1209">
        <f t="shared" si="50"/>
        <v>0.9</v>
      </c>
      <c r="N173" s="53">
        <f t="shared" si="48"/>
        <v>0</v>
      </c>
      <c r="O173" s="53">
        <f t="shared" si="48"/>
        <v>0</v>
      </c>
      <c r="P173" s="776">
        <f t="shared" si="45"/>
        <v>0.3638025627180303</v>
      </c>
      <c r="Q173" s="519">
        <f t="shared" si="37"/>
        <v>16.371115322311361</v>
      </c>
      <c r="R173" s="53"/>
      <c r="S173" s="1211">
        <f t="shared" si="38"/>
        <v>0.9822669193386816</v>
      </c>
      <c r="T173" s="1198">
        <f t="shared" si="39"/>
        <v>0.8788153999671966</v>
      </c>
      <c r="U173" s="1199">
        <f t="shared" si="39"/>
        <v>39.546692998523845</v>
      </c>
      <c r="V173" s="1199">
        <f t="shared" si="39"/>
        <v>0</v>
      </c>
      <c r="W173" s="1200">
        <f t="shared" si="39"/>
        <v>2.3728015799114308</v>
      </c>
    </row>
    <row r="174" spans="1:23">
      <c r="A174" s="123">
        <f>'Input data'!A142</f>
        <v>2042</v>
      </c>
      <c r="B174" s="1208">
        <f>'Recycling - Case 2'!AI122</f>
        <v>6437.6604656145792</v>
      </c>
      <c r="C174" s="1209">
        <f t="shared" si="49"/>
        <v>0.1</v>
      </c>
      <c r="D174" s="1209">
        <f t="shared" si="49"/>
        <v>0.9</v>
      </c>
      <c r="E174" s="53">
        <v>0</v>
      </c>
      <c r="F174" s="53">
        <v>0</v>
      </c>
      <c r="G174" s="776">
        <f t="shared" si="41"/>
        <v>0.51501283724916636</v>
      </c>
      <c r="H174" s="519">
        <f t="shared" si="42"/>
        <v>23.175577676212484</v>
      </c>
      <c r="I174" s="53"/>
      <c r="J174" s="776">
        <f t="shared" si="43"/>
        <v>1.3905346605727491</v>
      </c>
      <c r="K174" s="1210">
        <f>'Recycling - Case 2'!Z162</f>
        <v>4654.5439581418577</v>
      </c>
      <c r="L174" s="1209">
        <f t="shared" si="50"/>
        <v>0.1</v>
      </c>
      <c r="M174" s="1209">
        <f t="shared" si="50"/>
        <v>0.9</v>
      </c>
      <c r="N174" s="53">
        <f t="shared" si="48"/>
        <v>0</v>
      </c>
      <c r="O174" s="53">
        <f t="shared" si="48"/>
        <v>0</v>
      </c>
      <c r="P174" s="776">
        <f t="shared" si="45"/>
        <v>0.3723635166513487</v>
      </c>
      <c r="Q174" s="519">
        <f t="shared" si="37"/>
        <v>16.756358249310686</v>
      </c>
      <c r="R174" s="53"/>
      <c r="S174" s="1211">
        <f t="shared" si="38"/>
        <v>1.0053814949586413</v>
      </c>
      <c r="T174" s="1198">
        <f t="shared" si="39"/>
        <v>0.88737635390051506</v>
      </c>
      <c r="U174" s="1199">
        <f t="shared" si="39"/>
        <v>39.93193592552317</v>
      </c>
      <c r="V174" s="1199">
        <f t="shared" si="39"/>
        <v>0</v>
      </c>
      <c r="W174" s="1200">
        <f t="shared" si="39"/>
        <v>2.3959161555313901</v>
      </c>
    </row>
    <row r="175" spans="1:23">
      <c r="A175" s="123">
        <f>'Input data'!A143</f>
        <v>2043</v>
      </c>
      <c r="B175" s="1208">
        <f>'Recycling - Case 2'!AI123</f>
        <v>6437.6604656145792</v>
      </c>
      <c r="C175" s="1209">
        <f t="shared" si="49"/>
        <v>0.1</v>
      </c>
      <c r="D175" s="1209">
        <f t="shared" si="49"/>
        <v>0.9</v>
      </c>
      <c r="E175" s="53">
        <v>0</v>
      </c>
      <c r="F175" s="53">
        <v>0</v>
      </c>
      <c r="G175" s="776">
        <f t="shared" si="41"/>
        <v>0.51501283724916636</v>
      </c>
      <c r="H175" s="519">
        <f t="shared" si="42"/>
        <v>23.175577676212484</v>
      </c>
      <c r="I175" s="53"/>
      <c r="J175" s="776">
        <f t="shared" si="43"/>
        <v>1.3905346605727491</v>
      </c>
      <c r="K175" s="1210">
        <f>'Recycling - Case 2'!Z163</f>
        <v>4764.3177609587738</v>
      </c>
      <c r="L175" s="1209">
        <f t="shared" si="50"/>
        <v>0.1</v>
      </c>
      <c r="M175" s="1209">
        <f t="shared" si="50"/>
        <v>0.9</v>
      </c>
      <c r="N175" s="53">
        <f t="shared" si="48"/>
        <v>0</v>
      </c>
      <c r="O175" s="53">
        <f t="shared" si="48"/>
        <v>0</v>
      </c>
      <c r="P175" s="776">
        <f t="shared" si="45"/>
        <v>0.38114542087670195</v>
      </c>
      <c r="Q175" s="519">
        <f t="shared" si="37"/>
        <v>17.151543939451585</v>
      </c>
      <c r="R175" s="53"/>
      <c r="S175" s="1211">
        <f t="shared" si="38"/>
        <v>1.0290926363670951</v>
      </c>
      <c r="T175" s="1198">
        <f t="shared" si="39"/>
        <v>0.89615825812586825</v>
      </c>
      <c r="U175" s="1199">
        <f t="shared" si="39"/>
        <v>40.327121615664069</v>
      </c>
      <c r="V175" s="1199">
        <f t="shared" si="39"/>
        <v>0</v>
      </c>
      <c r="W175" s="1200">
        <f t="shared" si="39"/>
        <v>2.4196272969398445</v>
      </c>
    </row>
    <row r="176" spans="1:23">
      <c r="A176" s="123">
        <f>'Input data'!A144</f>
        <v>2044</v>
      </c>
      <c r="B176" s="1208">
        <f>'Recycling - Case 2'!AI124</f>
        <v>6437.6604656145792</v>
      </c>
      <c r="C176" s="1209">
        <f t="shared" si="49"/>
        <v>0.1</v>
      </c>
      <c r="D176" s="1209">
        <f t="shared" si="49"/>
        <v>0.9</v>
      </c>
      <c r="E176" s="53">
        <v>0</v>
      </c>
      <c r="F176" s="53">
        <v>0</v>
      </c>
      <c r="G176" s="776">
        <f t="shared" si="41"/>
        <v>0.51501283724916636</v>
      </c>
      <c r="H176" s="519">
        <f t="shared" si="42"/>
        <v>23.175577676212484</v>
      </c>
      <c r="I176" s="53"/>
      <c r="J176" s="776">
        <f t="shared" si="43"/>
        <v>1.3905346605727491</v>
      </c>
      <c r="K176" s="1210">
        <f>'Recycling - Case 2'!Z164</f>
        <v>4878.3539906692804</v>
      </c>
      <c r="L176" s="1209">
        <f t="shared" si="50"/>
        <v>0.1</v>
      </c>
      <c r="M176" s="1209">
        <f t="shared" si="50"/>
        <v>0.9</v>
      </c>
      <c r="N176" s="53">
        <f t="shared" si="48"/>
        <v>0</v>
      </c>
      <c r="O176" s="53">
        <f t="shared" si="48"/>
        <v>0</v>
      </c>
      <c r="P176" s="776">
        <f t="shared" si="45"/>
        <v>0.39026831925354255</v>
      </c>
      <c r="Q176" s="519">
        <f t="shared" si="37"/>
        <v>17.562074366409412</v>
      </c>
      <c r="R176" s="53"/>
      <c r="S176" s="1211">
        <f t="shared" si="38"/>
        <v>1.0537244619845647</v>
      </c>
      <c r="T176" s="1198">
        <f t="shared" si="39"/>
        <v>0.90528115650270891</v>
      </c>
      <c r="U176" s="1199">
        <f t="shared" si="39"/>
        <v>40.737652042621896</v>
      </c>
      <c r="V176" s="1199">
        <f t="shared" si="39"/>
        <v>0</v>
      </c>
      <c r="W176" s="1200">
        <f t="shared" si="39"/>
        <v>2.4442591225573138</v>
      </c>
    </row>
    <row r="177" spans="1:23">
      <c r="A177" s="123">
        <f>'Input data'!A145</f>
        <v>2045</v>
      </c>
      <c r="B177" s="1208">
        <f>'Recycling - Case 2'!AI125</f>
        <v>6437.6604656145792</v>
      </c>
      <c r="C177" s="1209">
        <f t="shared" si="49"/>
        <v>0.1</v>
      </c>
      <c r="D177" s="1209">
        <f t="shared" si="49"/>
        <v>0.9</v>
      </c>
      <c r="E177" s="53">
        <v>0</v>
      </c>
      <c r="F177" s="53">
        <v>0</v>
      </c>
      <c r="G177" s="776">
        <f t="shared" si="41"/>
        <v>0.51501283724916636</v>
      </c>
      <c r="H177" s="519">
        <f t="shared" si="42"/>
        <v>23.175577676212484</v>
      </c>
      <c r="I177" s="53"/>
      <c r="J177" s="776">
        <f t="shared" si="43"/>
        <v>1.3905346605727491</v>
      </c>
      <c r="K177" s="1210">
        <f>'Recycling - Case 2'!Z165</f>
        <v>4997.2071977110627</v>
      </c>
      <c r="L177" s="1209">
        <f t="shared" si="50"/>
        <v>0.1</v>
      </c>
      <c r="M177" s="1209">
        <f t="shared" si="50"/>
        <v>0.9</v>
      </c>
      <c r="N177" s="53">
        <f t="shared" si="48"/>
        <v>0</v>
      </c>
      <c r="O177" s="53">
        <f t="shared" si="48"/>
        <v>0</v>
      </c>
      <c r="P177" s="776">
        <f t="shared" si="45"/>
        <v>0.39977657581688508</v>
      </c>
      <c r="Q177" s="519">
        <f t="shared" si="37"/>
        <v>17.989945911759825</v>
      </c>
      <c r="R177" s="53"/>
      <c r="S177" s="1211">
        <f t="shared" si="38"/>
        <v>1.0793967547055896</v>
      </c>
      <c r="T177" s="1198">
        <f t="shared" si="39"/>
        <v>0.91478941306605144</v>
      </c>
      <c r="U177" s="1199">
        <f t="shared" si="39"/>
        <v>41.165523587972309</v>
      </c>
      <c r="V177" s="1199">
        <f t="shared" si="39"/>
        <v>0</v>
      </c>
      <c r="W177" s="1200">
        <f t="shared" si="39"/>
        <v>2.4699314152783387</v>
      </c>
    </row>
    <row r="178" spans="1:23">
      <c r="A178" s="123">
        <f>'Input data'!A146</f>
        <v>2046</v>
      </c>
      <c r="B178" s="1208">
        <f>'Recycling - Case 2'!AI126</f>
        <v>6437.6604656145792</v>
      </c>
      <c r="C178" s="1209">
        <f t="shared" si="49"/>
        <v>0.1</v>
      </c>
      <c r="D178" s="1209">
        <f t="shared" si="49"/>
        <v>0.9</v>
      </c>
      <c r="E178" s="53">
        <v>0</v>
      </c>
      <c r="F178" s="53">
        <v>0</v>
      </c>
      <c r="G178" s="776">
        <f t="shared" si="41"/>
        <v>0.51501283724916636</v>
      </c>
      <c r="H178" s="519">
        <f t="shared" si="42"/>
        <v>23.175577676212484</v>
      </c>
      <c r="I178" s="53"/>
      <c r="J178" s="776">
        <f t="shared" si="43"/>
        <v>1.3905346605727491</v>
      </c>
      <c r="K178" s="1210">
        <f>'Recycling - Case 2'!Z166</f>
        <v>5124.3025465521841</v>
      </c>
      <c r="L178" s="1209">
        <f t="shared" si="50"/>
        <v>0.1</v>
      </c>
      <c r="M178" s="1209">
        <f t="shared" si="50"/>
        <v>0.9</v>
      </c>
      <c r="N178" s="53">
        <f t="shared" si="48"/>
        <v>0</v>
      </c>
      <c r="O178" s="53">
        <f t="shared" si="48"/>
        <v>0</v>
      </c>
      <c r="P178" s="776">
        <f t="shared" si="45"/>
        <v>0.40994420372417484</v>
      </c>
      <c r="Q178" s="519">
        <f t="shared" si="37"/>
        <v>18.447489167587865</v>
      </c>
      <c r="R178" s="53"/>
      <c r="S178" s="1211">
        <f t="shared" si="38"/>
        <v>1.1068493500552719</v>
      </c>
      <c r="T178" s="1198">
        <f t="shared" si="39"/>
        <v>0.92495704097334119</v>
      </c>
      <c r="U178" s="1199">
        <f t="shared" si="39"/>
        <v>41.623066843800345</v>
      </c>
      <c r="V178" s="1199">
        <f t="shared" si="39"/>
        <v>0</v>
      </c>
      <c r="W178" s="1200">
        <f t="shared" si="39"/>
        <v>2.497384010628021</v>
      </c>
    </row>
    <row r="179" spans="1:23">
      <c r="A179" s="123">
        <f>'Input data'!A147</f>
        <v>2047</v>
      </c>
      <c r="B179" s="1208">
        <f>'Recycling - Case 2'!AI127</f>
        <v>6437.6604656145792</v>
      </c>
      <c r="C179" s="1209">
        <f t="shared" si="49"/>
        <v>0.1</v>
      </c>
      <c r="D179" s="1209">
        <f t="shared" si="49"/>
        <v>0.9</v>
      </c>
      <c r="E179" s="53">
        <v>0</v>
      </c>
      <c r="F179" s="53">
        <v>0</v>
      </c>
      <c r="G179" s="776">
        <f t="shared" si="41"/>
        <v>0.51501283724916636</v>
      </c>
      <c r="H179" s="519">
        <f t="shared" si="42"/>
        <v>23.175577676212484</v>
      </c>
      <c r="I179" s="53"/>
      <c r="J179" s="776">
        <f t="shared" si="43"/>
        <v>1.3905346605727491</v>
      </c>
      <c r="K179" s="1210">
        <f>'Recycling - Case 2'!Z167</f>
        <v>5203.2226853115508</v>
      </c>
      <c r="L179" s="1209">
        <f t="shared" si="50"/>
        <v>0.1</v>
      </c>
      <c r="M179" s="1209">
        <f t="shared" si="50"/>
        <v>0.9</v>
      </c>
      <c r="N179" s="53">
        <f t="shared" si="48"/>
        <v>0</v>
      </c>
      <c r="O179" s="53">
        <f t="shared" si="48"/>
        <v>0</v>
      </c>
      <c r="P179" s="776">
        <f t="shared" si="45"/>
        <v>0.41625781482492413</v>
      </c>
      <c r="Q179" s="519">
        <f t="shared" si="37"/>
        <v>18.731601667121584</v>
      </c>
      <c r="R179" s="53"/>
      <c r="S179" s="1211">
        <f t="shared" si="38"/>
        <v>1.1238961000272949</v>
      </c>
      <c r="T179" s="1198">
        <f t="shared" si="39"/>
        <v>0.93127065207409054</v>
      </c>
      <c r="U179" s="1199">
        <f t="shared" si="39"/>
        <v>41.907179343334064</v>
      </c>
      <c r="V179" s="1199">
        <f t="shared" si="39"/>
        <v>0</v>
      </c>
      <c r="W179" s="1200">
        <f t="shared" si="39"/>
        <v>2.5144307606000442</v>
      </c>
    </row>
    <row r="180" spans="1:23">
      <c r="A180" s="123">
        <f>'Input data'!A148</f>
        <v>2048</v>
      </c>
      <c r="B180" s="1208">
        <f>'Recycling - Case 2'!AI128</f>
        <v>6437.6604656145792</v>
      </c>
      <c r="C180" s="1209">
        <f t="shared" si="49"/>
        <v>0.1</v>
      </c>
      <c r="D180" s="1209">
        <f t="shared" si="49"/>
        <v>0.9</v>
      </c>
      <c r="E180" s="53">
        <v>0</v>
      </c>
      <c r="F180" s="53">
        <v>0</v>
      </c>
      <c r="G180" s="776">
        <f t="shared" si="41"/>
        <v>0.51501283724916636</v>
      </c>
      <c r="H180" s="519">
        <f t="shared" si="42"/>
        <v>23.175577676212484</v>
      </c>
      <c r="I180" s="53"/>
      <c r="J180" s="776">
        <f t="shared" si="43"/>
        <v>1.3905346605727491</v>
      </c>
      <c r="K180" s="1210">
        <f>'Recycling - Case 2'!Z168</f>
        <v>5276.7441124569687</v>
      </c>
      <c r="L180" s="1209">
        <f t="shared" si="50"/>
        <v>0.1</v>
      </c>
      <c r="M180" s="1209">
        <f t="shared" si="50"/>
        <v>0.9</v>
      </c>
      <c r="N180" s="53">
        <f t="shared" si="48"/>
        <v>0</v>
      </c>
      <c r="O180" s="53">
        <f t="shared" si="48"/>
        <v>0</v>
      </c>
      <c r="P180" s="776">
        <f t="shared" si="45"/>
        <v>0.4221395289965576</v>
      </c>
      <c r="Q180" s="519">
        <f t="shared" si="37"/>
        <v>18.99627880484509</v>
      </c>
      <c r="R180" s="53"/>
      <c r="S180" s="1211">
        <f t="shared" si="38"/>
        <v>1.1397767282907052</v>
      </c>
      <c r="T180" s="1198">
        <f t="shared" si="39"/>
        <v>0.93715236624572396</v>
      </c>
      <c r="U180" s="1199">
        <f t="shared" si="39"/>
        <v>42.171856481057574</v>
      </c>
      <c r="V180" s="1199">
        <f t="shared" si="39"/>
        <v>0</v>
      </c>
      <c r="W180" s="1200">
        <f t="shared" si="39"/>
        <v>2.5303113888634545</v>
      </c>
    </row>
    <row r="181" spans="1:23">
      <c r="A181" s="123">
        <f>'Input data'!A149</f>
        <v>2049</v>
      </c>
      <c r="B181" s="1208">
        <f>'Recycling - Case 2'!AI129</f>
        <v>6437.6604656145792</v>
      </c>
      <c r="C181" s="1209">
        <f t="shared" si="49"/>
        <v>0.1</v>
      </c>
      <c r="D181" s="1209">
        <f t="shared" si="49"/>
        <v>0.9</v>
      </c>
      <c r="E181" s="53">
        <v>0</v>
      </c>
      <c r="F181" s="53">
        <v>0</v>
      </c>
      <c r="G181" s="776">
        <f t="shared" si="41"/>
        <v>0.51501283724916636</v>
      </c>
      <c r="H181" s="519">
        <f t="shared" si="42"/>
        <v>23.175577676212484</v>
      </c>
      <c r="I181" s="53"/>
      <c r="J181" s="776">
        <f t="shared" si="43"/>
        <v>1.3905346605727491</v>
      </c>
      <c r="K181" s="1210">
        <f>'Recycling - Case 2'!Z169</f>
        <v>5349.9991379215398</v>
      </c>
      <c r="L181" s="1209">
        <f t="shared" si="50"/>
        <v>0.1</v>
      </c>
      <c r="M181" s="1209">
        <f t="shared" si="50"/>
        <v>0.9</v>
      </c>
      <c r="N181" s="53">
        <f t="shared" si="48"/>
        <v>0</v>
      </c>
      <c r="O181" s="53">
        <f t="shared" si="48"/>
        <v>0</v>
      </c>
      <c r="P181" s="776">
        <f t="shared" si="45"/>
        <v>0.42799993103372325</v>
      </c>
      <c r="Q181" s="519">
        <f t="shared" si="37"/>
        <v>19.259996896517542</v>
      </c>
      <c r="R181" s="53"/>
      <c r="S181" s="1211">
        <f t="shared" si="38"/>
        <v>1.1555998137910526</v>
      </c>
      <c r="T181" s="1198">
        <f t="shared" si="39"/>
        <v>0.9430127682828896</v>
      </c>
      <c r="U181" s="1199">
        <f t="shared" si="39"/>
        <v>42.435574572730026</v>
      </c>
      <c r="V181" s="1199">
        <f t="shared" si="39"/>
        <v>0</v>
      </c>
      <c r="W181" s="1200">
        <f t="shared" si="39"/>
        <v>2.5461344743638019</v>
      </c>
    </row>
    <row r="182" spans="1:23" ht="15.75" thickBot="1">
      <c r="A182" s="123">
        <f>'Input data'!A150</f>
        <v>2050</v>
      </c>
      <c r="B182" s="1208">
        <f>'Recycling - Case 2'!AI130</f>
        <v>6437.6604656145792</v>
      </c>
      <c r="C182" s="578">
        <f t="shared" si="49"/>
        <v>0.1</v>
      </c>
      <c r="D182" s="578">
        <f t="shared" si="49"/>
        <v>0.9</v>
      </c>
      <c r="E182" s="1212">
        <v>0</v>
      </c>
      <c r="F182" s="1212">
        <v>0</v>
      </c>
      <c r="G182" s="1213">
        <f t="shared" si="41"/>
        <v>0.51501283724916636</v>
      </c>
      <c r="H182" s="1144">
        <f t="shared" si="42"/>
        <v>23.175577676212484</v>
      </c>
      <c r="I182" s="1212"/>
      <c r="J182" s="1213">
        <f t="shared" si="43"/>
        <v>1.3905346605727491</v>
      </c>
      <c r="K182" s="1210">
        <f>'Recycling - Case 2'!Z170</f>
        <v>5421.623132687032</v>
      </c>
      <c r="L182" s="578">
        <f t="shared" si="50"/>
        <v>0.1</v>
      </c>
      <c r="M182" s="578">
        <f t="shared" si="50"/>
        <v>0.9</v>
      </c>
      <c r="N182" s="1212">
        <f t="shared" si="48"/>
        <v>0</v>
      </c>
      <c r="O182" s="1212">
        <f t="shared" si="48"/>
        <v>0</v>
      </c>
      <c r="P182" s="1213">
        <f t="shared" si="45"/>
        <v>0.43372985061496261</v>
      </c>
      <c r="Q182" s="1144">
        <f t="shared" si="37"/>
        <v>19.517843277673318</v>
      </c>
      <c r="R182" s="1212"/>
      <c r="S182" s="1214">
        <f t="shared" si="38"/>
        <v>1.1710705966603989</v>
      </c>
      <c r="T182" s="1215">
        <f t="shared" si="39"/>
        <v>0.94874268786412896</v>
      </c>
      <c r="U182" s="1216">
        <f t="shared" si="39"/>
        <v>42.693420953885806</v>
      </c>
      <c r="V182" s="1216">
        <f t="shared" si="39"/>
        <v>0</v>
      </c>
      <c r="W182" s="1217">
        <f t="shared" si="39"/>
        <v>2.5616052572331478</v>
      </c>
    </row>
    <row r="183" spans="1:23">
      <c r="A183" s="1202" t="s">
        <v>649</v>
      </c>
      <c r="B183" s="1203"/>
      <c r="C183" s="1218"/>
      <c r="D183" s="1218"/>
      <c r="E183" s="1219"/>
      <c r="F183" s="1219"/>
      <c r="G183" s="1220"/>
      <c r="H183" s="1221"/>
      <c r="I183" s="1222"/>
      <c r="J183" s="1220"/>
      <c r="K183" s="1223"/>
      <c r="L183" s="1218"/>
      <c r="M183" s="1218"/>
      <c r="N183" s="1219"/>
      <c r="O183" s="1219"/>
      <c r="P183" s="1220"/>
      <c r="Q183" s="1221"/>
      <c r="R183" s="1219"/>
      <c r="S183" s="1224"/>
      <c r="T183" s="1194"/>
      <c r="U183" s="1195"/>
      <c r="V183" s="1195"/>
      <c r="W183" s="1196"/>
    </row>
    <row r="184" spans="1:23">
      <c r="A184" s="123">
        <f>'Input data'!A118</f>
        <v>2018</v>
      </c>
      <c r="B184" s="1208">
        <f>'Recycling - Case 2'!AI98</f>
        <v>3707.5235423427162</v>
      </c>
      <c r="C184" s="1209">
        <f>($C$188-$C$80)/($A$188-$A$80)+C80</f>
        <v>6.0000000000000005E-2</v>
      </c>
      <c r="D184" s="1209">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0">
        <f>'Recycling - Case 3'!Z138</f>
        <v>1789.9687605419947</v>
      </c>
      <c r="L184" s="1209">
        <f>($L$188-$L$80)/($A$188-$A$80)+L80</f>
        <v>0.1</v>
      </c>
      <c r="M184" s="1209">
        <f>1-L184</f>
        <v>0.9</v>
      </c>
      <c r="N184" s="53">
        <f>N148</f>
        <v>0</v>
      </c>
      <c r="O184" s="53">
        <f>O148</f>
        <v>0</v>
      </c>
      <c r="P184" s="776">
        <f t="shared" ref="P184:P216" si="54">L184*$D$5*K184/1000-N184</f>
        <v>0.14319750084335958</v>
      </c>
      <c r="Q184" s="519">
        <f t="shared" ref="Q184:Q216" si="55">M184*$D$4*K184/1000-O184</f>
        <v>6.4438875379511806</v>
      </c>
      <c r="R184" s="53"/>
      <c r="S184" s="1211">
        <f t="shared" ref="S184:S216" si="56">M184*$D$7*K184/1000</f>
        <v>0.38663325227707085</v>
      </c>
      <c r="T184" s="1198">
        <f t="shared" ref="T184:W216" si="57">G184+P184</f>
        <v>0.32115863087580998</v>
      </c>
      <c r="U184" s="1199">
        <f t="shared" si="57"/>
        <v>20.384176057159792</v>
      </c>
      <c r="V184" s="1199">
        <f t="shared" si="57"/>
        <v>0</v>
      </c>
      <c r="W184" s="1200">
        <f t="shared" si="57"/>
        <v>1.2230505634295874</v>
      </c>
    </row>
    <row r="185" spans="1:23">
      <c r="A185" s="123">
        <f>'Input data'!A119</f>
        <v>2019</v>
      </c>
      <c r="B185" s="1208">
        <f>'Recycling - Case 2'!AI99</f>
        <v>4010.8720893729233</v>
      </c>
      <c r="C185" s="1209">
        <f>($C$188-$C$80)/($A$188-$A$80)+C184</f>
        <v>7.0000000000000007E-2</v>
      </c>
      <c r="D185" s="1209">
        <f t="shared" ref="D185:D216" si="58">1-C185</f>
        <v>0.92999999999999994</v>
      </c>
      <c r="E185" s="53">
        <v>0</v>
      </c>
      <c r="F185" s="53">
        <v>0</v>
      </c>
      <c r="G185" s="776">
        <f t="shared" si="51"/>
        <v>0.22460883700488374</v>
      </c>
      <c r="H185" s="519">
        <f t="shared" si="52"/>
        <v>14.920444172467274</v>
      </c>
      <c r="I185" s="53"/>
      <c r="J185" s="776">
        <f t="shared" si="53"/>
        <v>0.89522665034803639</v>
      </c>
      <c r="K185" s="1210">
        <f>'Recycling - Case 3'!Z139</f>
        <v>2562.5527582487894</v>
      </c>
      <c r="L185" s="1209">
        <f>($L$188-$L$80)/($A$188-$A$80)+L184</f>
        <v>0.1</v>
      </c>
      <c r="M185" s="1209">
        <f t="shared" ref="M185:M216" si="59">1-L185</f>
        <v>0.9</v>
      </c>
      <c r="N185" s="53">
        <f t="shared" ref="N185:O200" si="60">N183</f>
        <v>0</v>
      </c>
      <c r="O185" s="53">
        <f t="shared" si="60"/>
        <v>0</v>
      </c>
      <c r="P185" s="776">
        <f t="shared" si="54"/>
        <v>0.20500422065990317</v>
      </c>
      <c r="Q185" s="519">
        <f t="shared" si="55"/>
        <v>9.2251899296956417</v>
      </c>
      <c r="R185" s="53"/>
      <c r="S185" s="1211">
        <f t="shared" si="56"/>
        <v>0.55351139578173858</v>
      </c>
      <c r="T185" s="1198">
        <f t="shared" si="57"/>
        <v>0.42961305766478691</v>
      </c>
      <c r="U185" s="1199">
        <f t="shared" si="57"/>
        <v>24.145634102162916</v>
      </c>
      <c r="V185" s="1199">
        <f t="shared" si="57"/>
        <v>0</v>
      </c>
      <c r="W185" s="1200">
        <f t="shared" si="57"/>
        <v>1.448738046129775</v>
      </c>
    </row>
    <row r="186" spans="1:23">
      <c r="A186" s="123">
        <f>'Input data'!A120</f>
        <v>2020</v>
      </c>
      <c r="B186" s="1208">
        <f>'Recycling - Case 2'!AI100</f>
        <v>4617.5691834333375</v>
      </c>
      <c r="C186" s="1209">
        <f t="shared" ref="C186:C187" si="61">($C$188-$C$80)/($A$188-$A$80)+C185</f>
        <v>0.08</v>
      </c>
      <c r="D186" s="1209">
        <f t="shared" si="58"/>
        <v>0.92</v>
      </c>
      <c r="E186" s="53">
        <v>0</v>
      </c>
      <c r="F186" s="53">
        <v>0</v>
      </c>
      <c r="G186" s="776">
        <f t="shared" si="51"/>
        <v>0.29552442773973359</v>
      </c>
      <c r="H186" s="519">
        <f t="shared" si="52"/>
        <v>16.992654595034679</v>
      </c>
      <c r="I186" s="53"/>
      <c r="J186" s="776">
        <f t="shared" si="53"/>
        <v>1.0195592757020808</v>
      </c>
      <c r="K186" s="1210">
        <f>'Recycling - Case 3'!Z140</f>
        <v>2560.9621544777392</v>
      </c>
      <c r="L186" s="1209">
        <f t="shared" ref="L186:L187" si="62">($L$188-$L$80)/($A$188-$A$80)+L185</f>
        <v>0.1</v>
      </c>
      <c r="M186" s="1209">
        <f t="shared" si="59"/>
        <v>0.9</v>
      </c>
      <c r="N186" s="53">
        <f t="shared" si="60"/>
        <v>0</v>
      </c>
      <c r="O186" s="53">
        <f t="shared" si="60"/>
        <v>0</v>
      </c>
      <c r="P186" s="776">
        <f t="shared" si="54"/>
        <v>0.20487697235821917</v>
      </c>
      <c r="Q186" s="519">
        <f t="shared" si="55"/>
        <v>9.2194637561198611</v>
      </c>
      <c r="R186" s="53"/>
      <c r="S186" s="1211">
        <f t="shared" si="56"/>
        <v>0.55316782536719167</v>
      </c>
      <c r="T186" s="1198">
        <f t="shared" si="57"/>
        <v>0.50040140009795275</v>
      </c>
      <c r="U186" s="1199">
        <f t="shared" si="57"/>
        <v>26.21211835115454</v>
      </c>
      <c r="V186" s="1199">
        <f t="shared" si="57"/>
        <v>0</v>
      </c>
      <c r="W186" s="1200">
        <f t="shared" si="57"/>
        <v>1.5727271010692725</v>
      </c>
    </row>
    <row r="187" spans="1:23">
      <c r="A187" s="123">
        <f>'Input data'!A121</f>
        <v>2021</v>
      </c>
      <c r="B187" s="1208">
        <f>'Recycling - Case 2'!AI101</f>
        <v>5830.9633715541659</v>
      </c>
      <c r="C187" s="1209">
        <f t="shared" si="61"/>
        <v>0.09</v>
      </c>
      <c r="D187" s="1209">
        <f t="shared" si="58"/>
        <v>0.91</v>
      </c>
      <c r="E187" s="53">
        <v>0</v>
      </c>
      <c r="F187" s="53">
        <v>0</v>
      </c>
      <c r="G187" s="776">
        <f t="shared" si="51"/>
        <v>0.41982936275189991</v>
      </c>
      <c r="H187" s="519">
        <f t="shared" si="52"/>
        <v>21.224706672457163</v>
      </c>
      <c r="I187" s="53"/>
      <c r="J187" s="776">
        <f t="shared" si="53"/>
        <v>1.2734824003474299</v>
      </c>
      <c r="K187" s="1210">
        <f>'Recycling - Case 3'!Z141</f>
        <v>2937.5012039878866</v>
      </c>
      <c r="L187" s="1209">
        <f t="shared" si="62"/>
        <v>0.1</v>
      </c>
      <c r="M187" s="1209">
        <f t="shared" si="59"/>
        <v>0.9</v>
      </c>
      <c r="N187" s="53">
        <f t="shared" si="60"/>
        <v>0</v>
      </c>
      <c r="O187" s="53">
        <f t="shared" si="60"/>
        <v>0</v>
      </c>
      <c r="P187" s="776">
        <f t="shared" si="54"/>
        <v>0.23500009631903096</v>
      </c>
      <c r="Q187" s="519">
        <f t="shared" si="55"/>
        <v>10.575004334356391</v>
      </c>
      <c r="R187" s="53"/>
      <c r="S187" s="1211">
        <f t="shared" si="56"/>
        <v>0.63450026006138349</v>
      </c>
      <c r="T187" s="1198">
        <f t="shared" si="57"/>
        <v>0.65482945907093093</v>
      </c>
      <c r="U187" s="1199">
        <f t="shared" si="57"/>
        <v>31.799711006813553</v>
      </c>
      <c r="V187" s="1199">
        <f t="shared" si="57"/>
        <v>0</v>
      </c>
      <c r="W187" s="1200">
        <f t="shared" si="57"/>
        <v>1.9079826604088135</v>
      </c>
    </row>
    <row r="188" spans="1:23">
      <c r="A188" s="123">
        <f>'Input data'!A122</f>
        <v>2022</v>
      </c>
      <c r="B188" s="1208">
        <f>'Recycling - Case 2'!AI102</f>
        <v>6437.6604656145792</v>
      </c>
      <c r="C188" s="1209">
        <f>'Recycling - Case 2'!E31</f>
        <v>0.1</v>
      </c>
      <c r="D188" s="1209">
        <f t="shared" si="58"/>
        <v>0.9</v>
      </c>
      <c r="E188" s="53">
        <v>0</v>
      </c>
      <c r="F188" s="53">
        <v>0</v>
      </c>
      <c r="G188" s="776">
        <f t="shared" si="51"/>
        <v>0.51501283724916636</v>
      </c>
      <c r="H188" s="519">
        <f t="shared" si="52"/>
        <v>23.175577676212484</v>
      </c>
      <c r="I188" s="53"/>
      <c r="J188" s="776">
        <f t="shared" si="53"/>
        <v>1.3905346605727491</v>
      </c>
      <c r="K188" s="1210">
        <f>'Recycling - Case 3'!Z142</f>
        <v>3148.72204906348</v>
      </c>
      <c r="L188" s="1209">
        <f>'Recycling - Case 2'!E31</f>
        <v>0.1</v>
      </c>
      <c r="M188" s="1209">
        <f t="shared" si="59"/>
        <v>0.9</v>
      </c>
      <c r="N188" s="53">
        <f t="shared" si="60"/>
        <v>0</v>
      </c>
      <c r="O188" s="53">
        <f t="shared" si="60"/>
        <v>0</v>
      </c>
      <c r="P188" s="776">
        <f t="shared" si="54"/>
        <v>0.25189776392507846</v>
      </c>
      <c r="Q188" s="519">
        <f t="shared" si="55"/>
        <v>11.335399376628528</v>
      </c>
      <c r="R188" s="53"/>
      <c r="S188" s="1211">
        <f t="shared" si="56"/>
        <v>0.68012396259771157</v>
      </c>
      <c r="T188" s="1198">
        <f t="shared" si="57"/>
        <v>0.76691060117424481</v>
      </c>
      <c r="U188" s="1199">
        <f t="shared" si="57"/>
        <v>34.510977052841014</v>
      </c>
      <c r="V188" s="1199">
        <f t="shared" si="57"/>
        <v>0</v>
      </c>
      <c r="W188" s="1200">
        <f t="shared" si="57"/>
        <v>2.0706586231704609</v>
      </c>
    </row>
    <row r="189" spans="1:23">
      <c r="A189" s="123">
        <f>'Input data'!A123</f>
        <v>2023</v>
      </c>
      <c r="B189" s="1208">
        <f>'Recycling - Case 2'!AI103</f>
        <v>6437.6604656145792</v>
      </c>
      <c r="C189" s="1209">
        <f>C188</f>
        <v>0.1</v>
      </c>
      <c r="D189" s="1209">
        <f t="shared" si="58"/>
        <v>0.9</v>
      </c>
      <c r="E189" s="53">
        <v>0</v>
      </c>
      <c r="F189" s="53">
        <v>0</v>
      </c>
      <c r="G189" s="776">
        <f t="shared" si="51"/>
        <v>0.51501283724916636</v>
      </c>
      <c r="H189" s="519">
        <f t="shared" si="52"/>
        <v>23.175577676212484</v>
      </c>
      <c r="I189" s="53"/>
      <c r="J189" s="776">
        <f t="shared" si="53"/>
        <v>1.3905346605727491</v>
      </c>
      <c r="K189" s="1210">
        <f>'Recycling - Case 3'!Z143</f>
        <v>3204.8349418807438</v>
      </c>
      <c r="L189" s="1209">
        <f>L188</f>
        <v>0.1</v>
      </c>
      <c r="M189" s="1209">
        <f t="shared" si="59"/>
        <v>0.9</v>
      </c>
      <c r="N189" s="53">
        <f t="shared" si="60"/>
        <v>0</v>
      </c>
      <c r="O189" s="53">
        <f t="shared" si="60"/>
        <v>0</v>
      </c>
      <c r="P189" s="776">
        <f t="shared" si="54"/>
        <v>0.25638679535045961</v>
      </c>
      <c r="Q189" s="519">
        <f t="shared" si="55"/>
        <v>11.537405790770677</v>
      </c>
      <c r="R189" s="53"/>
      <c r="S189" s="1211">
        <f t="shared" si="56"/>
        <v>0.69224434744624064</v>
      </c>
      <c r="T189" s="1198">
        <f t="shared" si="57"/>
        <v>0.77139963259962596</v>
      </c>
      <c r="U189" s="1199">
        <f t="shared" si="57"/>
        <v>34.712983466983161</v>
      </c>
      <c r="V189" s="1199">
        <f t="shared" si="57"/>
        <v>0</v>
      </c>
      <c r="W189" s="1200">
        <f t="shared" si="57"/>
        <v>2.0827790080189899</v>
      </c>
    </row>
    <row r="190" spans="1:23">
      <c r="A190" s="123">
        <f>'Input data'!A124</f>
        <v>2024</v>
      </c>
      <c r="B190" s="1208">
        <f>'Recycling - Case 2'!AI104</f>
        <v>6437.6604656145792</v>
      </c>
      <c r="C190" s="1209">
        <f t="shared" ref="C190:C216" si="63">C189</f>
        <v>0.1</v>
      </c>
      <c r="D190" s="1209">
        <f t="shared" si="58"/>
        <v>0.9</v>
      </c>
      <c r="E190" s="53">
        <v>0</v>
      </c>
      <c r="F190" s="53">
        <v>0</v>
      </c>
      <c r="G190" s="776">
        <f t="shared" si="51"/>
        <v>0.51501283724916636</v>
      </c>
      <c r="H190" s="519">
        <f t="shared" si="52"/>
        <v>23.175577676212484</v>
      </c>
      <c r="I190" s="53"/>
      <c r="J190" s="776">
        <f t="shared" si="53"/>
        <v>1.3905346605727491</v>
      </c>
      <c r="K190" s="1210">
        <f>'Recycling - Case 3'!Z144</f>
        <v>3265.0525952906887</v>
      </c>
      <c r="L190" s="1209">
        <f t="shared" ref="L190:L216" si="64">L189</f>
        <v>0.1</v>
      </c>
      <c r="M190" s="1209">
        <f t="shared" si="59"/>
        <v>0.9</v>
      </c>
      <c r="N190" s="53">
        <f t="shared" si="60"/>
        <v>0</v>
      </c>
      <c r="O190" s="53">
        <f t="shared" si="60"/>
        <v>0</v>
      </c>
      <c r="P190" s="776">
        <f t="shared" si="54"/>
        <v>0.26120420762325519</v>
      </c>
      <c r="Q190" s="519">
        <f t="shared" si="55"/>
        <v>11.754189343046479</v>
      </c>
      <c r="R190" s="53"/>
      <c r="S190" s="1211">
        <f t="shared" si="56"/>
        <v>0.7052513605827887</v>
      </c>
      <c r="T190" s="1198">
        <f t="shared" si="57"/>
        <v>0.77621704487242149</v>
      </c>
      <c r="U190" s="1199">
        <f t="shared" si="57"/>
        <v>34.929767019258961</v>
      </c>
      <c r="V190" s="1199">
        <f t="shared" si="57"/>
        <v>0</v>
      </c>
      <c r="W190" s="1200">
        <f t="shared" si="57"/>
        <v>2.0957860211555377</v>
      </c>
    </row>
    <row r="191" spans="1:23">
      <c r="A191" s="123">
        <f>'Input data'!A125</f>
        <v>2025</v>
      </c>
      <c r="B191" s="1208">
        <f>'Recycling - Case 2'!AI105</f>
        <v>6437.6604656145792</v>
      </c>
      <c r="C191" s="1209">
        <f t="shared" si="63"/>
        <v>0.1</v>
      </c>
      <c r="D191" s="1209">
        <f t="shared" si="58"/>
        <v>0.9</v>
      </c>
      <c r="E191" s="53">
        <v>0</v>
      </c>
      <c r="F191" s="53">
        <v>0</v>
      </c>
      <c r="G191" s="776">
        <f t="shared" si="51"/>
        <v>0.51501283724916636</v>
      </c>
      <c r="H191" s="519">
        <f t="shared" si="52"/>
        <v>23.175577676212484</v>
      </c>
      <c r="I191" s="53"/>
      <c r="J191" s="776">
        <f t="shared" si="53"/>
        <v>1.3905346605727491</v>
      </c>
      <c r="K191" s="1210">
        <f>'Recycling - Case 3'!Z145</f>
        <v>3322.0462446854558</v>
      </c>
      <c r="L191" s="1209">
        <f t="shared" si="64"/>
        <v>0.1</v>
      </c>
      <c r="M191" s="1209">
        <f t="shared" si="59"/>
        <v>0.9</v>
      </c>
      <c r="N191" s="53">
        <f t="shared" si="60"/>
        <v>0</v>
      </c>
      <c r="O191" s="53">
        <f t="shared" si="60"/>
        <v>0</v>
      </c>
      <c r="P191" s="776">
        <f t="shared" si="54"/>
        <v>0.26576369957483648</v>
      </c>
      <c r="Q191" s="519">
        <f t="shared" si="55"/>
        <v>11.95936648086764</v>
      </c>
      <c r="R191" s="53"/>
      <c r="S191" s="1211">
        <f t="shared" si="56"/>
        <v>0.71756198885205846</v>
      </c>
      <c r="T191" s="1198">
        <f t="shared" si="57"/>
        <v>0.78077653682400283</v>
      </c>
      <c r="U191" s="1199">
        <f t="shared" si="57"/>
        <v>35.134944157080128</v>
      </c>
      <c r="V191" s="1199">
        <f t="shared" si="57"/>
        <v>0</v>
      </c>
      <c r="W191" s="1200">
        <f t="shared" si="57"/>
        <v>2.1080966494248075</v>
      </c>
    </row>
    <row r="192" spans="1:23">
      <c r="A192" s="123">
        <f>'Input data'!A126</f>
        <v>2026</v>
      </c>
      <c r="B192" s="1208">
        <f>'Recycling - Case 2'!AI106</f>
        <v>6437.6604656145792</v>
      </c>
      <c r="C192" s="1209">
        <f t="shared" si="63"/>
        <v>0.1</v>
      </c>
      <c r="D192" s="1209">
        <f t="shared" si="58"/>
        <v>0.9</v>
      </c>
      <c r="E192" s="53">
        <v>0</v>
      </c>
      <c r="F192" s="53">
        <v>0</v>
      </c>
      <c r="G192" s="776">
        <f t="shared" si="51"/>
        <v>0.51501283724916636</v>
      </c>
      <c r="H192" s="519">
        <f t="shared" si="52"/>
        <v>23.175577676212484</v>
      </c>
      <c r="I192" s="53"/>
      <c r="J192" s="776">
        <f t="shared" si="53"/>
        <v>1.3905346605727491</v>
      </c>
      <c r="K192" s="1210">
        <f>'Recycling - Case 3'!Z146</f>
        <v>3371.5806470164412</v>
      </c>
      <c r="L192" s="1209">
        <f t="shared" si="64"/>
        <v>0.1</v>
      </c>
      <c r="M192" s="1209">
        <f t="shared" si="59"/>
        <v>0.9</v>
      </c>
      <c r="N192" s="53">
        <f t="shared" si="60"/>
        <v>0</v>
      </c>
      <c r="O192" s="53">
        <f t="shared" si="60"/>
        <v>0</v>
      </c>
      <c r="P192" s="776">
        <f t="shared" si="54"/>
        <v>0.26972645176131532</v>
      </c>
      <c r="Q192" s="519">
        <f t="shared" si="55"/>
        <v>12.137690329259188</v>
      </c>
      <c r="R192" s="53"/>
      <c r="S192" s="1211">
        <f t="shared" si="56"/>
        <v>0.72826141975555125</v>
      </c>
      <c r="T192" s="1198">
        <f t="shared" si="57"/>
        <v>0.78473928901048162</v>
      </c>
      <c r="U192" s="1199">
        <f t="shared" si="57"/>
        <v>35.31326800547167</v>
      </c>
      <c r="V192" s="1199">
        <f t="shared" si="57"/>
        <v>0</v>
      </c>
      <c r="W192" s="1200">
        <f t="shared" si="57"/>
        <v>2.1187960803283001</v>
      </c>
    </row>
    <row r="193" spans="1:23">
      <c r="A193" s="123">
        <f>'Input data'!A127</f>
        <v>2027</v>
      </c>
      <c r="B193" s="1208">
        <f>'Recycling - Case 2'!AI107</f>
        <v>6437.6604656145792</v>
      </c>
      <c r="C193" s="1209">
        <f t="shared" si="63"/>
        <v>0.1</v>
      </c>
      <c r="D193" s="1209">
        <f t="shared" si="58"/>
        <v>0.9</v>
      </c>
      <c r="E193" s="53">
        <v>0</v>
      </c>
      <c r="F193" s="53">
        <v>0</v>
      </c>
      <c r="G193" s="776">
        <f t="shared" si="51"/>
        <v>0.51501283724916636</v>
      </c>
      <c r="H193" s="519">
        <f t="shared" si="52"/>
        <v>23.175577676212484</v>
      </c>
      <c r="I193" s="53"/>
      <c r="J193" s="776">
        <f t="shared" si="53"/>
        <v>1.3905346605727491</v>
      </c>
      <c r="K193" s="1210">
        <f>'Recycling - Case 3'!Z147</f>
        <v>3420.7616593626267</v>
      </c>
      <c r="L193" s="1209">
        <f t="shared" si="64"/>
        <v>0.1</v>
      </c>
      <c r="M193" s="1209">
        <f t="shared" si="59"/>
        <v>0.9</v>
      </c>
      <c r="N193" s="53">
        <f t="shared" si="60"/>
        <v>0</v>
      </c>
      <c r="O193" s="53">
        <f t="shared" si="60"/>
        <v>0</v>
      </c>
      <c r="P193" s="776">
        <f t="shared" si="54"/>
        <v>0.27366093274901021</v>
      </c>
      <c r="Q193" s="519">
        <f t="shared" si="55"/>
        <v>12.314741973705457</v>
      </c>
      <c r="R193" s="53"/>
      <c r="S193" s="1211">
        <f t="shared" si="56"/>
        <v>0.73888451842232739</v>
      </c>
      <c r="T193" s="1198">
        <f t="shared" si="57"/>
        <v>0.78867376999817651</v>
      </c>
      <c r="U193" s="1199">
        <f t="shared" si="57"/>
        <v>35.490319649917943</v>
      </c>
      <c r="V193" s="1199">
        <f t="shared" si="57"/>
        <v>0</v>
      </c>
      <c r="W193" s="1200">
        <f t="shared" si="57"/>
        <v>2.1294191789950765</v>
      </c>
    </row>
    <row r="194" spans="1:23">
      <c r="A194" s="123">
        <f>'Input data'!A128</f>
        <v>2028</v>
      </c>
      <c r="B194" s="1208">
        <f>'Recycling - Case 2'!AI108</f>
        <v>6437.6604656145792</v>
      </c>
      <c r="C194" s="1209">
        <f t="shared" si="63"/>
        <v>0.1</v>
      </c>
      <c r="D194" s="1209">
        <f t="shared" si="58"/>
        <v>0.9</v>
      </c>
      <c r="E194" s="53">
        <v>0</v>
      </c>
      <c r="F194" s="53">
        <v>0</v>
      </c>
      <c r="G194" s="776">
        <f t="shared" si="51"/>
        <v>0.51501283724916636</v>
      </c>
      <c r="H194" s="519">
        <f t="shared" si="52"/>
        <v>23.175577676212484</v>
      </c>
      <c r="I194" s="53"/>
      <c r="J194" s="776">
        <f t="shared" si="53"/>
        <v>1.3905346605727491</v>
      </c>
      <c r="K194" s="1210">
        <f>'Recycling - Case 3'!Z148</f>
        <v>3471.0300255081979</v>
      </c>
      <c r="L194" s="1209">
        <f t="shared" si="64"/>
        <v>0.1</v>
      </c>
      <c r="M194" s="1209">
        <f t="shared" si="59"/>
        <v>0.9</v>
      </c>
      <c r="N194" s="53">
        <f t="shared" si="60"/>
        <v>0</v>
      </c>
      <c r="O194" s="53">
        <f t="shared" si="60"/>
        <v>0</v>
      </c>
      <c r="P194" s="776">
        <f t="shared" si="54"/>
        <v>0.27768240204065592</v>
      </c>
      <c r="Q194" s="519">
        <f t="shared" si="55"/>
        <v>12.495708091829512</v>
      </c>
      <c r="R194" s="53"/>
      <c r="S194" s="1211">
        <f t="shared" si="56"/>
        <v>0.74974248550977074</v>
      </c>
      <c r="T194" s="1198">
        <f t="shared" si="57"/>
        <v>0.79269523928982233</v>
      </c>
      <c r="U194" s="1199">
        <f t="shared" si="57"/>
        <v>35.671285768041997</v>
      </c>
      <c r="V194" s="1199">
        <f t="shared" si="57"/>
        <v>0</v>
      </c>
      <c r="W194" s="1200">
        <f t="shared" si="57"/>
        <v>2.1402771460825196</v>
      </c>
    </row>
    <row r="195" spans="1:23">
      <c r="A195" s="123">
        <f>'Input data'!A129</f>
        <v>2029</v>
      </c>
      <c r="B195" s="1208">
        <f>'Recycling - Case 2'!AI109</f>
        <v>6437.6604656145792</v>
      </c>
      <c r="C195" s="1209">
        <f t="shared" si="63"/>
        <v>0.1</v>
      </c>
      <c r="D195" s="1209">
        <f t="shared" si="58"/>
        <v>0.9</v>
      </c>
      <c r="E195" s="53">
        <v>0</v>
      </c>
      <c r="F195" s="53">
        <v>0</v>
      </c>
      <c r="G195" s="776">
        <f t="shared" si="51"/>
        <v>0.51501283724916636</v>
      </c>
      <c r="H195" s="519">
        <f t="shared" si="52"/>
        <v>23.175577676212484</v>
      </c>
      <c r="I195" s="53"/>
      <c r="J195" s="776">
        <f t="shared" si="53"/>
        <v>1.3905346605727491</v>
      </c>
      <c r="K195" s="1210">
        <f>'Recycling - Case 3'!Z149</f>
        <v>3537.8044223284328</v>
      </c>
      <c r="L195" s="1209">
        <f t="shared" si="64"/>
        <v>0.1</v>
      </c>
      <c r="M195" s="1209">
        <f t="shared" si="59"/>
        <v>0.9</v>
      </c>
      <c r="N195" s="53">
        <f t="shared" si="60"/>
        <v>0</v>
      </c>
      <c r="O195" s="53">
        <f t="shared" si="60"/>
        <v>0</v>
      </c>
      <c r="P195" s="776">
        <f t="shared" si="54"/>
        <v>0.28302435378627466</v>
      </c>
      <c r="Q195" s="519">
        <f t="shared" si="55"/>
        <v>12.736095920382359</v>
      </c>
      <c r="R195" s="53"/>
      <c r="S195" s="1211">
        <f t="shared" si="56"/>
        <v>0.7641657552229415</v>
      </c>
      <c r="T195" s="1198">
        <f t="shared" si="57"/>
        <v>0.79803719103544102</v>
      </c>
      <c r="U195" s="1199">
        <f t="shared" si="57"/>
        <v>35.911673596594845</v>
      </c>
      <c r="V195" s="1199">
        <f t="shared" si="57"/>
        <v>0</v>
      </c>
      <c r="W195" s="1200">
        <f t="shared" si="57"/>
        <v>2.1547004157956904</v>
      </c>
    </row>
    <row r="196" spans="1:23">
      <c r="A196" s="123">
        <f>'Input data'!A130</f>
        <v>2030</v>
      </c>
      <c r="B196" s="1208">
        <f>'Recycling - Case 2'!AI110</f>
        <v>6437.6604656145792</v>
      </c>
      <c r="C196" s="1209">
        <f t="shared" si="63"/>
        <v>0.1</v>
      </c>
      <c r="D196" s="1209">
        <f t="shared" si="58"/>
        <v>0.9</v>
      </c>
      <c r="E196" s="53">
        <v>0</v>
      </c>
      <c r="F196" s="53">
        <v>0</v>
      </c>
      <c r="G196" s="776">
        <f t="shared" si="51"/>
        <v>0.51501283724916636</v>
      </c>
      <c r="H196" s="519">
        <f t="shared" si="52"/>
        <v>23.175577676212484</v>
      </c>
      <c r="I196" s="53"/>
      <c r="J196" s="776">
        <f t="shared" si="53"/>
        <v>1.3905346605727491</v>
      </c>
      <c r="K196" s="1210">
        <f>'Recycling - Case 3'!Z150</f>
        <v>3597.8752829754594</v>
      </c>
      <c r="L196" s="1209">
        <f t="shared" si="64"/>
        <v>0.1</v>
      </c>
      <c r="M196" s="1209">
        <f t="shared" si="59"/>
        <v>0.9</v>
      </c>
      <c r="N196" s="53">
        <f t="shared" si="60"/>
        <v>0</v>
      </c>
      <c r="O196" s="53">
        <f t="shared" si="60"/>
        <v>0</v>
      </c>
      <c r="P196" s="776">
        <f t="shared" si="54"/>
        <v>0.28783002263803686</v>
      </c>
      <c r="Q196" s="519">
        <f t="shared" si="55"/>
        <v>12.952351018711653</v>
      </c>
      <c r="R196" s="53"/>
      <c r="S196" s="1211">
        <f t="shared" si="56"/>
        <v>0.77714106112269921</v>
      </c>
      <c r="T196" s="1198">
        <f t="shared" si="57"/>
        <v>0.80284285988720328</v>
      </c>
      <c r="U196" s="1199">
        <f t="shared" si="57"/>
        <v>36.127928694924137</v>
      </c>
      <c r="V196" s="1199">
        <f t="shared" si="57"/>
        <v>0</v>
      </c>
      <c r="W196" s="1200">
        <f t="shared" si="57"/>
        <v>2.1676757216954483</v>
      </c>
    </row>
    <row r="197" spans="1:23">
      <c r="A197" s="123">
        <f>'Input data'!A131</f>
        <v>2031</v>
      </c>
      <c r="B197" s="1208">
        <f>'Recycling - Case 2'!AI111</f>
        <v>6437.6604656145792</v>
      </c>
      <c r="C197" s="1209">
        <f t="shared" si="63"/>
        <v>0.1</v>
      </c>
      <c r="D197" s="1209">
        <f t="shared" si="58"/>
        <v>0.9</v>
      </c>
      <c r="E197" s="53">
        <v>0</v>
      </c>
      <c r="F197" s="53">
        <v>0</v>
      </c>
      <c r="G197" s="776">
        <f t="shared" si="51"/>
        <v>0.51501283724916636</v>
      </c>
      <c r="H197" s="519">
        <f t="shared" si="52"/>
        <v>23.175577676212484</v>
      </c>
      <c r="I197" s="53"/>
      <c r="J197" s="776">
        <f t="shared" si="53"/>
        <v>1.3905346605727491</v>
      </c>
      <c r="K197" s="1210">
        <f>'Recycling - Case 3'!Z151</f>
        <v>3668.9827846862445</v>
      </c>
      <c r="L197" s="1209">
        <f t="shared" si="64"/>
        <v>0.1</v>
      </c>
      <c r="M197" s="1209">
        <f t="shared" si="59"/>
        <v>0.9</v>
      </c>
      <c r="N197" s="53">
        <f t="shared" si="60"/>
        <v>0</v>
      </c>
      <c r="O197" s="53">
        <f t="shared" si="60"/>
        <v>0</v>
      </c>
      <c r="P197" s="776">
        <f t="shared" si="54"/>
        <v>0.2935186227748996</v>
      </c>
      <c r="Q197" s="519">
        <f t="shared" si="55"/>
        <v>13.20833802487048</v>
      </c>
      <c r="R197" s="53"/>
      <c r="S197" s="1211">
        <f t="shared" si="56"/>
        <v>0.79250028149222884</v>
      </c>
      <c r="T197" s="1198">
        <f t="shared" si="57"/>
        <v>0.80853146002406595</v>
      </c>
      <c r="U197" s="1199">
        <f t="shared" si="57"/>
        <v>36.383915701082962</v>
      </c>
      <c r="V197" s="1199">
        <f t="shared" si="57"/>
        <v>0</v>
      </c>
      <c r="W197" s="1200">
        <f t="shared" si="57"/>
        <v>2.1830349420649782</v>
      </c>
    </row>
    <row r="198" spans="1:23">
      <c r="A198" s="123">
        <f>'Input data'!A132</f>
        <v>2032</v>
      </c>
      <c r="B198" s="1208">
        <f>'Recycling - Case 2'!AI112</f>
        <v>6437.6604656145792</v>
      </c>
      <c r="C198" s="1209">
        <f t="shared" si="63"/>
        <v>0.1</v>
      </c>
      <c r="D198" s="1209">
        <f t="shared" si="58"/>
        <v>0.9</v>
      </c>
      <c r="E198" s="53">
        <v>0</v>
      </c>
      <c r="F198" s="53">
        <v>0</v>
      </c>
      <c r="G198" s="776">
        <f t="shared" si="51"/>
        <v>0.51501283724916636</v>
      </c>
      <c r="H198" s="519">
        <f t="shared" si="52"/>
        <v>23.175577676212484</v>
      </c>
      <c r="I198" s="53"/>
      <c r="J198" s="776">
        <f t="shared" si="53"/>
        <v>1.3905346605727491</v>
      </c>
      <c r="K198" s="1210">
        <f>'Recycling - Case 3'!Z152</f>
        <v>3743.3904051781628</v>
      </c>
      <c r="L198" s="1209">
        <f t="shared" si="64"/>
        <v>0.1</v>
      </c>
      <c r="M198" s="1209">
        <f t="shared" si="59"/>
        <v>0.9</v>
      </c>
      <c r="N198" s="53">
        <f t="shared" si="60"/>
        <v>0</v>
      </c>
      <c r="O198" s="53">
        <f t="shared" si="60"/>
        <v>0</v>
      </c>
      <c r="P198" s="776">
        <f t="shared" si="54"/>
        <v>0.29947123241425311</v>
      </c>
      <c r="Q198" s="519">
        <f t="shared" si="55"/>
        <v>13.476205458641386</v>
      </c>
      <c r="R198" s="53"/>
      <c r="S198" s="1211">
        <f t="shared" si="56"/>
        <v>0.80857232751848307</v>
      </c>
      <c r="T198" s="1198">
        <f t="shared" si="57"/>
        <v>0.81448406966341946</v>
      </c>
      <c r="U198" s="1199">
        <f t="shared" si="57"/>
        <v>36.651783134853872</v>
      </c>
      <c r="V198" s="1199">
        <f t="shared" si="57"/>
        <v>0</v>
      </c>
      <c r="W198" s="1200">
        <f t="shared" si="57"/>
        <v>2.1991069880912324</v>
      </c>
    </row>
    <row r="199" spans="1:23">
      <c r="A199" s="123">
        <f>'Input data'!A133</f>
        <v>2033</v>
      </c>
      <c r="B199" s="1208">
        <f>'Recycling - Case 2'!AI113</f>
        <v>6437.6604656145792</v>
      </c>
      <c r="C199" s="1209">
        <f t="shared" si="63"/>
        <v>0.1</v>
      </c>
      <c r="D199" s="1209">
        <f t="shared" si="58"/>
        <v>0.9</v>
      </c>
      <c r="E199" s="53">
        <v>0</v>
      </c>
      <c r="F199" s="53">
        <v>0</v>
      </c>
      <c r="G199" s="776">
        <f t="shared" si="51"/>
        <v>0.51501283724916636</v>
      </c>
      <c r="H199" s="519">
        <f t="shared" si="52"/>
        <v>23.175577676212484</v>
      </c>
      <c r="I199" s="53"/>
      <c r="J199" s="776">
        <f t="shared" si="53"/>
        <v>1.3905346605727491</v>
      </c>
      <c r="K199" s="1210">
        <f>'Recycling - Case 3'!Z153</f>
        <v>3830.9006389526726</v>
      </c>
      <c r="L199" s="1209">
        <f t="shared" si="64"/>
        <v>0.1</v>
      </c>
      <c r="M199" s="1209">
        <f t="shared" si="59"/>
        <v>0.9</v>
      </c>
      <c r="N199" s="53">
        <f t="shared" si="60"/>
        <v>0</v>
      </c>
      <c r="O199" s="53">
        <f t="shared" si="60"/>
        <v>0</v>
      </c>
      <c r="P199" s="776">
        <f t="shared" si="54"/>
        <v>0.30647205111621389</v>
      </c>
      <c r="Q199" s="519">
        <f t="shared" si="55"/>
        <v>13.791242300229621</v>
      </c>
      <c r="R199" s="53"/>
      <c r="S199" s="1211">
        <f t="shared" si="56"/>
        <v>0.82747453801377735</v>
      </c>
      <c r="T199" s="1198">
        <f t="shared" si="57"/>
        <v>0.82148488836538025</v>
      </c>
      <c r="U199" s="1199">
        <f t="shared" si="57"/>
        <v>36.966819976442103</v>
      </c>
      <c r="V199" s="1199">
        <f t="shared" si="57"/>
        <v>0</v>
      </c>
      <c r="W199" s="1200">
        <f t="shared" si="57"/>
        <v>2.2180091985865262</v>
      </c>
    </row>
    <row r="200" spans="1:23">
      <c r="A200" s="123">
        <f>'Input data'!A134</f>
        <v>2034</v>
      </c>
      <c r="B200" s="1208">
        <f>'Recycling - Case 2'!AI114</f>
        <v>6437.6604656145792</v>
      </c>
      <c r="C200" s="1209">
        <f t="shared" si="63"/>
        <v>0.1</v>
      </c>
      <c r="D200" s="1209">
        <f t="shared" si="58"/>
        <v>0.9</v>
      </c>
      <c r="E200" s="53">
        <v>0</v>
      </c>
      <c r="F200" s="53">
        <v>0</v>
      </c>
      <c r="G200" s="776">
        <f t="shared" si="51"/>
        <v>0.51501283724916636</v>
      </c>
      <c r="H200" s="519">
        <f t="shared" si="52"/>
        <v>23.175577676212484</v>
      </c>
      <c r="I200" s="53"/>
      <c r="J200" s="776">
        <f t="shared" si="53"/>
        <v>1.3905346605727491</v>
      </c>
      <c r="K200" s="1210">
        <f>'Recycling - Case 3'!Z154</f>
        <v>3926.3322451557001</v>
      </c>
      <c r="L200" s="1209">
        <f t="shared" si="64"/>
        <v>0.1</v>
      </c>
      <c r="M200" s="1209">
        <f t="shared" si="59"/>
        <v>0.9</v>
      </c>
      <c r="N200" s="53">
        <f t="shared" si="60"/>
        <v>0</v>
      </c>
      <c r="O200" s="53">
        <f t="shared" si="60"/>
        <v>0</v>
      </c>
      <c r="P200" s="776">
        <f t="shared" si="54"/>
        <v>0.31410657961245608</v>
      </c>
      <c r="Q200" s="519">
        <f t="shared" si="55"/>
        <v>14.13479608256052</v>
      </c>
      <c r="R200" s="53"/>
      <c r="S200" s="1211">
        <f t="shared" si="56"/>
        <v>0.84808776495363125</v>
      </c>
      <c r="T200" s="1198">
        <f t="shared" si="57"/>
        <v>0.82911941686162249</v>
      </c>
      <c r="U200" s="1199">
        <f t="shared" si="57"/>
        <v>37.310373758773004</v>
      </c>
      <c r="V200" s="1199">
        <f t="shared" si="57"/>
        <v>0</v>
      </c>
      <c r="W200" s="1200">
        <f t="shared" si="57"/>
        <v>2.2386224255263802</v>
      </c>
    </row>
    <row r="201" spans="1:23">
      <c r="A201" s="123">
        <f>'Input data'!A135</f>
        <v>2035</v>
      </c>
      <c r="B201" s="1208">
        <f>'Recycling - Case 2'!AI115</f>
        <v>6437.6604656145792</v>
      </c>
      <c r="C201" s="1209">
        <f t="shared" si="63"/>
        <v>0.1</v>
      </c>
      <c r="D201" s="1209">
        <f t="shared" si="58"/>
        <v>0.9</v>
      </c>
      <c r="E201" s="53">
        <v>0</v>
      </c>
      <c r="F201" s="53">
        <v>0</v>
      </c>
      <c r="G201" s="776">
        <f t="shared" si="51"/>
        <v>0.51501283724916636</v>
      </c>
      <c r="H201" s="519">
        <f t="shared" si="52"/>
        <v>23.175577676212484</v>
      </c>
      <c r="I201" s="53"/>
      <c r="J201" s="776">
        <f t="shared" si="53"/>
        <v>1.3905346605727491</v>
      </c>
      <c r="K201" s="1210">
        <f>'Recycling - Case 3'!Z155</f>
        <v>4002.4905052646268</v>
      </c>
      <c r="L201" s="1209">
        <f t="shared" si="64"/>
        <v>0.1</v>
      </c>
      <c r="M201" s="1209">
        <f t="shared" si="59"/>
        <v>0.9</v>
      </c>
      <c r="N201" s="53">
        <f t="shared" ref="N201:O216" si="65">N199</f>
        <v>0</v>
      </c>
      <c r="O201" s="53">
        <f t="shared" si="65"/>
        <v>0</v>
      </c>
      <c r="P201" s="776">
        <f t="shared" si="54"/>
        <v>0.32019924042117021</v>
      </c>
      <c r="Q201" s="519">
        <f t="shared" si="55"/>
        <v>14.408965818952657</v>
      </c>
      <c r="R201" s="53"/>
      <c r="S201" s="1211">
        <f t="shared" si="56"/>
        <v>0.86453794913715931</v>
      </c>
      <c r="T201" s="1198">
        <f t="shared" si="57"/>
        <v>0.83521207767033656</v>
      </c>
      <c r="U201" s="1199">
        <f t="shared" si="57"/>
        <v>37.584543495165143</v>
      </c>
      <c r="V201" s="1199">
        <f t="shared" si="57"/>
        <v>0</v>
      </c>
      <c r="W201" s="1200">
        <f t="shared" si="57"/>
        <v>2.2550726097099085</v>
      </c>
    </row>
    <row r="202" spans="1:23">
      <c r="A202" s="123">
        <f>'Input data'!A136</f>
        <v>2036</v>
      </c>
      <c r="B202" s="1208">
        <f>'Recycling - Case 2'!AI116</f>
        <v>6437.6604656145792</v>
      </c>
      <c r="C202" s="1209">
        <f t="shared" si="63"/>
        <v>0.1</v>
      </c>
      <c r="D202" s="1209">
        <f t="shared" si="58"/>
        <v>0.9</v>
      </c>
      <c r="E202" s="53">
        <v>0</v>
      </c>
      <c r="F202" s="53">
        <v>0</v>
      </c>
      <c r="G202" s="776">
        <f t="shared" si="51"/>
        <v>0.51501283724916636</v>
      </c>
      <c r="H202" s="519">
        <f t="shared" si="52"/>
        <v>23.175577676212484</v>
      </c>
      <c r="I202" s="53"/>
      <c r="J202" s="776">
        <f t="shared" si="53"/>
        <v>1.3905346605727491</v>
      </c>
      <c r="K202" s="1210">
        <f>'Recycling - Case 3'!Z156</f>
        <v>4078.7466272155002</v>
      </c>
      <c r="L202" s="1209">
        <f t="shared" si="64"/>
        <v>0.1</v>
      </c>
      <c r="M202" s="1209">
        <f t="shared" si="59"/>
        <v>0.9</v>
      </c>
      <c r="N202" s="53">
        <f t="shared" si="65"/>
        <v>0</v>
      </c>
      <c r="O202" s="53">
        <f t="shared" si="65"/>
        <v>0</v>
      </c>
      <c r="P202" s="776">
        <f t="shared" si="54"/>
        <v>0.32629973017724007</v>
      </c>
      <c r="Q202" s="519">
        <f t="shared" si="55"/>
        <v>14.6834878579758</v>
      </c>
      <c r="R202" s="53"/>
      <c r="S202" s="1211">
        <f t="shared" si="56"/>
        <v>0.88100927147854802</v>
      </c>
      <c r="T202" s="1198">
        <f t="shared" si="57"/>
        <v>0.84131256742640637</v>
      </c>
      <c r="U202" s="1199">
        <f t="shared" si="57"/>
        <v>37.859065534188282</v>
      </c>
      <c r="V202" s="1199">
        <f t="shared" si="57"/>
        <v>0</v>
      </c>
      <c r="W202" s="1200">
        <f t="shared" si="57"/>
        <v>2.2715439320512969</v>
      </c>
    </row>
    <row r="203" spans="1:23">
      <c r="A203" s="123">
        <f>'Input data'!A137</f>
        <v>2037</v>
      </c>
      <c r="B203" s="1208">
        <f>'Recycling - Case 2'!AI117</f>
        <v>6437.6604656145792</v>
      </c>
      <c r="C203" s="1209">
        <f t="shared" si="63"/>
        <v>0.1</v>
      </c>
      <c r="D203" s="1209">
        <f t="shared" si="58"/>
        <v>0.9</v>
      </c>
      <c r="E203" s="53">
        <v>0</v>
      </c>
      <c r="F203" s="53">
        <v>0</v>
      </c>
      <c r="G203" s="776">
        <f t="shared" si="51"/>
        <v>0.51501283724916636</v>
      </c>
      <c r="H203" s="519">
        <f t="shared" si="52"/>
        <v>23.175577676212484</v>
      </c>
      <c r="I203" s="53"/>
      <c r="J203" s="776">
        <f t="shared" si="53"/>
        <v>1.3905346605727491</v>
      </c>
      <c r="K203" s="1210">
        <f>'Recycling - Case 3'!Z157</f>
        <v>4167.9694432240412</v>
      </c>
      <c r="L203" s="1209">
        <f t="shared" si="64"/>
        <v>0.1</v>
      </c>
      <c r="M203" s="1209">
        <f t="shared" si="59"/>
        <v>0.9</v>
      </c>
      <c r="N203" s="53">
        <f t="shared" si="65"/>
        <v>0</v>
      </c>
      <c r="O203" s="53">
        <f t="shared" si="65"/>
        <v>0</v>
      </c>
      <c r="P203" s="776">
        <f t="shared" si="54"/>
        <v>0.33343755545792336</v>
      </c>
      <c r="Q203" s="519">
        <f t="shared" si="55"/>
        <v>15.004689995606547</v>
      </c>
      <c r="R203" s="53"/>
      <c r="S203" s="1211">
        <f t="shared" si="56"/>
        <v>0.90028139973639287</v>
      </c>
      <c r="T203" s="1198">
        <f t="shared" si="57"/>
        <v>0.84845039270708966</v>
      </c>
      <c r="U203" s="1199">
        <f t="shared" si="57"/>
        <v>38.180267671819031</v>
      </c>
      <c r="V203" s="1199">
        <f t="shared" si="57"/>
        <v>0</v>
      </c>
      <c r="W203" s="1200">
        <f t="shared" si="57"/>
        <v>2.2908160603091421</v>
      </c>
    </row>
    <row r="204" spans="1:23">
      <c r="A204" s="123">
        <f>'Input data'!A138</f>
        <v>2038</v>
      </c>
      <c r="B204" s="1208">
        <f>'Recycling - Case 2'!AI118</f>
        <v>6437.6604656145792</v>
      </c>
      <c r="C204" s="1209">
        <f t="shared" si="63"/>
        <v>0.1</v>
      </c>
      <c r="D204" s="1209">
        <f t="shared" si="58"/>
        <v>0.9</v>
      </c>
      <c r="E204" s="53">
        <v>0</v>
      </c>
      <c r="F204" s="53">
        <v>0</v>
      </c>
      <c r="G204" s="776">
        <f t="shared" si="51"/>
        <v>0.51501283724916636</v>
      </c>
      <c r="H204" s="519">
        <f t="shared" si="52"/>
        <v>23.175577676212484</v>
      </c>
      <c r="I204" s="53"/>
      <c r="J204" s="776">
        <f t="shared" si="53"/>
        <v>1.3905346605727491</v>
      </c>
      <c r="K204" s="1210">
        <f>'Recycling - Case 3'!Z158</f>
        <v>4255.0991031687627</v>
      </c>
      <c r="L204" s="1209">
        <f t="shared" si="64"/>
        <v>0.1</v>
      </c>
      <c r="M204" s="1209">
        <f t="shared" si="59"/>
        <v>0.9</v>
      </c>
      <c r="N204" s="53">
        <f t="shared" si="65"/>
        <v>0</v>
      </c>
      <c r="O204" s="53">
        <f t="shared" si="65"/>
        <v>0</v>
      </c>
      <c r="P204" s="776">
        <f t="shared" si="54"/>
        <v>0.34040792825350108</v>
      </c>
      <c r="Q204" s="519">
        <f t="shared" si="55"/>
        <v>15.318356771407545</v>
      </c>
      <c r="R204" s="53"/>
      <c r="S204" s="1211">
        <f t="shared" si="56"/>
        <v>0.9191014062844528</v>
      </c>
      <c r="T204" s="1198">
        <f t="shared" si="57"/>
        <v>0.85542076550266744</v>
      </c>
      <c r="U204" s="1199">
        <f t="shared" si="57"/>
        <v>38.493934447620028</v>
      </c>
      <c r="V204" s="1199">
        <f t="shared" si="57"/>
        <v>0</v>
      </c>
      <c r="W204" s="1200">
        <f t="shared" si="57"/>
        <v>2.3096360668572018</v>
      </c>
    </row>
    <row r="205" spans="1:23">
      <c r="A205" s="123">
        <f>'Input data'!A139</f>
        <v>2039</v>
      </c>
      <c r="B205" s="1208">
        <f>'Recycling - Case 2'!AI119</f>
        <v>6437.6604656145792</v>
      </c>
      <c r="C205" s="1209">
        <f t="shared" si="63"/>
        <v>0.1</v>
      </c>
      <c r="D205" s="1209">
        <f t="shared" si="58"/>
        <v>0.9</v>
      </c>
      <c r="E205" s="53">
        <v>0</v>
      </c>
      <c r="F205" s="53">
        <v>0</v>
      </c>
      <c r="G205" s="776">
        <f t="shared" si="51"/>
        <v>0.51501283724916636</v>
      </c>
      <c r="H205" s="519">
        <f t="shared" si="52"/>
        <v>23.175577676212484</v>
      </c>
      <c r="I205" s="53"/>
      <c r="J205" s="776">
        <f t="shared" si="53"/>
        <v>1.3905346605727491</v>
      </c>
      <c r="K205" s="1210">
        <f>'Recycling - Case 3'!Z159</f>
        <v>4348.4810474599535</v>
      </c>
      <c r="L205" s="1209">
        <f t="shared" si="64"/>
        <v>0.1</v>
      </c>
      <c r="M205" s="1209">
        <f t="shared" si="59"/>
        <v>0.9</v>
      </c>
      <c r="N205" s="53">
        <f t="shared" si="65"/>
        <v>0</v>
      </c>
      <c r="O205" s="53">
        <f t="shared" si="65"/>
        <v>0</v>
      </c>
      <c r="P205" s="776">
        <f t="shared" si="54"/>
        <v>0.34787848379679631</v>
      </c>
      <c r="Q205" s="519">
        <f t="shared" si="55"/>
        <v>15.654531770855833</v>
      </c>
      <c r="R205" s="53"/>
      <c r="S205" s="1211">
        <f t="shared" si="56"/>
        <v>0.93927190625134993</v>
      </c>
      <c r="T205" s="1198">
        <f t="shared" si="57"/>
        <v>0.86289132104596267</v>
      </c>
      <c r="U205" s="1199">
        <f t="shared" si="57"/>
        <v>38.830109447068317</v>
      </c>
      <c r="V205" s="1199">
        <f t="shared" si="57"/>
        <v>0</v>
      </c>
      <c r="W205" s="1200">
        <f t="shared" si="57"/>
        <v>2.3298065668240993</v>
      </c>
    </row>
    <row r="206" spans="1:23">
      <c r="A206" s="123">
        <f>'Input data'!A140</f>
        <v>2040</v>
      </c>
      <c r="B206" s="1208">
        <f>'Recycling - Case 2'!AI120</f>
        <v>6437.6604656145792</v>
      </c>
      <c r="C206" s="1209">
        <f t="shared" si="63"/>
        <v>0.1</v>
      </c>
      <c r="D206" s="1209">
        <f t="shared" si="58"/>
        <v>0.9</v>
      </c>
      <c r="E206" s="53">
        <v>0</v>
      </c>
      <c r="F206" s="53">
        <v>0</v>
      </c>
      <c r="G206" s="776">
        <f t="shared" si="51"/>
        <v>0.51501283724916636</v>
      </c>
      <c r="H206" s="519">
        <f t="shared" si="52"/>
        <v>23.175577676212484</v>
      </c>
      <c r="I206" s="53"/>
      <c r="J206" s="776">
        <f t="shared" si="53"/>
        <v>1.3905346605727491</v>
      </c>
      <c r="K206" s="1210">
        <f>'Recycling - Case 3'!Z160</f>
        <v>4442.1783243529617</v>
      </c>
      <c r="L206" s="1209">
        <f t="shared" si="64"/>
        <v>0.1</v>
      </c>
      <c r="M206" s="1209">
        <f t="shared" si="59"/>
        <v>0.9</v>
      </c>
      <c r="N206" s="53">
        <f t="shared" si="65"/>
        <v>0</v>
      </c>
      <c r="O206" s="53">
        <f t="shared" si="65"/>
        <v>0</v>
      </c>
      <c r="P206" s="776">
        <f t="shared" si="54"/>
        <v>0.35537426594823701</v>
      </c>
      <c r="Q206" s="519">
        <f t="shared" si="55"/>
        <v>15.991841967670661</v>
      </c>
      <c r="R206" s="53"/>
      <c r="S206" s="1211">
        <f t="shared" si="56"/>
        <v>0.95951051806023979</v>
      </c>
      <c r="T206" s="1198">
        <f t="shared" si="57"/>
        <v>0.87038710319740331</v>
      </c>
      <c r="U206" s="1199">
        <f t="shared" si="57"/>
        <v>39.167419643883143</v>
      </c>
      <c r="V206" s="1199">
        <f t="shared" si="57"/>
        <v>0</v>
      </c>
      <c r="W206" s="1200">
        <f t="shared" si="57"/>
        <v>2.350045178632989</v>
      </c>
    </row>
    <row r="207" spans="1:23">
      <c r="A207" s="123">
        <f>'Input data'!A141</f>
        <v>2041</v>
      </c>
      <c r="B207" s="1208">
        <f>'Recycling - Case 2'!AI121</f>
        <v>6437.6604656145792</v>
      </c>
      <c r="C207" s="1209">
        <f t="shared" si="63"/>
        <v>0.1</v>
      </c>
      <c r="D207" s="1209">
        <f t="shared" si="58"/>
        <v>0.9</v>
      </c>
      <c r="E207" s="53">
        <v>0</v>
      </c>
      <c r="F207" s="53">
        <v>0</v>
      </c>
      <c r="G207" s="776">
        <f t="shared" si="51"/>
        <v>0.51501283724916636</v>
      </c>
      <c r="H207" s="519">
        <f t="shared" si="52"/>
        <v>23.175577676212484</v>
      </c>
      <c r="I207" s="53"/>
      <c r="J207" s="776">
        <f t="shared" si="53"/>
        <v>1.3905346605727491</v>
      </c>
      <c r="K207" s="1210">
        <f>'Recycling - Case 3'!Z161</f>
        <v>4547.532033975378</v>
      </c>
      <c r="L207" s="1209">
        <f t="shared" si="64"/>
        <v>0.1</v>
      </c>
      <c r="M207" s="1209">
        <f t="shared" si="59"/>
        <v>0.9</v>
      </c>
      <c r="N207" s="53">
        <f t="shared" si="65"/>
        <v>0</v>
      </c>
      <c r="O207" s="53">
        <f t="shared" si="65"/>
        <v>0</v>
      </c>
      <c r="P207" s="776">
        <f t="shared" si="54"/>
        <v>0.3638025627180303</v>
      </c>
      <c r="Q207" s="519">
        <f t="shared" si="55"/>
        <v>16.371115322311361</v>
      </c>
      <c r="R207" s="53"/>
      <c r="S207" s="1211">
        <f t="shared" si="56"/>
        <v>0.9822669193386816</v>
      </c>
      <c r="T207" s="1198">
        <f t="shared" si="57"/>
        <v>0.8788153999671966</v>
      </c>
      <c r="U207" s="1199">
        <f t="shared" si="57"/>
        <v>39.546692998523845</v>
      </c>
      <c r="V207" s="1199">
        <f t="shared" si="57"/>
        <v>0</v>
      </c>
      <c r="W207" s="1200">
        <f t="shared" si="57"/>
        <v>2.3728015799114308</v>
      </c>
    </row>
    <row r="208" spans="1:23">
      <c r="A208" s="123">
        <f>'Input data'!A142</f>
        <v>2042</v>
      </c>
      <c r="B208" s="1208">
        <f>'Recycling - Case 2'!AI122</f>
        <v>6437.6604656145792</v>
      </c>
      <c r="C208" s="1209">
        <f t="shared" si="63"/>
        <v>0.1</v>
      </c>
      <c r="D208" s="1209">
        <f t="shared" si="58"/>
        <v>0.9</v>
      </c>
      <c r="E208" s="53">
        <v>0</v>
      </c>
      <c r="F208" s="53">
        <v>0</v>
      </c>
      <c r="G208" s="776">
        <f t="shared" si="51"/>
        <v>0.51501283724916636</v>
      </c>
      <c r="H208" s="519">
        <f t="shared" si="52"/>
        <v>23.175577676212484</v>
      </c>
      <c r="I208" s="53"/>
      <c r="J208" s="776">
        <f t="shared" si="53"/>
        <v>1.3905346605727491</v>
      </c>
      <c r="K208" s="1210">
        <f>'Recycling - Case 3'!Z162</f>
        <v>4654.5439581418577</v>
      </c>
      <c r="L208" s="1209">
        <f t="shared" si="64"/>
        <v>0.1</v>
      </c>
      <c r="M208" s="1209">
        <f t="shared" si="59"/>
        <v>0.9</v>
      </c>
      <c r="N208" s="53">
        <f t="shared" si="65"/>
        <v>0</v>
      </c>
      <c r="O208" s="53">
        <f t="shared" si="65"/>
        <v>0</v>
      </c>
      <c r="P208" s="776">
        <f t="shared" si="54"/>
        <v>0.3723635166513487</v>
      </c>
      <c r="Q208" s="519">
        <f t="shared" si="55"/>
        <v>16.756358249310686</v>
      </c>
      <c r="R208" s="53"/>
      <c r="S208" s="1211">
        <f t="shared" si="56"/>
        <v>1.0053814949586413</v>
      </c>
      <c r="T208" s="1198">
        <f t="shared" si="57"/>
        <v>0.88737635390051506</v>
      </c>
      <c r="U208" s="1199">
        <f t="shared" si="57"/>
        <v>39.93193592552317</v>
      </c>
      <c r="V208" s="1199">
        <f t="shared" si="57"/>
        <v>0</v>
      </c>
      <c r="W208" s="1200">
        <f t="shared" si="57"/>
        <v>2.3959161555313901</v>
      </c>
    </row>
    <row r="209" spans="1:23">
      <c r="A209" s="123">
        <f>'Input data'!A143</f>
        <v>2043</v>
      </c>
      <c r="B209" s="1208">
        <f>'Recycling - Case 2'!AI123</f>
        <v>6437.6604656145792</v>
      </c>
      <c r="C209" s="1209">
        <f t="shared" si="63"/>
        <v>0.1</v>
      </c>
      <c r="D209" s="1209">
        <f t="shared" si="58"/>
        <v>0.9</v>
      </c>
      <c r="E209" s="53">
        <v>0</v>
      </c>
      <c r="F209" s="53">
        <v>0</v>
      </c>
      <c r="G209" s="776">
        <f t="shared" si="51"/>
        <v>0.51501283724916636</v>
      </c>
      <c r="H209" s="519">
        <f t="shared" si="52"/>
        <v>23.175577676212484</v>
      </c>
      <c r="I209" s="53"/>
      <c r="J209" s="776">
        <f t="shared" si="53"/>
        <v>1.3905346605727491</v>
      </c>
      <c r="K209" s="1210">
        <f>'Recycling - Case 3'!Z163</f>
        <v>4764.3177609587738</v>
      </c>
      <c r="L209" s="1209">
        <f t="shared" si="64"/>
        <v>0.1</v>
      </c>
      <c r="M209" s="1209">
        <f t="shared" si="59"/>
        <v>0.9</v>
      </c>
      <c r="N209" s="53">
        <f t="shared" si="65"/>
        <v>0</v>
      </c>
      <c r="O209" s="53">
        <f t="shared" si="65"/>
        <v>0</v>
      </c>
      <c r="P209" s="776">
        <f t="shared" si="54"/>
        <v>0.38114542087670195</v>
      </c>
      <c r="Q209" s="519">
        <f t="shared" si="55"/>
        <v>17.151543939451585</v>
      </c>
      <c r="R209" s="53"/>
      <c r="S209" s="1211">
        <f t="shared" si="56"/>
        <v>1.0290926363670951</v>
      </c>
      <c r="T209" s="1198">
        <f t="shared" si="57"/>
        <v>0.89615825812586825</v>
      </c>
      <c r="U209" s="1199">
        <f t="shared" si="57"/>
        <v>40.327121615664069</v>
      </c>
      <c r="V209" s="1199">
        <f t="shared" si="57"/>
        <v>0</v>
      </c>
      <c r="W209" s="1200">
        <f t="shared" si="57"/>
        <v>2.4196272969398445</v>
      </c>
    </row>
    <row r="210" spans="1:23">
      <c r="A210" s="123">
        <f>'Input data'!A144</f>
        <v>2044</v>
      </c>
      <c r="B210" s="1208">
        <f>'Recycling - Case 2'!AI124</f>
        <v>6437.6604656145792</v>
      </c>
      <c r="C210" s="1209">
        <f t="shared" si="63"/>
        <v>0.1</v>
      </c>
      <c r="D210" s="1209">
        <f t="shared" si="58"/>
        <v>0.9</v>
      </c>
      <c r="E210" s="53">
        <v>0</v>
      </c>
      <c r="F210" s="53">
        <v>0</v>
      </c>
      <c r="G210" s="776">
        <f t="shared" si="51"/>
        <v>0.51501283724916636</v>
      </c>
      <c r="H210" s="519">
        <f t="shared" si="52"/>
        <v>23.175577676212484</v>
      </c>
      <c r="I210" s="53"/>
      <c r="J210" s="776">
        <f t="shared" si="53"/>
        <v>1.3905346605727491</v>
      </c>
      <c r="K210" s="1210">
        <f>'Recycling - Case 3'!Z164</f>
        <v>4878.3539906692804</v>
      </c>
      <c r="L210" s="1209">
        <f t="shared" si="64"/>
        <v>0.1</v>
      </c>
      <c r="M210" s="1209">
        <f t="shared" si="59"/>
        <v>0.9</v>
      </c>
      <c r="N210" s="53">
        <f t="shared" si="65"/>
        <v>0</v>
      </c>
      <c r="O210" s="53">
        <f t="shared" si="65"/>
        <v>0</v>
      </c>
      <c r="P210" s="776">
        <f t="shared" si="54"/>
        <v>0.39026831925354255</v>
      </c>
      <c r="Q210" s="519">
        <f t="shared" si="55"/>
        <v>17.562074366409412</v>
      </c>
      <c r="R210" s="53"/>
      <c r="S210" s="1211">
        <f t="shared" si="56"/>
        <v>1.0537244619845647</v>
      </c>
      <c r="T210" s="1198">
        <f t="shared" si="57"/>
        <v>0.90528115650270891</v>
      </c>
      <c r="U210" s="1199">
        <f t="shared" si="57"/>
        <v>40.737652042621896</v>
      </c>
      <c r="V210" s="1199">
        <f t="shared" si="57"/>
        <v>0</v>
      </c>
      <c r="W210" s="1200">
        <f t="shared" si="57"/>
        <v>2.4442591225573138</v>
      </c>
    </row>
    <row r="211" spans="1:23">
      <c r="A211" s="123">
        <f>'Input data'!A145</f>
        <v>2045</v>
      </c>
      <c r="B211" s="1208">
        <f>'Recycling - Case 2'!AI125</f>
        <v>6437.6604656145792</v>
      </c>
      <c r="C211" s="1209">
        <f t="shared" si="63"/>
        <v>0.1</v>
      </c>
      <c r="D211" s="1209">
        <f t="shared" si="58"/>
        <v>0.9</v>
      </c>
      <c r="E211" s="53">
        <v>0</v>
      </c>
      <c r="F211" s="53">
        <v>0</v>
      </c>
      <c r="G211" s="776">
        <f t="shared" si="51"/>
        <v>0.51501283724916636</v>
      </c>
      <c r="H211" s="519">
        <f t="shared" si="52"/>
        <v>23.175577676212484</v>
      </c>
      <c r="I211" s="53"/>
      <c r="J211" s="776">
        <f t="shared" si="53"/>
        <v>1.3905346605727491</v>
      </c>
      <c r="K211" s="1210">
        <f>'Recycling - Case 3'!Z165</f>
        <v>4997.2071977110627</v>
      </c>
      <c r="L211" s="1209">
        <f t="shared" si="64"/>
        <v>0.1</v>
      </c>
      <c r="M211" s="1209">
        <f t="shared" si="59"/>
        <v>0.9</v>
      </c>
      <c r="N211" s="53">
        <f t="shared" si="65"/>
        <v>0</v>
      </c>
      <c r="O211" s="53">
        <f t="shared" si="65"/>
        <v>0</v>
      </c>
      <c r="P211" s="776">
        <f t="shared" si="54"/>
        <v>0.39977657581688508</v>
      </c>
      <c r="Q211" s="519">
        <f t="shared" si="55"/>
        <v>17.989945911759825</v>
      </c>
      <c r="R211" s="53"/>
      <c r="S211" s="1211">
        <f t="shared" si="56"/>
        <v>1.0793967547055896</v>
      </c>
      <c r="T211" s="1198">
        <f t="shared" si="57"/>
        <v>0.91478941306605144</v>
      </c>
      <c r="U211" s="1199">
        <f t="shared" si="57"/>
        <v>41.165523587972309</v>
      </c>
      <c r="V211" s="1199">
        <f t="shared" si="57"/>
        <v>0</v>
      </c>
      <c r="W211" s="1200">
        <f t="shared" si="57"/>
        <v>2.4699314152783387</v>
      </c>
    </row>
    <row r="212" spans="1:23">
      <c r="A212" s="123">
        <f>'Input data'!A146</f>
        <v>2046</v>
      </c>
      <c r="B212" s="1208">
        <f>'Recycling - Case 2'!AI126</f>
        <v>6437.6604656145792</v>
      </c>
      <c r="C212" s="1209">
        <f t="shared" si="63"/>
        <v>0.1</v>
      </c>
      <c r="D212" s="1209">
        <f t="shared" si="58"/>
        <v>0.9</v>
      </c>
      <c r="E212" s="53">
        <v>0</v>
      </c>
      <c r="F212" s="53">
        <v>0</v>
      </c>
      <c r="G212" s="776">
        <f t="shared" si="51"/>
        <v>0.51501283724916636</v>
      </c>
      <c r="H212" s="519">
        <f t="shared" si="52"/>
        <v>23.175577676212484</v>
      </c>
      <c r="I212" s="53"/>
      <c r="J212" s="776">
        <f t="shared" si="53"/>
        <v>1.3905346605727491</v>
      </c>
      <c r="K212" s="1210">
        <f>'Recycling - Case 3'!Z166</f>
        <v>5124.3025465521841</v>
      </c>
      <c r="L212" s="1209">
        <f t="shared" si="64"/>
        <v>0.1</v>
      </c>
      <c r="M212" s="1209">
        <f t="shared" si="59"/>
        <v>0.9</v>
      </c>
      <c r="N212" s="53">
        <f t="shared" si="65"/>
        <v>0</v>
      </c>
      <c r="O212" s="53">
        <f t="shared" si="65"/>
        <v>0</v>
      </c>
      <c r="P212" s="776">
        <f t="shared" si="54"/>
        <v>0.40994420372417484</v>
      </c>
      <c r="Q212" s="519">
        <f t="shared" si="55"/>
        <v>18.447489167587865</v>
      </c>
      <c r="R212" s="53"/>
      <c r="S212" s="1211">
        <f t="shared" si="56"/>
        <v>1.1068493500552719</v>
      </c>
      <c r="T212" s="1198">
        <f t="shared" si="57"/>
        <v>0.92495704097334119</v>
      </c>
      <c r="U212" s="1199">
        <f t="shared" si="57"/>
        <v>41.623066843800345</v>
      </c>
      <c r="V212" s="1199">
        <f t="shared" si="57"/>
        <v>0</v>
      </c>
      <c r="W212" s="1200">
        <f t="shared" si="57"/>
        <v>2.497384010628021</v>
      </c>
    </row>
    <row r="213" spans="1:23">
      <c r="A213" s="123">
        <f>'Input data'!A147</f>
        <v>2047</v>
      </c>
      <c r="B213" s="1208">
        <f>'Recycling - Case 2'!AI127</f>
        <v>6437.6604656145792</v>
      </c>
      <c r="C213" s="1209">
        <f t="shared" si="63"/>
        <v>0.1</v>
      </c>
      <c r="D213" s="1209">
        <f t="shared" si="58"/>
        <v>0.9</v>
      </c>
      <c r="E213" s="53">
        <v>0</v>
      </c>
      <c r="F213" s="53">
        <v>0</v>
      </c>
      <c r="G213" s="776">
        <f t="shared" si="51"/>
        <v>0.51501283724916636</v>
      </c>
      <c r="H213" s="519">
        <f t="shared" si="52"/>
        <v>23.175577676212484</v>
      </c>
      <c r="I213" s="53"/>
      <c r="J213" s="776">
        <f t="shared" si="53"/>
        <v>1.3905346605727491</v>
      </c>
      <c r="K213" s="1210">
        <f>'Recycling - Case 3'!Z167</f>
        <v>5203.2226853115508</v>
      </c>
      <c r="L213" s="1209">
        <f t="shared" si="64"/>
        <v>0.1</v>
      </c>
      <c r="M213" s="1209">
        <f t="shared" si="59"/>
        <v>0.9</v>
      </c>
      <c r="N213" s="53">
        <f t="shared" si="65"/>
        <v>0</v>
      </c>
      <c r="O213" s="53">
        <f t="shared" si="65"/>
        <v>0</v>
      </c>
      <c r="P213" s="776">
        <f t="shared" si="54"/>
        <v>0.41625781482492413</v>
      </c>
      <c r="Q213" s="519">
        <f t="shared" si="55"/>
        <v>18.731601667121584</v>
      </c>
      <c r="R213" s="53"/>
      <c r="S213" s="1211">
        <f t="shared" si="56"/>
        <v>1.1238961000272949</v>
      </c>
      <c r="T213" s="1198">
        <f t="shared" si="57"/>
        <v>0.93127065207409054</v>
      </c>
      <c r="U213" s="1199">
        <f t="shared" si="57"/>
        <v>41.907179343334064</v>
      </c>
      <c r="V213" s="1199">
        <f t="shared" si="57"/>
        <v>0</v>
      </c>
      <c r="W213" s="1200">
        <f t="shared" si="57"/>
        <v>2.5144307606000442</v>
      </c>
    </row>
    <row r="214" spans="1:23">
      <c r="A214" s="123">
        <f>'Input data'!A148</f>
        <v>2048</v>
      </c>
      <c r="B214" s="1208">
        <f>'Recycling - Case 2'!AI128</f>
        <v>6437.6604656145792</v>
      </c>
      <c r="C214" s="1209">
        <f t="shared" si="63"/>
        <v>0.1</v>
      </c>
      <c r="D214" s="1209">
        <f t="shared" si="58"/>
        <v>0.9</v>
      </c>
      <c r="E214" s="53">
        <v>0</v>
      </c>
      <c r="F214" s="53">
        <v>0</v>
      </c>
      <c r="G214" s="776">
        <f t="shared" si="51"/>
        <v>0.51501283724916636</v>
      </c>
      <c r="H214" s="519">
        <f t="shared" si="52"/>
        <v>23.175577676212484</v>
      </c>
      <c r="I214" s="53"/>
      <c r="J214" s="776">
        <f t="shared" si="53"/>
        <v>1.3905346605727491</v>
      </c>
      <c r="K214" s="1210">
        <f>'Recycling - Case 3'!Z168</f>
        <v>5276.7441124569687</v>
      </c>
      <c r="L214" s="1209">
        <f t="shared" si="64"/>
        <v>0.1</v>
      </c>
      <c r="M214" s="1209">
        <f t="shared" si="59"/>
        <v>0.9</v>
      </c>
      <c r="N214" s="53">
        <f t="shared" si="65"/>
        <v>0</v>
      </c>
      <c r="O214" s="53">
        <f t="shared" si="65"/>
        <v>0</v>
      </c>
      <c r="P214" s="776">
        <f t="shared" si="54"/>
        <v>0.4221395289965576</v>
      </c>
      <c r="Q214" s="519">
        <f t="shared" si="55"/>
        <v>18.99627880484509</v>
      </c>
      <c r="R214" s="53"/>
      <c r="S214" s="1211">
        <f t="shared" si="56"/>
        <v>1.1397767282907052</v>
      </c>
      <c r="T214" s="1198">
        <f t="shared" si="57"/>
        <v>0.93715236624572396</v>
      </c>
      <c r="U214" s="1199">
        <f t="shared" si="57"/>
        <v>42.171856481057574</v>
      </c>
      <c r="V214" s="1199">
        <f t="shared" si="57"/>
        <v>0</v>
      </c>
      <c r="W214" s="1200">
        <f t="shared" si="57"/>
        <v>2.5303113888634545</v>
      </c>
    </row>
    <row r="215" spans="1:23">
      <c r="A215" s="123">
        <f>'Input data'!A149</f>
        <v>2049</v>
      </c>
      <c r="B215" s="1208">
        <f>'Recycling - Case 2'!AI129</f>
        <v>6437.6604656145792</v>
      </c>
      <c r="C215" s="1209">
        <f t="shared" si="63"/>
        <v>0.1</v>
      </c>
      <c r="D215" s="1209">
        <f t="shared" si="58"/>
        <v>0.9</v>
      </c>
      <c r="E215" s="53">
        <v>0</v>
      </c>
      <c r="F215" s="53">
        <v>0</v>
      </c>
      <c r="G215" s="776">
        <f t="shared" si="51"/>
        <v>0.51501283724916636</v>
      </c>
      <c r="H215" s="519">
        <f t="shared" si="52"/>
        <v>23.175577676212484</v>
      </c>
      <c r="I215" s="53"/>
      <c r="J215" s="776">
        <f t="shared" si="53"/>
        <v>1.3905346605727491</v>
      </c>
      <c r="K215" s="1210">
        <f>'Recycling - Case 3'!Z169</f>
        <v>5349.9991379215398</v>
      </c>
      <c r="L215" s="1209">
        <f t="shared" si="64"/>
        <v>0.1</v>
      </c>
      <c r="M215" s="1209">
        <f t="shared" si="59"/>
        <v>0.9</v>
      </c>
      <c r="N215" s="53">
        <f t="shared" si="65"/>
        <v>0</v>
      </c>
      <c r="O215" s="53">
        <f t="shared" si="65"/>
        <v>0</v>
      </c>
      <c r="P215" s="776">
        <f t="shared" si="54"/>
        <v>0.42799993103372325</v>
      </c>
      <c r="Q215" s="519">
        <f t="shared" si="55"/>
        <v>19.259996896517542</v>
      </c>
      <c r="R215" s="53"/>
      <c r="S215" s="1211">
        <f t="shared" si="56"/>
        <v>1.1555998137910526</v>
      </c>
      <c r="T215" s="1198">
        <f t="shared" si="57"/>
        <v>0.9430127682828896</v>
      </c>
      <c r="U215" s="1199">
        <f t="shared" si="57"/>
        <v>42.435574572730026</v>
      </c>
      <c r="V215" s="1199">
        <f t="shared" si="57"/>
        <v>0</v>
      </c>
      <c r="W215" s="1200">
        <f t="shared" si="57"/>
        <v>2.5461344743638019</v>
      </c>
    </row>
    <row r="216" spans="1:23" ht="15.75" thickBot="1">
      <c r="A216" s="123">
        <f>'Input data'!A150</f>
        <v>2050</v>
      </c>
      <c r="B216" s="1208">
        <f>'Recycling - Case 2'!AI130</f>
        <v>6437.6604656145792</v>
      </c>
      <c r="C216" s="578">
        <f t="shared" si="63"/>
        <v>0.1</v>
      </c>
      <c r="D216" s="578">
        <f t="shared" si="58"/>
        <v>0.9</v>
      </c>
      <c r="E216" s="1212">
        <v>0</v>
      </c>
      <c r="F216" s="1212">
        <v>0</v>
      </c>
      <c r="G216" s="1213">
        <f t="shared" si="51"/>
        <v>0.51501283724916636</v>
      </c>
      <c r="H216" s="1144">
        <f t="shared" si="52"/>
        <v>23.175577676212484</v>
      </c>
      <c r="I216" s="1212"/>
      <c r="J216" s="1213">
        <f t="shared" si="53"/>
        <v>1.3905346605727491</v>
      </c>
      <c r="K216" s="1210">
        <f>'Recycling - Case 3'!Z170</f>
        <v>5421.623132687032</v>
      </c>
      <c r="L216" s="578">
        <f t="shared" si="64"/>
        <v>0.1</v>
      </c>
      <c r="M216" s="578">
        <f t="shared" si="59"/>
        <v>0.9</v>
      </c>
      <c r="N216" s="1212">
        <f t="shared" si="65"/>
        <v>0</v>
      </c>
      <c r="O216" s="1212">
        <f t="shared" si="65"/>
        <v>0</v>
      </c>
      <c r="P216" s="1213">
        <f t="shared" si="54"/>
        <v>0.43372985061496261</v>
      </c>
      <c r="Q216" s="1144">
        <f t="shared" si="55"/>
        <v>19.517843277673318</v>
      </c>
      <c r="R216" s="1212"/>
      <c r="S216" s="1214">
        <f t="shared" si="56"/>
        <v>1.1710705966603989</v>
      </c>
      <c r="T216" s="1215">
        <f t="shared" si="57"/>
        <v>0.94874268786412896</v>
      </c>
      <c r="U216" s="1216">
        <f t="shared" si="57"/>
        <v>42.693420953885806</v>
      </c>
      <c r="V216" s="1216">
        <f t="shared" si="57"/>
        <v>0</v>
      </c>
      <c r="W216" s="1217">
        <f t="shared" si="57"/>
        <v>2.5616052572331478</v>
      </c>
    </row>
    <row r="217" spans="1:23">
      <c r="A217" s="1202" t="s">
        <v>659</v>
      </c>
      <c r="B217" s="1203"/>
      <c r="C217" s="1218"/>
      <c r="D217" s="1218"/>
      <c r="E217" s="1219"/>
      <c r="F217" s="1219"/>
      <c r="G217" s="1220"/>
      <c r="H217" s="1221"/>
      <c r="I217" s="1222"/>
      <c r="J217" s="1220"/>
      <c r="K217" s="1223"/>
      <c r="L217" s="1218"/>
      <c r="M217" s="1218"/>
      <c r="N217" s="1219"/>
      <c r="O217" s="1219"/>
      <c r="P217" s="1220"/>
      <c r="Q217" s="1221"/>
      <c r="R217" s="1219"/>
      <c r="S217" s="1224"/>
      <c r="T217" s="1194"/>
      <c r="U217" s="1195"/>
      <c r="V217" s="1195"/>
      <c r="W217" s="1196"/>
    </row>
    <row r="218" spans="1:23">
      <c r="A218" s="123">
        <f>'Input data'!A118</f>
        <v>2018</v>
      </c>
      <c r="B218" s="1208">
        <f>'Recycling - Case 3'!AI98</f>
        <v>3707.5235423427162</v>
      </c>
      <c r="C218" s="1209">
        <f>($C$222-$C$80)/($A$222-$A$80)+C80</f>
        <v>0.14000000000000001</v>
      </c>
      <c r="D218" s="1209">
        <f>1-C218</f>
        <v>0.86</v>
      </c>
      <c r="E218" s="53">
        <v>0</v>
      </c>
      <c r="F218" s="53">
        <v>0</v>
      </c>
      <c r="G218" s="776">
        <f>C218*$D$5*B218/1000-E218</f>
        <v>0.41524263674238426</v>
      </c>
      <c r="H218" s="519">
        <f>D218*$D$4*B218/1000-F218</f>
        <v>12.753880985658943</v>
      </c>
      <c r="I218" s="53"/>
      <c r="J218" s="776">
        <f>D218*$D$7*B218/1000</f>
        <v>0.76523285913953654</v>
      </c>
      <c r="K218" s="1210">
        <f>'Recycling - Case 3'!Z138</f>
        <v>1789.9687605419947</v>
      </c>
      <c r="L218" s="1209">
        <f>($L$222-$L$80)/($A$222-$A$80)+L80</f>
        <v>0.18</v>
      </c>
      <c r="M218" s="1209">
        <f>($M$222-$M$80)/($A$222-$A$80)+M80</f>
        <v>0.82000000000000006</v>
      </c>
      <c r="N218" s="53">
        <f t="shared" ref="N218:O233" si="66">N80</f>
        <v>0</v>
      </c>
      <c r="O218" s="53">
        <f t="shared" si="66"/>
        <v>0</v>
      </c>
      <c r="P218" s="776">
        <f t="shared" ref="P218:P250" si="67">L218*$D$5*K218/1000-N218</f>
        <v>0.25775550151804721</v>
      </c>
      <c r="Q218" s="519">
        <f t="shared" ref="Q218:Q250" si="68">M218*$D$4*K218/1000-O218</f>
        <v>5.8710975345777436</v>
      </c>
      <c r="R218" s="53"/>
      <c r="S218" s="1211">
        <f t="shared" ref="S218:S250" si="69">M218*$D$7*K218/1000</f>
        <v>0.35226585207466454</v>
      </c>
      <c r="T218" s="1198">
        <f t="shared" ref="T218:W250" si="70">G218+P218</f>
        <v>0.67299813826043153</v>
      </c>
      <c r="U218" s="1199">
        <f t="shared" si="70"/>
        <v>18.624978520236688</v>
      </c>
      <c r="V218" s="1199">
        <f t="shared" si="70"/>
        <v>0</v>
      </c>
      <c r="W218" s="1200">
        <f t="shared" si="70"/>
        <v>1.1174987112142012</v>
      </c>
    </row>
    <row r="219" spans="1:23">
      <c r="A219" s="123">
        <f>'Input data'!A119</f>
        <v>2019</v>
      </c>
      <c r="B219" s="1208">
        <f>'Recycling - Case 3'!AI99</f>
        <v>4010.8720893729233</v>
      </c>
      <c r="C219" s="1209">
        <f>($C$222-$C$80)/($A$222-$A$80)+C218</f>
        <v>0.23</v>
      </c>
      <c r="D219" s="1209">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0">
        <f>'Recycling - Case 3'!Z139</f>
        <v>2562.5527582487894</v>
      </c>
      <c r="L219" s="1209">
        <f>($L$222-$L$80)/($A$222-$A$80)+L218</f>
        <v>0.26</v>
      </c>
      <c r="M219" s="1209">
        <f>($M$222-$M$80)/($A$222-$A$80)+M218</f>
        <v>0.7400000000000001</v>
      </c>
      <c r="N219" s="53">
        <f t="shared" si="66"/>
        <v>0</v>
      </c>
      <c r="O219" s="53">
        <f t="shared" si="66"/>
        <v>0</v>
      </c>
      <c r="P219" s="776">
        <f t="shared" si="67"/>
        <v>0.53301097371574824</v>
      </c>
      <c r="Q219" s="519">
        <f t="shared" si="68"/>
        <v>7.5851561644164178</v>
      </c>
      <c r="R219" s="53"/>
      <c r="S219" s="1211">
        <f t="shared" si="69"/>
        <v>0.45510936986498501</v>
      </c>
      <c r="T219" s="1198">
        <f t="shared" si="70"/>
        <v>1.2710114381603663</v>
      </c>
      <c r="U219" s="1199">
        <f t="shared" si="70"/>
        <v>19.93864219968502</v>
      </c>
      <c r="V219" s="1199">
        <f t="shared" si="70"/>
        <v>0</v>
      </c>
      <c r="W219" s="1200">
        <f t="shared" si="70"/>
        <v>1.1963185319811012</v>
      </c>
    </row>
    <row r="220" spans="1:23">
      <c r="A220" s="123">
        <f>'Input data'!A120</f>
        <v>2020</v>
      </c>
      <c r="B220" s="1208">
        <f>'Recycling - Case 3'!AI100</f>
        <v>4617.5691834333375</v>
      </c>
      <c r="C220" s="1209">
        <f>($C$222-$C$80)/($A$222-$A$80)+C219</f>
        <v>0.32</v>
      </c>
      <c r="D220" s="1209">
        <f t="shared" si="71"/>
        <v>0.67999999999999994</v>
      </c>
      <c r="E220" s="53">
        <v>0</v>
      </c>
      <c r="F220" s="53">
        <v>0</v>
      </c>
      <c r="G220" s="776">
        <f t="shared" si="72"/>
        <v>1.1820977109589343</v>
      </c>
      <c r="H220" s="519">
        <f t="shared" si="73"/>
        <v>12.559788178938678</v>
      </c>
      <c r="I220" s="53"/>
      <c r="J220" s="776">
        <f t="shared" si="74"/>
        <v>0.75358729073632058</v>
      </c>
      <c r="K220" s="1210">
        <f>'Recycling - Case 3'!Z140</f>
        <v>2560.9621544777392</v>
      </c>
      <c r="L220" s="1209">
        <f>($L$222-$L$80)/($A$222-$A$80)+L219</f>
        <v>0.34</v>
      </c>
      <c r="M220" s="1209">
        <f>($M$222-$M$80)/($A$222-$A$80)+M219</f>
        <v>0.66000000000000014</v>
      </c>
      <c r="N220" s="53">
        <f t="shared" si="66"/>
        <v>0</v>
      </c>
      <c r="O220" s="53">
        <f t="shared" si="66"/>
        <v>0</v>
      </c>
      <c r="P220" s="776">
        <f t="shared" si="67"/>
        <v>0.69658170601794511</v>
      </c>
      <c r="Q220" s="519">
        <f t="shared" si="68"/>
        <v>6.7609400878212327</v>
      </c>
      <c r="R220" s="53"/>
      <c r="S220" s="1211">
        <f t="shared" si="69"/>
        <v>0.40565640526927399</v>
      </c>
      <c r="T220" s="1198">
        <f t="shared" si="70"/>
        <v>1.8786794169768795</v>
      </c>
      <c r="U220" s="1199">
        <f t="shared" si="70"/>
        <v>19.320728266759911</v>
      </c>
      <c r="V220" s="1199">
        <f t="shared" si="70"/>
        <v>0</v>
      </c>
      <c r="W220" s="1200">
        <f t="shared" si="70"/>
        <v>1.1592436960055945</v>
      </c>
    </row>
    <row r="221" spans="1:23">
      <c r="A221" s="123">
        <f>'Input data'!A121</f>
        <v>2021</v>
      </c>
      <c r="B221" s="1208">
        <f>'Recycling - Case 3'!AI101</f>
        <v>5830.9633715541659</v>
      </c>
      <c r="C221" s="1209">
        <f>($C$222-$C$80)/($A$222-$A$80)+C220</f>
        <v>0.41000000000000003</v>
      </c>
      <c r="D221" s="1209">
        <f t="shared" si="71"/>
        <v>0.59</v>
      </c>
      <c r="E221" s="53">
        <v>0</v>
      </c>
      <c r="F221" s="53">
        <v>0</v>
      </c>
      <c r="G221" s="776">
        <f t="shared" si="72"/>
        <v>1.9125559858697667</v>
      </c>
      <c r="H221" s="519">
        <f t="shared" si="73"/>
        <v>13.76107355686783</v>
      </c>
      <c r="I221" s="53"/>
      <c r="J221" s="776">
        <f t="shared" si="74"/>
        <v>0.82566441341206975</v>
      </c>
      <c r="K221" s="1210">
        <f>'Recycling - Case 3'!Z141</f>
        <v>2937.5012039878866</v>
      </c>
      <c r="L221" s="1209">
        <f>($L$222-$L$80)/($A$222-$A$80)+L220</f>
        <v>0.42000000000000004</v>
      </c>
      <c r="M221" s="1209">
        <f>($M$222-$M$80)/($A$222-$A$80)+M220</f>
        <v>0.58000000000000018</v>
      </c>
      <c r="N221" s="53">
        <f t="shared" si="66"/>
        <v>0</v>
      </c>
      <c r="O221" s="53">
        <f t="shared" si="66"/>
        <v>0</v>
      </c>
      <c r="P221" s="776">
        <f t="shared" si="67"/>
        <v>0.98700040453993021</v>
      </c>
      <c r="Q221" s="519">
        <f t="shared" si="68"/>
        <v>6.8150027932518986</v>
      </c>
      <c r="R221" s="53"/>
      <c r="S221" s="1211">
        <f t="shared" si="69"/>
        <v>0.40890016759511394</v>
      </c>
      <c r="T221" s="1198">
        <f t="shared" si="70"/>
        <v>2.899556390409697</v>
      </c>
      <c r="U221" s="1199">
        <f t="shared" si="70"/>
        <v>20.576076350119727</v>
      </c>
      <c r="V221" s="1199">
        <f t="shared" si="70"/>
        <v>0</v>
      </c>
      <c r="W221" s="1200">
        <f t="shared" si="70"/>
        <v>1.2345645810071837</v>
      </c>
    </row>
    <row r="222" spans="1:23">
      <c r="A222" s="123">
        <f>'Input data'!A122</f>
        <v>2022</v>
      </c>
      <c r="B222" s="1208">
        <f>'Recycling - Case 3'!AI102</f>
        <v>6437.6604656145792</v>
      </c>
      <c r="C222" s="1209">
        <f>'Recycling - Case 3'!G31</f>
        <v>0.5</v>
      </c>
      <c r="D222" s="1209">
        <f>'Recycling - Case 3'!H31</f>
        <v>0.5</v>
      </c>
      <c r="E222" s="53">
        <v>0</v>
      </c>
      <c r="F222" s="53">
        <v>0</v>
      </c>
      <c r="G222" s="776">
        <f t="shared" si="72"/>
        <v>2.5750641862458319</v>
      </c>
      <c r="H222" s="519">
        <f t="shared" si="73"/>
        <v>12.875320931229158</v>
      </c>
      <c r="I222" s="53"/>
      <c r="J222" s="776">
        <f t="shared" si="74"/>
        <v>0.77251925587374948</v>
      </c>
      <c r="K222" s="1210">
        <f>'Recycling - Case 3'!Z142</f>
        <v>3148.72204906348</v>
      </c>
      <c r="L222" s="1209">
        <f>'Recycling - Case 3'!G31</f>
        <v>0.5</v>
      </c>
      <c r="M222" s="1209">
        <f>'Recycling - Case 3'!H31</f>
        <v>0.5</v>
      </c>
      <c r="N222" s="53">
        <f t="shared" si="66"/>
        <v>0</v>
      </c>
      <c r="O222" s="53">
        <f t="shared" si="66"/>
        <v>0</v>
      </c>
      <c r="P222" s="776">
        <f t="shared" si="67"/>
        <v>1.2594888196253922</v>
      </c>
      <c r="Q222" s="519">
        <f t="shared" si="68"/>
        <v>6.2974440981269604</v>
      </c>
      <c r="R222" s="53"/>
      <c r="S222" s="1211">
        <f t="shared" si="69"/>
        <v>0.37784664588761757</v>
      </c>
      <c r="T222" s="1198">
        <f t="shared" si="70"/>
        <v>3.8345530058712241</v>
      </c>
      <c r="U222" s="1199">
        <f t="shared" si="70"/>
        <v>19.172765029356118</v>
      </c>
      <c r="V222" s="1199">
        <f t="shared" si="70"/>
        <v>0</v>
      </c>
      <c r="W222" s="1200">
        <f t="shared" si="70"/>
        <v>1.150365901761367</v>
      </c>
    </row>
    <row r="223" spans="1:23">
      <c r="A223" s="123">
        <f>'Input data'!A123</f>
        <v>2023</v>
      </c>
      <c r="B223" s="1208">
        <f>'Recycling - Case 3'!AI103</f>
        <v>6437.6604656145792</v>
      </c>
      <c r="C223" s="1209">
        <f>C222</f>
        <v>0.5</v>
      </c>
      <c r="D223" s="1209">
        <f>D222</f>
        <v>0.5</v>
      </c>
      <c r="E223" s="53">
        <v>0</v>
      </c>
      <c r="F223" s="53">
        <v>0</v>
      </c>
      <c r="G223" s="776">
        <f t="shared" si="72"/>
        <v>2.5750641862458319</v>
      </c>
      <c r="H223" s="519">
        <f t="shared" si="73"/>
        <v>12.875320931229158</v>
      </c>
      <c r="I223" s="53"/>
      <c r="J223" s="776">
        <f t="shared" si="74"/>
        <v>0.77251925587374948</v>
      </c>
      <c r="K223" s="1210">
        <f>'Recycling - Case 3'!Z143</f>
        <v>3204.8349418807438</v>
      </c>
      <c r="L223" s="1209">
        <f>L222</f>
        <v>0.5</v>
      </c>
      <c r="M223" s="1209">
        <f>M222</f>
        <v>0.5</v>
      </c>
      <c r="N223" s="53">
        <f t="shared" si="66"/>
        <v>0</v>
      </c>
      <c r="O223" s="53">
        <f t="shared" si="66"/>
        <v>0</v>
      </c>
      <c r="P223" s="776">
        <f t="shared" si="67"/>
        <v>1.2819339767522977</v>
      </c>
      <c r="Q223" s="519">
        <f t="shared" si="68"/>
        <v>6.4096698837614881</v>
      </c>
      <c r="R223" s="53"/>
      <c r="S223" s="1211">
        <f t="shared" si="69"/>
        <v>0.38458019302568924</v>
      </c>
      <c r="T223" s="1198">
        <f t="shared" si="70"/>
        <v>3.8569981629981296</v>
      </c>
      <c r="U223" s="1199">
        <f t="shared" si="70"/>
        <v>19.284990814990646</v>
      </c>
      <c r="V223" s="1199">
        <f t="shared" si="70"/>
        <v>0</v>
      </c>
      <c r="W223" s="1200">
        <f t="shared" si="70"/>
        <v>1.1570994488994386</v>
      </c>
    </row>
    <row r="224" spans="1:23">
      <c r="A224" s="123">
        <f>'Input data'!A124</f>
        <v>2024</v>
      </c>
      <c r="B224" s="1208">
        <f>'Recycling - Case 3'!AI104</f>
        <v>6437.6604656145792</v>
      </c>
      <c r="C224" s="1209">
        <f t="shared" ref="C224:D239" si="75">C223</f>
        <v>0.5</v>
      </c>
      <c r="D224" s="1209">
        <f t="shared" si="75"/>
        <v>0.5</v>
      </c>
      <c r="E224" s="53">
        <v>0</v>
      </c>
      <c r="F224" s="53">
        <v>0</v>
      </c>
      <c r="G224" s="776">
        <f t="shared" si="72"/>
        <v>2.5750641862458319</v>
      </c>
      <c r="H224" s="519">
        <f t="shared" si="73"/>
        <v>12.875320931229158</v>
      </c>
      <c r="I224" s="53"/>
      <c r="J224" s="776">
        <f t="shared" si="74"/>
        <v>0.77251925587374948</v>
      </c>
      <c r="K224" s="1210">
        <f>'Recycling - Case 3'!Z144</f>
        <v>3265.0525952906887</v>
      </c>
      <c r="L224" s="1209">
        <f t="shared" ref="L224:M239" si="76">L223</f>
        <v>0.5</v>
      </c>
      <c r="M224" s="1209">
        <f t="shared" si="76"/>
        <v>0.5</v>
      </c>
      <c r="N224" s="53">
        <f t="shared" si="66"/>
        <v>0</v>
      </c>
      <c r="O224" s="53">
        <f t="shared" si="66"/>
        <v>0</v>
      </c>
      <c r="P224" s="776">
        <f t="shared" si="67"/>
        <v>1.3060210381162756</v>
      </c>
      <c r="Q224" s="519">
        <f t="shared" si="68"/>
        <v>6.5301051905813772</v>
      </c>
      <c r="R224" s="53"/>
      <c r="S224" s="1211">
        <f t="shared" si="69"/>
        <v>0.39180631143488259</v>
      </c>
      <c r="T224" s="1198">
        <f t="shared" si="70"/>
        <v>3.8810852243621072</v>
      </c>
      <c r="U224" s="1199">
        <f t="shared" si="70"/>
        <v>19.405426121810535</v>
      </c>
      <c r="V224" s="1199">
        <f t="shared" si="70"/>
        <v>0</v>
      </c>
      <c r="W224" s="1200">
        <f t="shared" si="70"/>
        <v>1.1643255673086321</v>
      </c>
    </row>
    <row r="225" spans="1:23">
      <c r="A225" s="123">
        <f>'Input data'!A125</f>
        <v>2025</v>
      </c>
      <c r="B225" s="1208">
        <f>'Recycling - Case 3'!AI105</f>
        <v>6437.6604656145792</v>
      </c>
      <c r="C225" s="1209">
        <f t="shared" si="75"/>
        <v>0.5</v>
      </c>
      <c r="D225" s="1209">
        <f t="shared" si="75"/>
        <v>0.5</v>
      </c>
      <c r="E225" s="53">
        <v>0</v>
      </c>
      <c r="F225" s="53">
        <v>0</v>
      </c>
      <c r="G225" s="776">
        <f t="shared" si="72"/>
        <v>2.5750641862458319</v>
      </c>
      <c r="H225" s="519">
        <f t="shared" si="73"/>
        <v>12.875320931229158</v>
      </c>
      <c r="I225" s="53"/>
      <c r="J225" s="776">
        <f t="shared" si="74"/>
        <v>0.77251925587374948</v>
      </c>
      <c r="K225" s="1210">
        <f>'Recycling - Case 3'!Z145</f>
        <v>3322.0462446854558</v>
      </c>
      <c r="L225" s="1209">
        <f t="shared" si="76"/>
        <v>0.5</v>
      </c>
      <c r="M225" s="1209">
        <f t="shared" si="76"/>
        <v>0.5</v>
      </c>
      <c r="N225" s="53">
        <f t="shared" si="66"/>
        <v>0</v>
      </c>
      <c r="O225" s="53">
        <f t="shared" si="66"/>
        <v>0</v>
      </c>
      <c r="P225" s="776">
        <f t="shared" si="67"/>
        <v>1.3288184978741824</v>
      </c>
      <c r="Q225" s="519">
        <f t="shared" si="68"/>
        <v>6.6440924893709115</v>
      </c>
      <c r="R225" s="53"/>
      <c r="S225" s="1211">
        <f t="shared" si="69"/>
        <v>0.39864554936225466</v>
      </c>
      <c r="T225" s="1198">
        <f t="shared" si="70"/>
        <v>3.9038826841200143</v>
      </c>
      <c r="U225" s="1199">
        <f t="shared" si="70"/>
        <v>19.51941342060007</v>
      </c>
      <c r="V225" s="1199">
        <f t="shared" si="70"/>
        <v>0</v>
      </c>
      <c r="W225" s="1200">
        <f t="shared" si="70"/>
        <v>1.1711648052360042</v>
      </c>
    </row>
    <row r="226" spans="1:23">
      <c r="A226" s="123">
        <f>'Input data'!A126</f>
        <v>2026</v>
      </c>
      <c r="B226" s="1208">
        <f>'Recycling - Case 3'!AI106</f>
        <v>6437.6604656145792</v>
      </c>
      <c r="C226" s="1209">
        <f t="shared" si="75"/>
        <v>0.5</v>
      </c>
      <c r="D226" s="1209">
        <f t="shared" si="75"/>
        <v>0.5</v>
      </c>
      <c r="E226" s="53">
        <v>0</v>
      </c>
      <c r="F226" s="53">
        <v>0</v>
      </c>
      <c r="G226" s="776">
        <f t="shared" si="72"/>
        <v>2.5750641862458319</v>
      </c>
      <c r="H226" s="519">
        <f t="shared" si="73"/>
        <v>12.875320931229158</v>
      </c>
      <c r="I226" s="53"/>
      <c r="J226" s="776">
        <f t="shared" si="74"/>
        <v>0.77251925587374948</v>
      </c>
      <c r="K226" s="1210">
        <f>'Recycling - Case 3'!Z146</f>
        <v>3371.5806470164412</v>
      </c>
      <c r="L226" s="1209">
        <f t="shared" si="76"/>
        <v>0.5</v>
      </c>
      <c r="M226" s="1209">
        <f t="shared" si="76"/>
        <v>0.5</v>
      </c>
      <c r="N226" s="53">
        <f t="shared" si="66"/>
        <v>0</v>
      </c>
      <c r="O226" s="53">
        <f t="shared" si="66"/>
        <v>0</v>
      </c>
      <c r="P226" s="776">
        <f t="shared" si="67"/>
        <v>1.3486322588065767</v>
      </c>
      <c r="Q226" s="519">
        <f t="shared" si="68"/>
        <v>6.7431612940328822</v>
      </c>
      <c r="R226" s="53"/>
      <c r="S226" s="1211">
        <f t="shared" si="69"/>
        <v>0.4045896776419729</v>
      </c>
      <c r="T226" s="1198">
        <f t="shared" si="70"/>
        <v>3.9236964450524088</v>
      </c>
      <c r="U226" s="1199">
        <f t="shared" si="70"/>
        <v>19.618482225262042</v>
      </c>
      <c r="V226" s="1199">
        <f t="shared" si="70"/>
        <v>0</v>
      </c>
      <c r="W226" s="1200">
        <f t="shared" si="70"/>
        <v>1.1771089335157223</v>
      </c>
    </row>
    <row r="227" spans="1:23">
      <c r="A227" s="123">
        <f>'Input data'!A127</f>
        <v>2027</v>
      </c>
      <c r="B227" s="1208">
        <f>'Recycling - Case 3'!AI107</f>
        <v>6437.6604656145792</v>
      </c>
      <c r="C227" s="1209">
        <f t="shared" si="75"/>
        <v>0.5</v>
      </c>
      <c r="D227" s="1209">
        <f t="shared" si="75"/>
        <v>0.5</v>
      </c>
      <c r="E227" s="53">
        <v>0</v>
      </c>
      <c r="F227" s="53">
        <v>0</v>
      </c>
      <c r="G227" s="776">
        <f t="shared" si="72"/>
        <v>2.5750641862458319</v>
      </c>
      <c r="H227" s="519">
        <f t="shared" si="73"/>
        <v>12.875320931229158</v>
      </c>
      <c r="I227" s="53"/>
      <c r="J227" s="776">
        <f t="shared" si="74"/>
        <v>0.77251925587374948</v>
      </c>
      <c r="K227" s="1210">
        <f>'Recycling - Case 3'!Z147</f>
        <v>3420.7616593626267</v>
      </c>
      <c r="L227" s="1209">
        <f t="shared" si="76"/>
        <v>0.5</v>
      </c>
      <c r="M227" s="1209">
        <f t="shared" si="76"/>
        <v>0.5</v>
      </c>
      <c r="N227" s="53">
        <f t="shared" si="66"/>
        <v>0</v>
      </c>
      <c r="O227" s="53">
        <f t="shared" si="66"/>
        <v>0</v>
      </c>
      <c r="P227" s="776">
        <f t="shared" si="67"/>
        <v>1.3683046637450507</v>
      </c>
      <c r="Q227" s="519">
        <f t="shared" si="68"/>
        <v>6.8415233187252538</v>
      </c>
      <c r="R227" s="53"/>
      <c r="S227" s="1211">
        <f t="shared" si="69"/>
        <v>0.41049139912351518</v>
      </c>
      <c r="T227" s="1198">
        <f t="shared" si="70"/>
        <v>3.9433688499908826</v>
      </c>
      <c r="U227" s="1199">
        <f t="shared" si="70"/>
        <v>19.716844249954413</v>
      </c>
      <c r="V227" s="1199">
        <f t="shared" si="70"/>
        <v>0</v>
      </c>
      <c r="W227" s="1200">
        <f t="shared" si="70"/>
        <v>1.1830106549972648</v>
      </c>
    </row>
    <row r="228" spans="1:23">
      <c r="A228" s="123">
        <f>'Input data'!A128</f>
        <v>2028</v>
      </c>
      <c r="B228" s="1208">
        <f>'Recycling - Case 3'!AI108</f>
        <v>6437.6604656145792</v>
      </c>
      <c r="C228" s="1209">
        <f t="shared" si="75"/>
        <v>0.5</v>
      </c>
      <c r="D228" s="1209">
        <f t="shared" si="75"/>
        <v>0.5</v>
      </c>
      <c r="E228" s="53">
        <v>0</v>
      </c>
      <c r="F228" s="53">
        <v>0</v>
      </c>
      <c r="G228" s="776">
        <f t="shared" si="72"/>
        <v>2.5750641862458319</v>
      </c>
      <c r="H228" s="519">
        <f t="shared" si="73"/>
        <v>12.875320931229158</v>
      </c>
      <c r="I228" s="53"/>
      <c r="J228" s="776">
        <f t="shared" si="74"/>
        <v>0.77251925587374948</v>
      </c>
      <c r="K228" s="1210">
        <f>'Recycling - Case 3'!Z148</f>
        <v>3471.0300255081979</v>
      </c>
      <c r="L228" s="1209">
        <f t="shared" si="76"/>
        <v>0.5</v>
      </c>
      <c r="M228" s="1209">
        <f t="shared" si="76"/>
        <v>0.5</v>
      </c>
      <c r="N228" s="53">
        <f t="shared" si="66"/>
        <v>0</v>
      </c>
      <c r="O228" s="53">
        <f t="shared" si="66"/>
        <v>0</v>
      </c>
      <c r="P228" s="776">
        <f t="shared" si="67"/>
        <v>1.3884120102032793</v>
      </c>
      <c r="Q228" s="519">
        <f t="shared" si="68"/>
        <v>6.9420600510163961</v>
      </c>
      <c r="R228" s="53"/>
      <c r="S228" s="1211">
        <f t="shared" si="69"/>
        <v>0.41652360306098374</v>
      </c>
      <c r="T228" s="1198">
        <f t="shared" si="70"/>
        <v>3.9634761964491112</v>
      </c>
      <c r="U228" s="1199">
        <f t="shared" si="70"/>
        <v>19.817380982245552</v>
      </c>
      <c r="V228" s="1199">
        <f t="shared" si="70"/>
        <v>0</v>
      </c>
      <c r="W228" s="1200">
        <f t="shared" si="70"/>
        <v>1.1890428589347333</v>
      </c>
    </row>
    <row r="229" spans="1:23">
      <c r="A229" s="123">
        <f>'Input data'!A129</f>
        <v>2029</v>
      </c>
      <c r="B229" s="1208">
        <f>'Recycling - Case 3'!AI109</f>
        <v>6437.6604656145792</v>
      </c>
      <c r="C229" s="1209">
        <f t="shared" si="75"/>
        <v>0.5</v>
      </c>
      <c r="D229" s="1209">
        <f t="shared" si="75"/>
        <v>0.5</v>
      </c>
      <c r="E229" s="53">
        <v>0</v>
      </c>
      <c r="F229" s="53">
        <v>0</v>
      </c>
      <c r="G229" s="776">
        <f t="shared" si="72"/>
        <v>2.5750641862458319</v>
      </c>
      <c r="H229" s="519">
        <f t="shared" si="73"/>
        <v>12.875320931229158</v>
      </c>
      <c r="I229" s="53"/>
      <c r="J229" s="776">
        <f t="shared" si="74"/>
        <v>0.77251925587374948</v>
      </c>
      <c r="K229" s="1210">
        <f>'Recycling - Case 3'!Z149</f>
        <v>3537.8044223284328</v>
      </c>
      <c r="L229" s="1209">
        <f t="shared" si="76"/>
        <v>0.5</v>
      </c>
      <c r="M229" s="1209">
        <f t="shared" si="76"/>
        <v>0.5</v>
      </c>
      <c r="N229" s="53">
        <f t="shared" si="66"/>
        <v>0</v>
      </c>
      <c r="O229" s="53">
        <f t="shared" si="66"/>
        <v>0</v>
      </c>
      <c r="P229" s="776">
        <f t="shared" si="67"/>
        <v>1.4151217689313733</v>
      </c>
      <c r="Q229" s="519">
        <f t="shared" si="68"/>
        <v>7.0756088446568652</v>
      </c>
      <c r="R229" s="53"/>
      <c r="S229" s="1211">
        <f t="shared" si="69"/>
        <v>0.42453653067941188</v>
      </c>
      <c r="T229" s="1198">
        <f t="shared" si="70"/>
        <v>3.9901859551772052</v>
      </c>
      <c r="U229" s="1199">
        <f t="shared" si="70"/>
        <v>19.950929775886024</v>
      </c>
      <c r="V229" s="1199">
        <f t="shared" si="70"/>
        <v>0</v>
      </c>
      <c r="W229" s="1200">
        <f t="shared" si="70"/>
        <v>1.1970557865531615</v>
      </c>
    </row>
    <row r="230" spans="1:23">
      <c r="A230" s="123">
        <f>'Input data'!A130</f>
        <v>2030</v>
      </c>
      <c r="B230" s="1208">
        <f>'Recycling - Case 3'!AI110</f>
        <v>6437.6604656145792</v>
      </c>
      <c r="C230" s="1209">
        <f t="shared" si="75"/>
        <v>0.5</v>
      </c>
      <c r="D230" s="1209">
        <f t="shared" si="75"/>
        <v>0.5</v>
      </c>
      <c r="E230" s="53">
        <v>0</v>
      </c>
      <c r="F230" s="53">
        <v>0</v>
      </c>
      <c r="G230" s="776">
        <f t="shared" si="72"/>
        <v>2.5750641862458319</v>
      </c>
      <c r="H230" s="519">
        <f t="shared" si="73"/>
        <v>12.875320931229158</v>
      </c>
      <c r="I230" s="53"/>
      <c r="J230" s="776">
        <f t="shared" si="74"/>
        <v>0.77251925587374948</v>
      </c>
      <c r="K230" s="1210">
        <f>'Recycling - Case 3'!Z150</f>
        <v>3597.8752829754594</v>
      </c>
      <c r="L230" s="1209">
        <f t="shared" si="76"/>
        <v>0.5</v>
      </c>
      <c r="M230" s="1209">
        <f t="shared" si="76"/>
        <v>0.5</v>
      </c>
      <c r="N230" s="53">
        <f t="shared" si="66"/>
        <v>0</v>
      </c>
      <c r="O230" s="53">
        <f t="shared" si="66"/>
        <v>0</v>
      </c>
      <c r="P230" s="776">
        <f t="shared" si="67"/>
        <v>1.4391501131901838</v>
      </c>
      <c r="Q230" s="519">
        <f t="shared" si="68"/>
        <v>7.1957505659509184</v>
      </c>
      <c r="R230" s="53"/>
      <c r="S230" s="1211">
        <f t="shared" si="69"/>
        <v>0.4317450339570551</v>
      </c>
      <c r="T230" s="1198">
        <f t="shared" si="70"/>
        <v>4.0142142994360155</v>
      </c>
      <c r="U230" s="1199">
        <f t="shared" si="70"/>
        <v>20.071071497180078</v>
      </c>
      <c r="V230" s="1199">
        <f t="shared" si="70"/>
        <v>0</v>
      </c>
      <c r="W230" s="1200">
        <f t="shared" si="70"/>
        <v>1.2042642898308045</v>
      </c>
    </row>
    <row r="231" spans="1:23">
      <c r="A231" s="123">
        <f>'Input data'!A131</f>
        <v>2031</v>
      </c>
      <c r="B231" s="1208">
        <f>'Recycling - Case 3'!AI111</f>
        <v>6437.6604656145792</v>
      </c>
      <c r="C231" s="1209">
        <f t="shared" si="75"/>
        <v>0.5</v>
      </c>
      <c r="D231" s="1209">
        <f t="shared" si="75"/>
        <v>0.5</v>
      </c>
      <c r="E231" s="53">
        <v>0</v>
      </c>
      <c r="F231" s="53">
        <v>0</v>
      </c>
      <c r="G231" s="776">
        <f t="shared" si="72"/>
        <v>2.5750641862458319</v>
      </c>
      <c r="H231" s="519">
        <f t="shared" si="73"/>
        <v>12.875320931229158</v>
      </c>
      <c r="I231" s="53"/>
      <c r="J231" s="776">
        <f t="shared" si="74"/>
        <v>0.77251925587374948</v>
      </c>
      <c r="K231" s="1210">
        <f>'Recycling - Case 3'!Z151</f>
        <v>3668.9827846862445</v>
      </c>
      <c r="L231" s="1209">
        <f t="shared" si="76"/>
        <v>0.5</v>
      </c>
      <c r="M231" s="1209">
        <f t="shared" si="76"/>
        <v>0.5</v>
      </c>
      <c r="N231" s="53">
        <f t="shared" si="66"/>
        <v>0</v>
      </c>
      <c r="O231" s="53">
        <f t="shared" si="66"/>
        <v>0</v>
      </c>
      <c r="P231" s="776">
        <f t="shared" si="67"/>
        <v>1.467593113874498</v>
      </c>
      <c r="Q231" s="519">
        <f t="shared" si="68"/>
        <v>7.3379655693724892</v>
      </c>
      <c r="R231" s="53"/>
      <c r="S231" s="1211">
        <f t="shared" si="69"/>
        <v>0.44027793416234934</v>
      </c>
      <c r="T231" s="1198">
        <f t="shared" si="70"/>
        <v>4.0426573001203296</v>
      </c>
      <c r="U231" s="1199">
        <f t="shared" si="70"/>
        <v>20.213286500601647</v>
      </c>
      <c r="V231" s="1199">
        <f t="shared" si="70"/>
        <v>0</v>
      </c>
      <c r="W231" s="1200">
        <f t="shared" si="70"/>
        <v>1.2127971900360988</v>
      </c>
    </row>
    <row r="232" spans="1:23">
      <c r="A232" s="123">
        <f>'Input data'!A132</f>
        <v>2032</v>
      </c>
      <c r="B232" s="1208">
        <f>'Recycling - Case 3'!AI112</f>
        <v>6437.6604656145792</v>
      </c>
      <c r="C232" s="1209">
        <f t="shared" si="75"/>
        <v>0.5</v>
      </c>
      <c r="D232" s="1209">
        <f t="shared" si="75"/>
        <v>0.5</v>
      </c>
      <c r="E232" s="53">
        <v>0</v>
      </c>
      <c r="F232" s="53">
        <v>0</v>
      </c>
      <c r="G232" s="776">
        <f t="shared" si="72"/>
        <v>2.5750641862458319</v>
      </c>
      <c r="H232" s="519">
        <f t="shared" si="73"/>
        <v>12.875320931229158</v>
      </c>
      <c r="I232" s="53"/>
      <c r="J232" s="776">
        <f t="shared" si="74"/>
        <v>0.77251925587374948</v>
      </c>
      <c r="K232" s="1210">
        <f>'Recycling - Case 3'!Z152</f>
        <v>3743.3904051781628</v>
      </c>
      <c r="L232" s="1209">
        <f t="shared" si="76"/>
        <v>0.5</v>
      </c>
      <c r="M232" s="1209">
        <f t="shared" si="76"/>
        <v>0.5</v>
      </c>
      <c r="N232" s="53">
        <f t="shared" si="66"/>
        <v>0</v>
      </c>
      <c r="O232" s="53">
        <f t="shared" si="66"/>
        <v>0</v>
      </c>
      <c r="P232" s="776">
        <f t="shared" si="67"/>
        <v>1.4973561620712652</v>
      </c>
      <c r="Q232" s="519">
        <f t="shared" si="68"/>
        <v>7.4867808103563256</v>
      </c>
      <c r="R232" s="53"/>
      <c r="S232" s="1211">
        <f t="shared" si="69"/>
        <v>0.44920684862137955</v>
      </c>
      <c r="T232" s="1198">
        <f t="shared" si="70"/>
        <v>4.0724203483170971</v>
      </c>
      <c r="U232" s="1199">
        <f t="shared" si="70"/>
        <v>20.362101741585484</v>
      </c>
      <c r="V232" s="1199">
        <f t="shared" si="70"/>
        <v>0</v>
      </c>
      <c r="W232" s="1200">
        <f t="shared" si="70"/>
        <v>1.2217261044951291</v>
      </c>
    </row>
    <row r="233" spans="1:23">
      <c r="A233" s="123">
        <f>'Input data'!A133</f>
        <v>2033</v>
      </c>
      <c r="B233" s="1208">
        <f>'Recycling - Case 3'!AI113</f>
        <v>6437.6604656145792</v>
      </c>
      <c r="C233" s="1209">
        <f t="shared" si="75"/>
        <v>0.5</v>
      </c>
      <c r="D233" s="1209">
        <f t="shared" si="75"/>
        <v>0.5</v>
      </c>
      <c r="E233" s="53">
        <v>0</v>
      </c>
      <c r="F233" s="53">
        <v>0</v>
      </c>
      <c r="G233" s="776">
        <f t="shared" si="72"/>
        <v>2.5750641862458319</v>
      </c>
      <c r="H233" s="519">
        <f t="shared" si="73"/>
        <v>12.875320931229158</v>
      </c>
      <c r="I233" s="53"/>
      <c r="J233" s="776">
        <f t="shared" si="74"/>
        <v>0.77251925587374948</v>
      </c>
      <c r="K233" s="1210">
        <f>'Recycling - Case 3'!Z153</f>
        <v>3830.9006389526726</v>
      </c>
      <c r="L233" s="1209">
        <f t="shared" si="76"/>
        <v>0.5</v>
      </c>
      <c r="M233" s="1209">
        <f t="shared" si="76"/>
        <v>0.5</v>
      </c>
      <c r="N233" s="53">
        <f t="shared" si="66"/>
        <v>0</v>
      </c>
      <c r="O233" s="53">
        <f t="shared" si="66"/>
        <v>0</v>
      </c>
      <c r="P233" s="776">
        <f t="shared" si="67"/>
        <v>1.5323602555810691</v>
      </c>
      <c r="Q233" s="519">
        <f t="shared" si="68"/>
        <v>7.6618012779053455</v>
      </c>
      <c r="R233" s="53"/>
      <c r="S233" s="1211">
        <f t="shared" si="69"/>
        <v>0.45970807667432068</v>
      </c>
      <c r="T233" s="1198">
        <f t="shared" si="70"/>
        <v>4.1074244418269013</v>
      </c>
      <c r="U233" s="1199">
        <f t="shared" si="70"/>
        <v>20.537122209134502</v>
      </c>
      <c r="V233" s="1199">
        <f t="shared" si="70"/>
        <v>0</v>
      </c>
      <c r="W233" s="1200">
        <f t="shared" si="70"/>
        <v>1.2322273325480702</v>
      </c>
    </row>
    <row r="234" spans="1:23">
      <c r="A234" s="123">
        <f>'Input data'!A134</f>
        <v>2034</v>
      </c>
      <c r="B234" s="1208">
        <f>'Recycling - Case 3'!AI114</f>
        <v>6437.6604656145792</v>
      </c>
      <c r="C234" s="1209">
        <f t="shared" si="75"/>
        <v>0.5</v>
      </c>
      <c r="D234" s="1209">
        <f t="shared" si="75"/>
        <v>0.5</v>
      </c>
      <c r="E234" s="53">
        <v>0</v>
      </c>
      <c r="F234" s="53">
        <v>0</v>
      </c>
      <c r="G234" s="776">
        <f t="shared" si="72"/>
        <v>2.5750641862458319</v>
      </c>
      <c r="H234" s="519">
        <f t="shared" si="73"/>
        <v>12.875320931229158</v>
      </c>
      <c r="I234" s="53"/>
      <c r="J234" s="776">
        <f t="shared" si="74"/>
        <v>0.77251925587374948</v>
      </c>
      <c r="K234" s="1210">
        <f>'Recycling - Case 3'!Z154</f>
        <v>3926.3322451557001</v>
      </c>
      <c r="L234" s="1209">
        <f t="shared" si="76"/>
        <v>0.5</v>
      </c>
      <c r="M234" s="1209">
        <f t="shared" si="76"/>
        <v>0.5</v>
      </c>
      <c r="N234" s="53">
        <f t="shared" ref="N234:O249" si="77">N96</f>
        <v>0</v>
      </c>
      <c r="O234" s="53">
        <f t="shared" si="77"/>
        <v>0</v>
      </c>
      <c r="P234" s="776">
        <f t="shared" si="67"/>
        <v>1.5705328980622801</v>
      </c>
      <c r="Q234" s="519">
        <f t="shared" si="68"/>
        <v>7.8526644903114002</v>
      </c>
      <c r="R234" s="53"/>
      <c r="S234" s="1211">
        <f t="shared" si="69"/>
        <v>0.47115986941868399</v>
      </c>
      <c r="T234" s="1198">
        <f t="shared" si="70"/>
        <v>4.145597084308112</v>
      </c>
      <c r="U234" s="1199">
        <f t="shared" si="70"/>
        <v>20.727985421540559</v>
      </c>
      <c r="V234" s="1199">
        <f t="shared" si="70"/>
        <v>0</v>
      </c>
      <c r="W234" s="1200">
        <f t="shared" si="70"/>
        <v>1.2436791252924335</v>
      </c>
    </row>
    <row r="235" spans="1:23">
      <c r="A235" s="123">
        <f>'Input data'!A135</f>
        <v>2035</v>
      </c>
      <c r="B235" s="1208">
        <f>'Recycling - Case 3'!AI115</f>
        <v>6437.6604656145792</v>
      </c>
      <c r="C235" s="1209">
        <f t="shared" si="75"/>
        <v>0.5</v>
      </c>
      <c r="D235" s="1209">
        <f t="shared" si="75"/>
        <v>0.5</v>
      </c>
      <c r="E235" s="53">
        <v>0</v>
      </c>
      <c r="F235" s="53">
        <v>0</v>
      </c>
      <c r="G235" s="776">
        <f t="shared" si="72"/>
        <v>2.5750641862458319</v>
      </c>
      <c r="H235" s="519">
        <f t="shared" si="73"/>
        <v>12.875320931229158</v>
      </c>
      <c r="I235" s="53"/>
      <c r="J235" s="776">
        <f t="shared" si="74"/>
        <v>0.77251925587374948</v>
      </c>
      <c r="K235" s="1210">
        <f>'Recycling - Case 3'!Z155</f>
        <v>4002.4905052646268</v>
      </c>
      <c r="L235" s="1209">
        <f t="shared" si="76"/>
        <v>0.5</v>
      </c>
      <c r="M235" s="1209">
        <f t="shared" si="76"/>
        <v>0.5</v>
      </c>
      <c r="N235" s="53">
        <f t="shared" si="77"/>
        <v>0</v>
      </c>
      <c r="O235" s="53">
        <f t="shared" si="77"/>
        <v>0</v>
      </c>
      <c r="P235" s="776">
        <f t="shared" si="67"/>
        <v>1.6009962021058508</v>
      </c>
      <c r="Q235" s="519">
        <f t="shared" si="68"/>
        <v>8.0049810105292529</v>
      </c>
      <c r="R235" s="53"/>
      <c r="S235" s="1211">
        <f t="shared" si="69"/>
        <v>0.4802988606317552</v>
      </c>
      <c r="T235" s="1198">
        <f t="shared" si="70"/>
        <v>4.1760603883516829</v>
      </c>
      <c r="U235" s="1199">
        <f t="shared" si="70"/>
        <v>20.880301941758411</v>
      </c>
      <c r="V235" s="1199">
        <f t="shared" si="70"/>
        <v>0</v>
      </c>
      <c r="W235" s="1200">
        <f t="shared" si="70"/>
        <v>1.2528181165055048</v>
      </c>
    </row>
    <row r="236" spans="1:23">
      <c r="A236" s="123">
        <f>'Input data'!A136</f>
        <v>2036</v>
      </c>
      <c r="B236" s="1208">
        <f>'Recycling - Case 3'!AI116</f>
        <v>6437.6604656145792</v>
      </c>
      <c r="C236" s="1209">
        <f t="shared" si="75"/>
        <v>0.5</v>
      </c>
      <c r="D236" s="1209">
        <f t="shared" si="75"/>
        <v>0.5</v>
      </c>
      <c r="E236" s="53">
        <v>0</v>
      </c>
      <c r="F236" s="53">
        <v>0</v>
      </c>
      <c r="G236" s="776">
        <f t="shared" si="72"/>
        <v>2.5750641862458319</v>
      </c>
      <c r="H236" s="519">
        <f t="shared" si="73"/>
        <v>12.875320931229158</v>
      </c>
      <c r="I236" s="53"/>
      <c r="J236" s="776">
        <f t="shared" si="74"/>
        <v>0.77251925587374948</v>
      </c>
      <c r="K236" s="1210">
        <f>'Recycling - Case 3'!Z156</f>
        <v>4078.7466272155002</v>
      </c>
      <c r="L236" s="1209">
        <f t="shared" si="76"/>
        <v>0.5</v>
      </c>
      <c r="M236" s="1209">
        <f t="shared" si="76"/>
        <v>0.5</v>
      </c>
      <c r="N236" s="53">
        <f t="shared" si="77"/>
        <v>0</v>
      </c>
      <c r="O236" s="53">
        <f t="shared" si="77"/>
        <v>0</v>
      </c>
      <c r="P236" s="776">
        <f t="shared" si="67"/>
        <v>1.6314986508862002</v>
      </c>
      <c r="Q236" s="519">
        <f t="shared" si="68"/>
        <v>8.1574932544310013</v>
      </c>
      <c r="R236" s="53"/>
      <c r="S236" s="1211">
        <f t="shared" si="69"/>
        <v>0.48944959526586002</v>
      </c>
      <c r="T236" s="1198">
        <f t="shared" si="70"/>
        <v>4.2065628371320321</v>
      </c>
      <c r="U236" s="1199">
        <f t="shared" si="70"/>
        <v>21.032814185660158</v>
      </c>
      <c r="V236" s="1199">
        <f t="shared" si="70"/>
        <v>0</v>
      </c>
      <c r="W236" s="1200">
        <f t="shared" si="70"/>
        <v>1.2619688511396094</v>
      </c>
    </row>
    <row r="237" spans="1:23">
      <c r="A237" s="123">
        <f>'Input data'!A137</f>
        <v>2037</v>
      </c>
      <c r="B237" s="1208">
        <f>'Recycling - Case 3'!AI117</f>
        <v>6437.6604656145792</v>
      </c>
      <c r="C237" s="1209">
        <f t="shared" si="75"/>
        <v>0.5</v>
      </c>
      <c r="D237" s="1209">
        <f t="shared" si="75"/>
        <v>0.5</v>
      </c>
      <c r="E237" s="53">
        <v>0</v>
      </c>
      <c r="F237" s="53">
        <v>0</v>
      </c>
      <c r="G237" s="776">
        <f t="shared" si="72"/>
        <v>2.5750641862458319</v>
      </c>
      <c r="H237" s="519">
        <f t="shared" si="73"/>
        <v>12.875320931229158</v>
      </c>
      <c r="I237" s="53"/>
      <c r="J237" s="776">
        <f t="shared" si="74"/>
        <v>0.77251925587374948</v>
      </c>
      <c r="K237" s="1210">
        <f>'Recycling - Case 3'!Z157</f>
        <v>4167.9694432240412</v>
      </c>
      <c r="L237" s="1209">
        <f t="shared" si="76"/>
        <v>0.5</v>
      </c>
      <c r="M237" s="1209">
        <f t="shared" si="76"/>
        <v>0.5</v>
      </c>
      <c r="N237" s="53">
        <f t="shared" si="77"/>
        <v>0</v>
      </c>
      <c r="O237" s="53">
        <f t="shared" si="77"/>
        <v>0</v>
      </c>
      <c r="P237" s="776">
        <f t="shared" si="67"/>
        <v>1.6671877772896166</v>
      </c>
      <c r="Q237" s="519">
        <f t="shared" si="68"/>
        <v>8.3359388864480817</v>
      </c>
      <c r="R237" s="53"/>
      <c r="S237" s="1211">
        <f t="shared" si="69"/>
        <v>0.5001563331868849</v>
      </c>
      <c r="T237" s="1198">
        <f t="shared" si="70"/>
        <v>4.2422519635354483</v>
      </c>
      <c r="U237" s="1199">
        <f t="shared" si="70"/>
        <v>21.211259817677238</v>
      </c>
      <c r="V237" s="1199">
        <f t="shared" si="70"/>
        <v>0</v>
      </c>
      <c r="W237" s="1200">
        <f t="shared" si="70"/>
        <v>1.2726755890606345</v>
      </c>
    </row>
    <row r="238" spans="1:23">
      <c r="A238" s="123">
        <f>'Input data'!A138</f>
        <v>2038</v>
      </c>
      <c r="B238" s="1208">
        <f>'Recycling - Case 3'!AI118</f>
        <v>6437.6604656145792</v>
      </c>
      <c r="C238" s="1209">
        <f t="shared" si="75"/>
        <v>0.5</v>
      </c>
      <c r="D238" s="1209">
        <f t="shared" si="75"/>
        <v>0.5</v>
      </c>
      <c r="E238" s="53">
        <v>0</v>
      </c>
      <c r="F238" s="53">
        <v>0</v>
      </c>
      <c r="G238" s="776">
        <f t="shared" si="72"/>
        <v>2.5750641862458319</v>
      </c>
      <c r="H238" s="519">
        <f t="shared" si="73"/>
        <v>12.875320931229158</v>
      </c>
      <c r="I238" s="53"/>
      <c r="J238" s="776">
        <f t="shared" si="74"/>
        <v>0.77251925587374948</v>
      </c>
      <c r="K238" s="1210">
        <f>'Recycling - Case 3'!Z158</f>
        <v>4255.0991031687627</v>
      </c>
      <c r="L238" s="1209">
        <f t="shared" si="76"/>
        <v>0.5</v>
      </c>
      <c r="M238" s="1209">
        <f t="shared" si="76"/>
        <v>0.5</v>
      </c>
      <c r="N238" s="53">
        <f t="shared" si="77"/>
        <v>0</v>
      </c>
      <c r="O238" s="53">
        <f t="shared" si="77"/>
        <v>0</v>
      </c>
      <c r="P238" s="776">
        <f t="shared" si="67"/>
        <v>1.7020396412675052</v>
      </c>
      <c r="Q238" s="519">
        <f t="shared" si="68"/>
        <v>8.5101982063375257</v>
      </c>
      <c r="R238" s="53"/>
      <c r="S238" s="1211">
        <f t="shared" si="69"/>
        <v>0.51061189238025151</v>
      </c>
      <c r="T238" s="1198">
        <f t="shared" si="70"/>
        <v>4.2771038275133373</v>
      </c>
      <c r="U238" s="1199">
        <f t="shared" si="70"/>
        <v>21.385519137566682</v>
      </c>
      <c r="V238" s="1199">
        <f t="shared" si="70"/>
        <v>0</v>
      </c>
      <c r="W238" s="1200">
        <f t="shared" si="70"/>
        <v>1.2831311482540011</v>
      </c>
    </row>
    <row r="239" spans="1:23">
      <c r="A239" s="123">
        <f>'Input data'!A139</f>
        <v>2039</v>
      </c>
      <c r="B239" s="1208">
        <f>'Recycling - Case 3'!AI119</f>
        <v>6437.6604656145792</v>
      </c>
      <c r="C239" s="1209">
        <f t="shared" si="75"/>
        <v>0.5</v>
      </c>
      <c r="D239" s="1209">
        <f t="shared" si="75"/>
        <v>0.5</v>
      </c>
      <c r="E239" s="53">
        <v>0</v>
      </c>
      <c r="F239" s="53">
        <v>0</v>
      </c>
      <c r="G239" s="776">
        <f t="shared" si="72"/>
        <v>2.5750641862458319</v>
      </c>
      <c r="H239" s="519">
        <f t="shared" si="73"/>
        <v>12.875320931229158</v>
      </c>
      <c r="I239" s="53"/>
      <c r="J239" s="776">
        <f t="shared" si="74"/>
        <v>0.77251925587374948</v>
      </c>
      <c r="K239" s="1210">
        <f>'Recycling - Case 3'!Z159</f>
        <v>4348.4810474599535</v>
      </c>
      <c r="L239" s="1209">
        <f t="shared" si="76"/>
        <v>0.5</v>
      </c>
      <c r="M239" s="1209">
        <f t="shared" si="76"/>
        <v>0.5</v>
      </c>
      <c r="N239" s="53">
        <f t="shared" si="77"/>
        <v>0</v>
      </c>
      <c r="O239" s="53">
        <f t="shared" si="77"/>
        <v>0</v>
      </c>
      <c r="P239" s="776">
        <f t="shared" si="67"/>
        <v>1.7393924189839816</v>
      </c>
      <c r="Q239" s="519">
        <f t="shared" si="68"/>
        <v>8.6969620949199076</v>
      </c>
      <c r="R239" s="53"/>
      <c r="S239" s="1211">
        <f t="shared" si="69"/>
        <v>0.52181772569519447</v>
      </c>
      <c r="T239" s="1198">
        <f t="shared" si="70"/>
        <v>4.3144566052298137</v>
      </c>
      <c r="U239" s="1199">
        <f t="shared" si="70"/>
        <v>21.572283026149066</v>
      </c>
      <c r="V239" s="1199">
        <f t="shared" si="70"/>
        <v>0</v>
      </c>
      <c r="W239" s="1200">
        <f t="shared" si="70"/>
        <v>1.2943369815689438</v>
      </c>
    </row>
    <row r="240" spans="1:23">
      <c r="A240" s="123">
        <f>'Input data'!A140</f>
        <v>2040</v>
      </c>
      <c r="B240" s="1208">
        <f>'Recycling - Case 3'!AI120</f>
        <v>6437.6604656145792</v>
      </c>
      <c r="C240" s="1209">
        <f t="shared" ref="C240:D250" si="78">C239</f>
        <v>0.5</v>
      </c>
      <c r="D240" s="1209">
        <f t="shared" si="78"/>
        <v>0.5</v>
      </c>
      <c r="E240" s="53">
        <v>0</v>
      </c>
      <c r="F240" s="53">
        <v>0</v>
      </c>
      <c r="G240" s="776">
        <f t="shared" si="72"/>
        <v>2.5750641862458319</v>
      </c>
      <c r="H240" s="519">
        <f t="shared" si="73"/>
        <v>12.875320931229158</v>
      </c>
      <c r="I240" s="53"/>
      <c r="J240" s="776">
        <f t="shared" si="74"/>
        <v>0.77251925587374948</v>
      </c>
      <c r="K240" s="1210">
        <f>'Recycling - Case 3'!Z160</f>
        <v>4442.1783243529617</v>
      </c>
      <c r="L240" s="1209">
        <f t="shared" ref="L240:M250" si="79">L239</f>
        <v>0.5</v>
      </c>
      <c r="M240" s="1209">
        <f t="shared" si="79"/>
        <v>0.5</v>
      </c>
      <c r="N240" s="53">
        <f t="shared" si="77"/>
        <v>0</v>
      </c>
      <c r="O240" s="53">
        <f t="shared" si="77"/>
        <v>0</v>
      </c>
      <c r="P240" s="776">
        <f t="shared" si="67"/>
        <v>1.7768713297411849</v>
      </c>
      <c r="Q240" s="519">
        <f t="shared" si="68"/>
        <v>8.8843566487059231</v>
      </c>
      <c r="R240" s="53"/>
      <c r="S240" s="1211">
        <f t="shared" si="69"/>
        <v>0.53306139892235538</v>
      </c>
      <c r="T240" s="1198">
        <f t="shared" si="70"/>
        <v>4.3519355159870168</v>
      </c>
      <c r="U240" s="1199">
        <f t="shared" si="70"/>
        <v>21.759677579935079</v>
      </c>
      <c r="V240" s="1199">
        <f t="shared" si="70"/>
        <v>0</v>
      </c>
      <c r="W240" s="1200">
        <f t="shared" si="70"/>
        <v>1.3055806547961049</v>
      </c>
    </row>
    <row r="241" spans="1:23">
      <c r="A241" s="123">
        <f>'Input data'!A141</f>
        <v>2041</v>
      </c>
      <c r="B241" s="1208">
        <f>'Recycling - Case 3'!AI121</f>
        <v>6437.6604656145792</v>
      </c>
      <c r="C241" s="1209">
        <f t="shared" si="78"/>
        <v>0.5</v>
      </c>
      <c r="D241" s="1209">
        <f t="shared" si="78"/>
        <v>0.5</v>
      </c>
      <c r="E241" s="53">
        <v>0</v>
      </c>
      <c r="F241" s="53">
        <v>0</v>
      </c>
      <c r="G241" s="776">
        <f t="shared" si="72"/>
        <v>2.5750641862458319</v>
      </c>
      <c r="H241" s="519">
        <f t="shared" si="73"/>
        <v>12.875320931229158</v>
      </c>
      <c r="I241" s="53"/>
      <c r="J241" s="776">
        <f t="shared" si="74"/>
        <v>0.77251925587374948</v>
      </c>
      <c r="K241" s="1210">
        <f>'Recycling - Case 3'!Z161</f>
        <v>4547.532033975378</v>
      </c>
      <c r="L241" s="1209">
        <f t="shared" si="79"/>
        <v>0.5</v>
      </c>
      <c r="M241" s="1209">
        <f t="shared" si="79"/>
        <v>0.5</v>
      </c>
      <c r="N241" s="53">
        <f t="shared" si="77"/>
        <v>0</v>
      </c>
      <c r="O241" s="53">
        <f t="shared" si="77"/>
        <v>0</v>
      </c>
      <c r="P241" s="776">
        <f t="shared" si="67"/>
        <v>1.8190128135901513</v>
      </c>
      <c r="Q241" s="519">
        <f t="shared" si="68"/>
        <v>9.0950640679507568</v>
      </c>
      <c r="R241" s="53"/>
      <c r="S241" s="1211">
        <f t="shared" si="69"/>
        <v>0.54570384407704531</v>
      </c>
      <c r="T241" s="1198">
        <f t="shared" si="70"/>
        <v>4.394076999835983</v>
      </c>
      <c r="U241" s="1199">
        <f t="shared" si="70"/>
        <v>21.970384999179913</v>
      </c>
      <c r="V241" s="1199">
        <f t="shared" si="70"/>
        <v>0</v>
      </c>
      <c r="W241" s="1200">
        <f t="shared" si="70"/>
        <v>1.3182230999507949</v>
      </c>
    </row>
    <row r="242" spans="1:23">
      <c r="A242" s="123">
        <f>'Input data'!A142</f>
        <v>2042</v>
      </c>
      <c r="B242" s="1208">
        <f>'Recycling - Case 3'!AI122</f>
        <v>6437.6604656145792</v>
      </c>
      <c r="C242" s="1209">
        <f t="shared" si="78"/>
        <v>0.5</v>
      </c>
      <c r="D242" s="1209">
        <f t="shared" si="78"/>
        <v>0.5</v>
      </c>
      <c r="E242" s="53">
        <v>0</v>
      </c>
      <c r="F242" s="53">
        <v>0</v>
      </c>
      <c r="G242" s="776">
        <f t="shared" si="72"/>
        <v>2.5750641862458319</v>
      </c>
      <c r="H242" s="519">
        <f t="shared" si="73"/>
        <v>12.875320931229158</v>
      </c>
      <c r="I242" s="53"/>
      <c r="J242" s="776">
        <f t="shared" si="74"/>
        <v>0.77251925587374948</v>
      </c>
      <c r="K242" s="1210">
        <f>'Recycling - Case 3'!Z162</f>
        <v>4654.5439581418577</v>
      </c>
      <c r="L242" s="1209">
        <f t="shared" si="79"/>
        <v>0.5</v>
      </c>
      <c r="M242" s="1209">
        <f t="shared" si="79"/>
        <v>0.5</v>
      </c>
      <c r="N242" s="53">
        <f t="shared" si="77"/>
        <v>0</v>
      </c>
      <c r="O242" s="53">
        <f t="shared" si="77"/>
        <v>0</v>
      </c>
      <c r="P242" s="776">
        <f t="shared" si="67"/>
        <v>1.8618175832567432</v>
      </c>
      <c r="Q242" s="519">
        <f t="shared" si="68"/>
        <v>9.3090879162837155</v>
      </c>
      <c r="R242" s="53"/>
      <c r="S242" s="1211">
        <f t="shared" si="69"/>
        <v>0.55854527497702289</v>
      </c>
      <c r="T242" s="1198">
        <f t="shared" si="70"/>
        <v>4.4368817695025751</v>
      </c>
      <c r="U242" s="1199">
        <f t="shared" si="70"/>
        <v>22.184408847512874</v>
      </c>
      <c r="V242" s="1199">
        <f t="shared" si="70"/>
        <v>0</v>
      </c>
      <c r="W242" s="1200">
        <f t="shared" si="70"/>
        <v>1.3310645308507723</v>
      </c>
    </row>
    <row r="243" spans="1:23">
      <c r="A243" s="123">
        <f>'Input data'!A143</f>
        <v>2043</v>
      </c>
      <c r="B243" s="1208">
        <f>'Recycling - Case 3'!AI123</f>
        <v>6437.6604656145792</v>
      </c>
      <c r="C243" s="1209">
        <f t="shared" si="78"/>
        <v>0.5</v>
      </c>
      <c r="D243" s="1209">
        <f t="shared" si="78"/>
        <v>0.5</v>
      </c>
      <c r="E243" s="53">
        <v>0</v>
      </c>
      <c r="F243" s="53">
        <v>0</v>
      </c>
      <c r="G243" s="776">
        <f t="shared" si="72"/>
        <v>2.5750641862458319</v>
      </c>
      <c r="H243" s="519">
        <f t="shared" si="73"/>
        <v>12.875320931229158</v>
      </c>
      <c r="I243" s="53"/>
      <c r="J243" s="776">
        <f t="shared" si="74"/>
        <v>0.77251925587374948</v>
      </c>
      <c r="K243" s="1210">
        <f>'Recycling - Case 3'!Z163</f>
        <v>4764.3177609587738</v>
      </c>
      <c r="L243" s="1209">
        <f t="shared" si="79"/>
        <v>0.5</v>
      </c>
      <c r="M243" s="1209">
        <f t="shared" si="79"/>
        <v>0.5</v>
      </c>
      <c r="N243" s="53">
        <f t="shared" si="77"/>
        <v>0</v>
      </c>
      <c r="O243" s="53">
        <f t="shared" si="77"/>
        <v>0</v>
      </c>
      <c r="P243" s="776">
        <f t="shared" si="67"/>
        <v>1.9057271043835096</v>
      </c>
      <c r="Q243" s="519">
        <f t="shared" si="68"/>
        <v>9.5286355219175469</v>
      </c>
      <c r="R243" s="53"/>
      <c r="S243" s="1211">
        <f t="shared" si="69"/>
        <v>0.57171813131505278</v>
      </c>
      <c r="T243" s="1198">
        <f t="shared" si="70"/>
        <v>4.480791290629341</v>
      </c>
      <c r="U243" s="1199">
        <f t="shared" si="70"/>
        <v>22.403956453146705</v>
      </c>
      <c r="V243" s="1199">
        <f t="shared" si="70"/>
        <v>0</v>
      </c>
      <c r="W243" s="1200">
        <f t="shared" si="70"/>
        <v>1.3442373871888023</v>
      </c>
    </row>
    <row r="244" spans="1:23">
      <c r="A244" s="123">
        <f>'Input data'!A144</f>
        <v>2044</v>
      </c>
      <c r="B244" s="1208">
        <f>'Recycling - Case 3'!AI124</f>
        <v>6437.6604656145792</v>
      </c>
      <c r="C244" s="1209">
        <f t="shared" si="78"/>
        <v>0.5</v>
      </c>
      <c r="D244" s="1209">
        <f t="shared" si="78"/>
        <v>0.5</v>
      </c>
      <c r="E244" s="53">
        <v>0</v>
      </c>
      <c r="F244" s="53">
        <v>0</v>
      </c>
      <c r="G244" s="776">
        <f t="shared" si="72"/>
        <v>2.5750641862458319</v>
      </c>
      <c r="H244" s="519">
        <f t="shared" si="73"/>
        <v>12.875320931229158</v>
      </c>
      <c r="I244" s="53"/>
      <c r="J244" s="776">
        <f t="shared" si="74"/>
        <v>0.77251925587374948</v>
      </c>
      <c r="K244" s="1210">
        <f>'Recycling - Case 3'!Z164</f>
        <v>4878.3539906692804</v>
      </c>
      <c r="L244" s="1209">
        <f t="shared" si="79"/>
        <v>0.5</v>
      </c>
      <c r="M244" s="1209">
        <f t="shared" si="79"/>
        <v>0.5</v>
      </c>
      <c r="N244" s="53">
        <f t="shared" si="77"/>
        <v>0</v>
      </c>
      <c r="O244" s="53">
        <f t="shared" si="77"/>
        <v>0</v>
      </c>
      <c r="P244" s="776">
        <f t="shared" si="67"/>
        <v>1.9513415962677123</v>
      </c>
      <c r="Q244" s="519">
        <f t="shared" si="68"/>
        <v>9.7567079813385611</v>
      </c>
      <c r="R244" s="53"/>
      <c r="S244" s="1211">
        <f t="shared" si="69"/>
        <v>0.5854024788803136</v>
      </c>
      <c r="T244" s="1198">
        <f t="shared" si="70"/>
        <v>4.5264057825135442</v>
      </c>
      <c r="U244" s="1199">
        <f t="shared" si="70"/>
        <v>22.632028912567719</v>
      </c>
      <c r="V244" s="1199">
        <f t="shared" si="70"/>
        <v>0</v>
      </c>
      <c r="W244" s="1200">
        <f t="shared" si="70"/>
        <v>1.3579217347540631</v>
      </c>
    </row>
    <row r="245" spans="1:23">
      <c r="A245" s="123">
        <f>'Input data'!A145</f>
        <v>2045</v>
      </c>
      <c r="B245" s="1208">
        <f>'Recycling - Case 3'!AI125</f>
        <v>6437.6604656145792</v>
      </c>
      <c r="C245" s="1209">
        <f t="shared" si="78"/>
        <v>0.5</v>
      </c>
      <c r="D245" s="1209">
        <f t="shared" si="78"/>
        <v>0.5</v>
      </c>
      <c r="E245" s="53">
        <v>0</v>
      </c>
      <c r="F245" s="53">
        <v>0</v>
      </c>
      <c r="G245" s="776">
        <f t="shared" si="72"/>
        <v>2.5750641862458319</v>
      </c>
      <c r="H245" s="519">
        <f t="shared" si="73"/>
        <v>12.875320931229158</v>
      </c>
      <c r="I245" s="53"/>
      <c r="J245" s="776">
        <f t="shared" si="74"/>
        <v>0.77251925587374948</v>
      </c>
      <c r="K245" s="1210">
        <f>'Recycling - Case 3'!Z165</f>
        <v>4997.2071977110627</v>
      </c>
      <c r="L245" s="1209">
        <f t="shared" si="79"/>
        <v>0.5</v>
      </c>
      <c r="M245" s="1209">
        <f t="shared" si="79"/>
        <v>0.5</v>
      </c>
      <c r="N245" s="53">
        <f t="shared" si="77"/>
        <v>0</v>
      </c>
      <c r="O245" s="53">
        <f t="shared" si="77"/>
        <v>0</v>
      </c>
      <c r="P245" s="776">
        <f t="shared" si="67"/>
        <v>1.9988828790844253</v>
      </c>
      <c r="Q245" s="519">
        <f t="shared" si="68"/>
        <v>9.9944143954221261</v>
      </c>
      <c r="R245" s="53"/>
      <c r="S245" s="1211">
        <f t="shared" si="69"/>
        <v>0.59966486372532746</v>
      </c>
      <c r="T245" s="1198">
        <f t="shared" si="70"/>
        <v>4.5739470653302572</v>
      </c>
      <c r="U245" s="1199">
        <f t="shared" si="70"/>
        <v>22.869735326651284</v>
      </c>
      <c r="V245" s="1199">
        <f t="shared" si="70"/>
        <v>0</v>
      </c>
      <c r="W245" s="1200">
        <f t="shared" si="70"/>
        <v>1.3721841195990769</v>
      </c>
    </row>
    <row r="246" spans="1:23">
      <c r="A246" s="123">
        <f>'Input data'!A146</f>
        <v>2046</v>
      </c>
      <c r="B246" s="1208">
        <f>'Recycling - Case 3'!AI126</f>
        <v>6437.6604656145792</v>
      </c>
      <c r="C246" s="1209">
        <f t="shared" si="78"/>
        <v>0.5</v>
      </c>
      <c r="D246" s="1209">
        <f t="shared" si="78"/>
        <v>0.5</v>
      </c>
      <c r="E246" s="53">
        <v>0</v>
      </c>
      <c r="F246" s="53">
        <v>0</v>
      </c>
      <c r="G246" s="776">
        <f t="shared" si="72"/>
        <v>2.5750641862458319</v>
      </c>
      <c r="H246" s="519">
        <f t="shared" si="73"/>
        <v>12.875320931229158</v>
      </c>
      <c r="I246" s="53"/>
      <c r="J246" s="776">
        <f t="shared" si="74"/>
        <v>0.77251925587374948</v>
      </c>
      <c r="K246" s="1210">
        <f>'Recycling - Case 3'!Z166</f>
        <v>5124.3025465521841</v>
      </c>
      <c r="L246" s="1209">
        <f t="shared" si="79"/>
        <v>0.5</v>
      </c>
      <c r="M246" s="1209">
        <f t="shared" si="79"/>
        <v>0.5</v>
      </c>
      <c r="N246" s="53">
        <f t="shared" si="77"/>
        <v>0</v>
      </c>
      <c r="O246" s="53">
        <f t="shared" si="77"/>
        <v>0</v>
      </c>
      <c r="P246" s="776">
        <f t="shared" si="67"/>
        <v>2.0497210186208736</v>
      </c>
      <c r="Q246" s="519">
        <f t="shared" si="68"/>
        <v>10.248605093104368</v>
      </c>
      <c r="R246" s="53"/>
      <c r="S246" s="1211">
        <f t="shared" si="69"/>
        <v>0.61491630558626209</v>
      </c>
      <c r="T246" s="1198">
        <f t="shared" si="70"/>
        <v>4.624785204866706</v>
      </c>
      <c r="U246" s="1199">
        <f t="shared" si="70"/>
        <v>23.123926024333528</v>
      </c>
      <c r="V246" s="1199">
        <f t="shared" si="70"/>
        <v>0</v>
      </c>
      <c r="W246" s="1200">
        <f t="shared" si="70"/>
        <v>1.3874355614600116</v>
      </c>
    </row>
    <row r="247" spans="1:23">
      <c r="A247" s="123">
        <f>'Input data'!A147</f>
        <v>2047</v>
      </c>
      <c r="B247" s="1208">
        <f>'Recycling - Case 3'!AI127</f>
        <v>6437.6604656145792</v>
      </c>
      <c r="C247" s="1209">
        <f t="shared" si="78"/>
        <v>0.5</v>
      </c>
      <c r="D247" s="1209">
        <f t="shared" si="78"/>
        <v>0.5</v>
      </c>
      <c r="E247" s="53">
        <v>0</v>
      </c>
      <c r="F247" s="53">
        <v>0</v>
      </c>
      <c r="G247" s="776">
        <f t="shared" si="72"/>
        <v>2.5750641862458319</v>
      </c>
      <c r="H247" s="519">
        <f t="shared" si="73"/>
        <v>12.875320931229158</v>
      </c>
      <c r="I247" s="53"/>
      <c r="J247" s="776">
        <f t="shared" si="74"/>
        <v>0.77251925587374948</v>
      </c>
      <c r="K247" s="1210">
        <f>'Recycling - Case 3'!Z167</f>
        <v>5203.2226853115508</v>
      </c>
      <c r="L247" s="1209">
        <f t="shared" si="79"/>
        <v>0.5</v>
      </c>
      <c r="M247" s="1209">
        <f t="shared" si="79"/>
        <v>0.5</v>
      </c>
      <c r="N247" s="53">
        <f t="shared" si="77"/>
        <v>0</v>
      </c>
      <c r="O247" s="53">
        <f t="shared" si="77"/>
        <v>0</v>
      </c>
      <c r="P247" s="776">
        <f t="shared" si="67"/>
        <v>2.0812890741246206</v>
      </c>
      <c r="Q247" s="519">
        <f t="shared" si="68"/>
        <v>10.406445370623102</v>
      </c>
      <c r="R247" s="53"/>
      <c r="S247" s="1211">
        <f t="shared" si="69"/>
        <v>0.624386722237386</v>
      </c>
      <c r="T247" s="1198">
        <f t="shared" si="70"/>
        <v>4.6563532603704525</v>
      </c>
      <c r="U247" s="1199">
        <f t="shared" si="70"/>
        <v>23.281766301852258</v>
      </c>
      <c r="V247" s="1199">
        <f t="shared" si="70"/>
        <v>0</v>
      </c>
      <c r="W247" s="1200">
        <f t="shared" si="70"/>
        <v>1.3969059781111355</v>
      </c>
    </row>
    <row r="248" spans="1:23">
      <c r="A248" s="123">
        <f>'Input data'!A148</f>
        <v>2048</v>
      </c>
      <c r="B248" s="1208">
        <f>'Recycling - Case 3'!AI128</f>
        <v>6437.6604656145792</v>
      </c>
      <c r="C248" s="1209">
        <f t="shared" si="78"/>
        <v>0.5</v>
      </c>
      <c r="D248" s="1209">
        <f t="shared" si="78"/>
        <v>0.5</v>
      </c>
      <c r="E248" s="53">
        <v>0</v>
      </c>
      <c r="F248" s="53">
        <v>0</v>
      </c>
      <c r="G248" s="776">
        <f t="shared" si="72"/>
        <v>2.5750641862458319</v>
      </c>
      <c r="H248" s="519">
        <f t="shared" si="73"/>
        <v>12.875320931229158</v>
      </c>
      <c r="I248" s="53"/>
      <c r="J248" s="776">
        <f t="shared" si="74"/>
        <v>0.77251925587374948</v>
      </c>
      <c r="K248" s="1210">
        <f>'Recycling - Case 3'!Z168</f>
        <v>5276.7441124569687</v>
      </c>
      <c r="L248" s="1209">
        <f t="shared" si="79"/>
        <v>0.5</v>
      </c>
      <c r="M248" s="1209">
        <f t="shared" si="79"/>
        <v>0.5</v>
      </c>
      <c r="N248" s="53">
        <f t="shared" si="77"/>
        <v>0</v>
      </c>
      <c r="O248" s="53">
        <f t="shared" si="77"/>
        <v>0</v>
      </c>
      <c r="P248" s="776">
        <f t="shared" si="67"/>
        <v>2.1106976449827877</v>
      </c>
      <c r="Q248" s="519">
        <f t="shared" si="68"/>
        <v>10.553488224913938</v>
      </c>
      <c r="R248" s="53"/>
      <c r="S248" s="1211">
        <f t="shared" si="69"/>
        <v>0.63320929349483612</v>
      </c>
      <c r="T248" s="1198">
        <f t="shared" si="70"/>
        <v>4.6857618312286196</v>
      </c>
      <c r="U248" s="1199">
        <f t="shared" si="70"/>
        <v>23.428809156143096</v>
      </c>
      <c r="V248" s="1199">
        <f t="shared" si="70"/>
        <v>0</v>
      </c>
      <c r="W248" s="1200">
        <f t="shared" si="70"/>
        <v>1.4057285493685856</v>
      </c>
    </row>
    <row r="249" spans="1:23">
      <c r="A249" s="123">
        <f>'Input data'!A149</f>
        <v>2049</v>
      </c>
      <c r="B249" s="1208">
        <f>'Recycling - Case 3'!AI129</f>
        <v>6437.6604656145792</v>
      </c>
      <c r="C249" s="1209">
        <f t="shared" si="78"/>
        <v>0.5</v>
      </c>
      <c r="D249" s="1209">
        <f t="shared" si="78"/>
        <v>0.5</v>
      </c>
      <c r="E249" s="53">
        <v>0</v>
      </c>
      <c r="F249" s="53">
        <v>0</v>
      </c>
      <c r="G249" s="776">
        <f t="shared" si="72"/>
        <v>2.5750641862458319</v>
      </c>
      <c r="H249" s="519">
        <f t="shared" si="73"/>
        <v>12.875320931229158</v>
      </c>
      <c r="I249" s="53"/>
      <c r="J249" s="776">
        <f t="shared" si="74"/>
        <v>0.77251925587374948</v>
      </c>
      <c r="K249" s="1210">
        <f>'Recycling - Case 3'!Z169</f>
        <v>5349.9991379215398</v>
      </c>
      <c r="L249" s="1209">
        <f t="shared" si="79"/>
        <v>0.5</v>
      </c>
      <c r="M249" s="1209">
        <f t="shared" si="79"/>
        <v>0.5</v>
      </c>
      <c r="N249" s="53">
        <f t="shared" si="77"/>
        <v>0</v>
      </c>
      <c r="O249" s="53">
        <f t="shared" si="77"/>
        <v>0</v>
      </c>
      <c r="P249" s="776">
        <f t="shared" si="67"/>
        <v>2.1399996551686158</v>
      </c>
      <c r="Q249" s="519">
        <f t="shared" si="68"/>
        <v>10.699998275843079</v>
      </c>
      <c r="R249" s="53"/>
      <c r="S249" s="1211">
        <f t="shared" si="69"/>
        <v>0.64199989655058476</v>
      </c>
      <c r="T249" s="1198">
        <f t="shared" si="70"/>
        <v>4.7150638414144481</v>
      </c>
      <c r="U249" s="1199">
        <f t="shared" si="70"/>
        <v>23.575319207072237</v>
      </c>
      <c r="V249" s="1199">
        <f t="shared" si="70"/>
        <v>0</v>
      </c>
      <c r="W249" s="1200">
        <f t="shared" si="70"/>
        <v>1.4145191524243343</v>
      </c>
    </row>
    <row r="250" spans="1:23" ht="15.75" thickBot="1">
      <c r="A250" s="123">
        <f>'Input data'!A150</f>
        <v>2050</v>
      </c>
      <c r="B250" s="1208">
        <f>'Recycling - Case 3'!AI130</f>
        <v>6437.6604656145792</v>
      </c>
      <c r="C250" s="576">
        <f t="shared" si="78"/>
        <v>0.5</v>
      </c>
      <c r="D250" s="576">
        <f t="shared" si="78"/>
        <v>0.5</v>
      </c>
      <c r="E250" s="58">
        <v>0</v>
      </c>
      <c r="F250" s="58">
        <v>0</v>
      </c>
      <c r="G250" s="1365">
        <f t="shared" si="72"/>
        <v>2.5750641862458319</v>
      </c>
      <c r="H250" s="1102">
        <f t="shared" si="73"/>
        <v>12.875320931229158</v>
      </c>
      <c r="I250" s="58"/>
      <c r="J250" s="1365">
        <f t="shared" si="74"/>
        <v>0.77251925587374948</v>
      </c>
      <c r="K250" s="1210">
        <f>'Recycling - Case 3'!Z170</f>
        <v>5421.623132687032</v>
      </c>
      <c r="L250" s="578">
        <f t="shared" si="79"/>
        <v>0.5</v>
      </c>
      <c r="M250" s="578">
        <f t="shared" si="79"/>
        <v>0.5</v>
      </c>
      <c r="N250" s="1212">
        <f t="shared" ref="N250:O250" si="80">N112</f>
        <v>0</v>
      </c>
      <c r="O250" s="1212">
        <f t="shared" si="80"/>
        <v>0</v>
      </c>
      <c r="P250" s="1213">
        <f t="shared" si="67"/>
        <v>2.1686492530748129</v>
      </c>
      <c r="Q250" s="1144">
        <f t="shared" si="68"/>
        <v>10.843246265374065</v>
      </c>
      <c r="R250" s="1212"/>
      <c r="S250" s="1214">
        <f t="shared" si="69"/>
        <v>0.65059477592244375</v>
      </c>
      <c r="T250" s="1215">
        <f t="shared" si="70"/>
        <v>4.7437134393206453</v>
      </c>
      <c r="U250" s="1216">
        <f t="shared" si="70"/>
        <v>23.718567196603225</v>
      </c>
      <c r="V250" s="1216">
        <f t="shared" si="70"/>
        <v>0</v>
      </c>
      <c r="W250" s="1217">
        <f t="shared" si="70"/>
        <v>1.4231140317961932</v>
      </c>
    </row>
    <row r="251" spans="1:23">
      <c r="A251" s="1362" t="s">
        <v>655</v>
      </c>
      <c r="B251" s="1207"/>
      <c r="C251" s="1218"/>
      <c r="D251" s="1218"/>
      <c r="E251" s="1219"/>
      <c r="F251" s="1219"/>
      <c r="G251" s="1220"/>
      <c r="H251" s="1221"/>
      <c r="I251" s="1222"/>
      <c r="J251" s="1224"/>
      <c r="K251" s="1221"/>
      <c r="L251" s="1218"/>
      <c r="M251" s="1218"/>
      <c r="N251" s="1219"/>
      <c r="O251" s="1219"/>
      <c r="P251" s="1220"/>
      <c r="Q251" s="1221"/>
      <c r="R251" s="1219"/>
      <c r="S251" s="1224"/>
      <c r="T251" s="1194"/>
      <c r="U251" s="1195"/>
      <c r="V251" s="1195"/>
      <c r="W251" s="1196"/>
    </row>
    <row r="252" spans="1:23">
      <c r="A252" s="466">
        <f>'Input data'!A118</f>
        <v>2018</v>
      </c>
      <c r="B252" s="1366">
        <f>'Recycling - Case 3'!AI98</f>
        <v>3707.5235423427162</v>
      </c>
      <c r="C252" s="576">
        <f>($C$256-$C$80)/($A$256-$A$80)+C80</f>
        <v>0.14000000000000001</v>
      </c>
      <c r="D252" s="576">
        <f>1-C252</f>
        <v>0.86</v>
      </c>
      <c r="E252" s="58">
        <v>0</v>
      </c>
      <c r="F252" s="58">
        <v>0</v>
      </c>
      <c r="G252" s="1365">
        <f>C252*$D$5*B252/1000-E252</f>
        <v>0.41524263674238426</v>
      </c>
      <c r="H252" s="1102">
        <f>D252*$D$4*B252/1000-F252</f>
        <v>12.753880985658943</v>
      </c>
      <c r="I252" s="58"/>
      <c r="J252" s="1211">
        <f>D252*$D$7*B252/1000</f>
        <v>0.76523285913953654</v>
      </c>
      <c r="K252" s="1364">
        <f>'Recycling - Case 3'!Z178</f>
        <v>1789.9687605419947</v>
      </c>
      <c r="L252" s="576">
        <f>($L$256-$L$80)/($A$256-$A$80)+L80</f>
        <v>0.18</v>
      </c>
      <c r="M252" s="576">
        <f>1-L252</f>
        <v>0.82000000000000006</v>
      </c>
      <c r="N252" s="58">
        <f t="shared" ref="N252:O267" si="81">N114</f>
        <v>0</v>
      </c>
      <c r="O252" s="58">
        <f t="shared" si="81"/>
        <v>0</v>
      </c>
      <c r="P252" s="1365">
        <f t="shared" ref="P252:P284" si="82">L252*$D$5*K252/1000-N252</f>
        <v>0.25775550151804721</v>
      </c>
      <c r="Q252" s="1102">
        <f t="shared" ref="Q252:Q284" si="83">M252*$D$4*K252/1000-O252</f>
        <v>5.8710975345777436</v>
      </c>
      <c r="R252" s="58"/>
      <c r="S252" s="1211">
        <f t="shared" ref="S252:S284" si="84">M252*$D$7*K252/1000</f>
        <v>0.35226585207466454</v>
      </c>
      <c r="T252" s="1198">
        <f t="shared" ref="T252:W284" si="85">G252+P252</f>
        <v>0.67299813826043153</v>
      </c>
      <c r="U252" s="1613">
        <f t="shared" si="85"/>
        <v>18.624978520236688</v>
      </c>
      <c r="V252" s="1613">
        <f t="shared" si="85"/>
        <v>0</v>
      </c>
      <c r="W252" s="1200">
        <f t="shared" si="85"/>
        <v>1.1174987112142012</v>
      </c>
    </row>
    <row r="253" spans="1:23">
      <c r="A253" s="466">
        <f>'Input data'!A119</f>
        <v>2019</v>
      </c>
      <c r="B253" s="1366">
        <f>'Recycling - Case 3'!AI99</f>
        <v>4010.8720893729233</v>
      </c>
      <c r="C253" s="576">
        <f>($C$256-$C$80)/($A$256-$A$80)+C252</f>
        <v>0.23</v>
      </c>
      <c r="D253" s="576">
        <f t="shared" ref="D253:D284" si="86">1-C253</f>
        <v>0.77</v>
      </c>
      <c r="E253" s="58">
        <v>0</v>
      </c>
      <c r="F253" s="58">
        <v>0</v>
      </c>
      <c r="G253" s="1365">
        <f t="shared" ref="G253:G284" si="87">C253*$D$5*B253/1000-E253</f>
        <v>0.73800046444461798</v>
      </c>
      <c r="H253" s="1102">
        <f t="shared" ref="H253:H284" si="88">D253*$D$4*B253/1000-F253</f>
        <v>12.353486035268604</v>
      </c>
      <c r="I253" s="58"/>
      <c r="J253" s="1211">
        <f t="shared" ref="J253:J284" si="89">D253*$D$7*B253/1000</f>
        <v>0.7412091621161162</v>
      </c>
      <c r="K253" s="1364">
        <f>'Recycling - Case 3'!Z179</f>
        <v>2562.5527582487894</v>
      </c>
      <c r="L253" s="576">
        <f>($L$256-$L$80)/($A$256-$A$80)+L252</f>
        <v>0.26</v>
      </c>
      <c r="M253" s="576">
        <f t="shared" ref="M253:M284" si="90">1-L253</f>
        <v>0.74</v>
      </c>
      <c r="N253" s="58">
        <f t="shared" si="81"/>
        <v>0</v>
      </c>
      <c r="O253" s="58">
        <f t="shared" si="81"/>
        <v>0</v>
      </c>
      <c r="P253" s="1365">
        <f t="shared" si="82"/>
        <v>0.53301097371574824</v>
      </c>
      <c r="Q253" s="1102">
        <f t="shared" si="83"/>
        <v>7.5851561644164169</v>
      </c>
      <c r="R253" s="58"/>
      <c r="S253" s="1211">
        <f t="shared" si="84"/>
        <v>0.45510936986498496</v>
      </c>
      <c r="T253" s="1198">
        <f t="shared" si="85"/>
        <v>1.2710114381603663</v>
      </c>
      <c r="U253" s="1613">
        <f t="shared" si="85"/>
        <v>19.93864219968502</v>
      </c>
      <c r="V253" s="1613">
        <f t="shared" si="85"/>
        <v>0</v>
      </c>
      <c r="W253" s="1200">
        <f t="shared" si="85"/>
        <v>1.1963185319811012</v>
      </c>
    </row>
    <row r="254" spans="1:23">
      <c r="A254" s="466">
        <f>'Input data'!A120</f>
        <v>2020</v>
      </c>
      <c r="B254" s="1366">
        <f>'Recycling - Case 3'!AI100</f>
        <v>4617.5691834333375</v>
      </c>
      <c r="C254" s="576">
        <f t="shared" ref="C254:C255" si="91">($C$256-$C$80)/($A$256-$A$80)+C253</f>
        <v>0.32</v>
      </c>
      <c r="D254" s="576">
        <f t="shared" si="86"/>
        <v>0.67999999999999994</v>
      </c>
      <c r="E254" s="58">
        <v>0</v>
      </c>
      <c r="F254" s="58">
        <v>0</v>
      </c>
      <c r="G254" s="1365">
        <f t="shared" si="87"/>
        <v>1.1820977109589343</v>
      </c>
      <c r="H254" s="1102">
        <f t="shared" si="88"/>
        <v>12.559788178938678</v>
      </c>
      <c r="I254" s="58"/>
      <c r="J254" s="1211">
        <f t="shared" si="89"/>
        <v>0.75358729073632058</v>
      </c>
      <c r="K254" s="1364">
        <f>'Recycling - Case 3'!Z180</f>
        <v>2560.9621544777392</v>
      </c>
      <c r="L254" s="576">
        <f t="shared" ref="L254:L255" si="92">($L$256-$L$80)/($A$256-$A$80)+L253</f>
        <v>0.34</v>
      </c>
      <c r="M254" s="576">
        <f t="shared" si="90"/>
        <v>0.65999999999999992</v>
      </c>
      <c r="N254" s="58">
        <f t="shared" si="81"/>
        <v>0</v>
      </c>
      <c r="O254" s="58">
        <f t="shared" si="81"/>
        <v>0</v>
      </c>
      <c r="P254" s="1365">
        <f t="shared" si="82"/>
        <v>0.69658170601794511</v>
      </c>
      <c r="Q254" s="1102">
        <f t="shared" si="83"/>
        <v>6.7609400878212309</v>
      </c>
      <c r="R254" s="58"/>
      <c r="S254" s="1211">
        <f t="shared" si="84"/>
        <v>0.40565640526927388</v>
      </c>
      <c r="T254" s="1198">
        <f t="shared" si="85"/>
        <v>1.8786794169768795</v>
      </c>
      <c r="U254" s="1613">
        <f t="shared" si="85"/>
        <v>19.320728266759907</v>
      </c>
      <c r="V254" s="1613">
        <f t="shared" si="85"/>
        <v>0</v>
      </c>
      <c r="W254" s="1200">
        <f t="shared" si="85"/>
        <v>1.1592436960055945</v>
      </c>
    </row>
    <row r="255" spans="1:23">
      <c r="A255" s="466">
        <f>'Input data'!A121</f>
        <v>2021</v>
      </c>
      <c r="B255" s="1366">
        <f>'Recycling - Case 3'!AI101</f>
        <v>5830.9633715541659</v>
      </c>
      <c r="C255" s="576">
        <f t="shared" si="91"/>
        <v>0.41000000000000003</v>
      </c>
      <c r="D255" s="576">
        <f t="shared" si="86"/>
        <v>0.59</v>
      </c>
      <c r="E255" s="58">
        <v>0</v>
      </c>
      <c r="F255" s="58">
        <v>0</v>
      </c>
      <c r="G255" s="1365">
        <f t="shared" si="87"/>
        <v>1.9125559858697667</v>
      </c>
      <c r="H255" s="1102">
        <f t="shared" si="88"/>
        <v>13.76107355686783</v>
      </c>
      <c r="I255" s="58"/>
      <c r="J255" s="1211">
        <f t="shared" si="89"/>
        <v>0.82566441341206975</v>
      </c>
      <c r="K255" s="1364">
        <f>'Recycling - Case 3'!Z181</f>
        <v>2937.5012039878866</v>
      </c>
      <c r="L255" s="576">
        <f t="shared" si="92"/>
        <v>0.42000000000000004</v>
      </c>
      <c r="M255" s="576">
        <f t="shared" si="90"/>
        <v>0.57999999999999996</v>
      </c>
      <c r="N255" s="58">
        <f t="shared" si="81"/>
        <v>0</v>
      </c>
      <c r="O255" s="58">
        <f t="shared" si="81"/>
        <v>0</v>
      </c>
      <c r="P255" s="1365">
        <f t="shared" si="82"/>
        <v>0.98700040453993021</v>
      </c>
      <c r="Q255" s="1102">
        <f t="shared" si="83"/>
        <v>6.815002793251896</v>
      </c>
      <c r="R255" s="58"/>
      <c r="S255" s="1211">
        <f t="shared" si="84"/>
        <v>0.40890016759511377</v>
      </c>
      <c r="T255" s="1198">
        <f t="shared" si="85"/>
        <v>2.899556390409697</v>
      </c>
      <c r="U255" s="1613">
        <f t="shared" si="85"/>
        <v>20.576076350119727</v>
      </c>
      <c r="V255" s="1613">
        <f t="shared" si="85"/>
        <v>0</v>
      </c>
      <c r="W255" s="1200">
        <f t="shared" si="85"/>
        <v>1.2345645810071835</v>
      </c>
    </row>
    <row r="256" spans="1:23">
      <c r="A256" s="466">
        <f>'Input data'!A122</f>
        <v>2022</v>
      </c>
      <c r="B256" s="1366">
        <f>'Recycling - Case 3'!AI102</f>
        <v>6437.6604656145792</v>
      </c>
      <c r="C256" s="576">
        <f>'Recycling - Case 3'!G31</f>
        <v>0.5</v>
      </c>
      <c r="D256" s="576">
        <f t="shared" si="86"/>
        <v>0.5</v>
      </c>
      <c r="E256" s="58">
        <v>0</v>
      </c>
      <c r="F256" s="58">
        <v>0</v>
      </c>
      <c r="G256" s="1365">
        <f t="shared" si="87"/>
        <v>2.5750641862458319</v>
      </c>
      <c r="H256" s="1102">
        <f t="shared" si="88"/>
        <v>12.875320931229158</v>
      </c>
      <c r="I256" s="58"/>
      <c r="J256" s="1211">
        <f t="shared" si="89"/>
        <v>0.77251925587374948</v>
      </c>
      <c r="K256" s="1364">
        <f>'Recycling - Case 3'!Z182</f>
        <v>3148.72204906348</v>
      </c>
      <c r="L256" s="576">
        <f>'Recycling - Case 3'!G31</f>
        <v>0.5</v>
      </c>
      <c r="M256" s="576">
        <f t="shared" si="90"/>
        <v>0.5</v>
      </c>
      <c r="N256" s="58">
        <f t="shared" si="81"/>
        <v>0</v>
      </c>
      <c r="O256" s="58">
        <f t="shared" si="81"/>
        <v>0</v>
      </c>
      <c r="P256" s="1365">
        <f t="shared" si="82"/>
        <v>1.2594888196253922</v>
      </c>
      <c r="Q256" s="1102">
        <f t="shared" si="83"/>
        <v>6.2974440981269604</v>
      </c>
      <c r="R256" s="58"/>
      <c r="S256" s="1211">
        <f t="shared" si="84"/>
        <v>0.37784664588761757</v>
      </c>
      <c r="T256" s="1198">
        <f t="shared" si="85"/>
        <v>3.8345530058712241</v>
      </c>
      <c r="U256" s="1613">
        <f t="shared" si="85"/>
        <v>19.172765029356118</v>
      </c>
      <c r="V256" s="1613">
        <f t="shared" si="85"/>
        <v>0</v>
      </c>
      <c r="W256" s="1200">
        <f t="shared" si="85"/>
        <v>1.150365901761367</v>
      </c>
    </row>
    <row r="257" spans="1:23">
      <c r="A257" s="466">
        <f>'Input data'!A123</f>
        <v>2023</v>
      </c>
      <c r="B257" s="1366">
        <f>'Recycling - Case 3'!AI103</f>
        <v>6437.6604656145792</v>
      </c>
      <c r="C257" s="576">
        <f>C256</f>
        <v>0.5</v>
      </c>
      <c r="D257" s="576">
        <f t="shared" si="86"/>
        <v>0.5</v>
      </c>
      <c r="E257" s="58">
        <v>0</v>
      </c>
      <c r="F257" s="58">
        <v>0</v>
      </c>
      <c r="G257" s="1365">
        <f t="shared" si="87"/>
        <v>2.5750641862458319</v>
      </c>
      <c r="H257" s="1102">
        <f t="shared" si="88"/>
        <v>12.875320931229158</v>
      </c>
      <c r="I257" s="58"/>
      <c r="J257" s="1211">
        <f t="shared" si="89"/>
        <v>0.77251925587374948</v>
      </c>
      <c r="K257" s="1364">
        <f>'Recycling - Case 3'!Z183</f>
        <v>3204.8349418807438</v>
      </c>
      <c r="L257" s="576">
        <f>L256</f>
        <v>0.5</v>
      </c>
      <c r="M257" s="576">
        <f t="shared" si="90"/>
        <v>0.5</v>
      </c>
      <c r="N257" s="58">
        <f t="shared" si="81"/>
        <v>0</v>
      </c>
      <c r="O257" s="58">
        <f t="shared" si="81"/>
        <v>0</v>
      </c>
      <c r="P257" s="1365">
        <f t="shared" si="82"/>
        <v>1.2819339767522977</v>
      </c>
      <c r="Q257" s="1102">
        <f t="shared" si="83"/>
        <v>6.4096698837614881</v>
      </c>
      <c r="R257" s="58"/>
      <c r="S257" s="1211">
        <f t="shared" si="84"/>
        <v>0.38458019302568924</v>
      </c>
      <c r="T257" s="1198">
        <f t="shared" si="85"/>
        <v>3.8569981629981296</v>
      </c>
      <c r="U257" s="1613">
        <f t="shared" si="85"/>
        <v>19.284990814990646</v>
      </c>
      <c r="V257" s="1613">
        <f t="shared" si="85"/>
        <v>0</v>
      </c>
      <c r="W257" s="1200">
        <f t="shared" si="85"/>
        <v>1.1570994488994386</v>
      </c>
    </row>
    <row r="258" spans="1:23">
      <c r="A258" s="466">
        <f>'Input data'!A124</f>
        <v>2024</v>
      </c>
      <c r="B258" s="1366">
        <f>'Recycling - Case 3'!AI104</f>
        <v>6437.6604656145792</v>
      </c>
      <c r="C258" s="576">
        <f t="shared" ref="C258:C284" si="93">C257</f>
        <v>0.5</v>
      </c>
      <c r="D258" s="576">
        <f t="shared" si="86"/>
        <v>0.5</v>
      </c>
      <c r="E258" s="58">
        <v>0</v>
      </c>
      <c r="F258" s="58">
        <v>0</v>
      </c>
      <c r="G258" s="1365">
        <f t="shared" si="87"/>
        <v>2.5750641862458319</v>
      </c>
      <c r="H258" s="1102">
        <f t="shared" si="88"/>
        <v>12.875320931229158</v>
      </c>
      <c r="I258" s="58"/>
      <c r="J258" s="1211">
        <f t="shared" si="89"/>
        <v>0.77251925587374948</v>
      </c>
      <c r="K258" s="1364">
        <f>'Recycling - Case 3'!Z184</f>
        <v>3265.0525952906887</v>
      </c>
      <c r="L258" s="576">
        <f t="shared" ref="L258:L284" si="94">L257</f>
        <v>0.5</v>
      </c>
      <c r="M258" s="576">
        <f t="shared" si="90"/>
        <v>0.5</v>
      </c>
      <c r="N258" s="58">
        <f t="shared" si="81"/>
        <v>0</v>
      </c>
      <c r="O258" s="58">
        <f t="shared" si="81"/>
        <v>0</v>
      </c>
      <c r="P258" s="1365">
        <f t="shared" si="82"/>
        <v>1.3060210381162756</v>
      </c>
      <c r="Q258" s="1102">
        <f t="shared" si="83"/>
        <v>6.5301051905813772</v>
      </c>
      <c r="R258" s="58"/>
      <c r="S258" s="1211">
        <f t="shared" si="84"/>
        <v>0.39180631143488259</v>
      </c>
      <c r="T258" s="1198">
        <f t="shared" si="85"/>
        <v>3.8810852243621072</v>
      </c>
      <c r="U258" s="1613">
        <f t="shared" si="85"/>
        <v>19.405426121810535</v>
      </c>
      <c r="V258" s="1613">
        <f t="shared" si="85"/>
        <v>0</v>
      </c>
      <c r="W258" s="1200">
        <f t="shared" si="85"/>
        <v>1.1643255673086321</v>
      </c>
    </row>
    <row r="259" spans="1:23">
      <c r="A259" s="466">
        <f>'Input data'!A125</f>
        <v>2025</v>
      </c>
      <c r="B259" s="1366">
        <f>'Recycling - Case 3'!AI105</f>
        <v>6437.6604656145792</v>
      </c>
      <c r="C259" s="576">
        <f t="shared" si="93"/>
        <v>0.5</v>
      </c>
      <c r="D259" s="576">
        <f t="shared" si="86"/>
        <v>0.5</v>
      </c>
      <c r="E259" s="58">
        <v>0</v>
      </c>
      <c r="F259" s="58">
        <v>0</v>
      </c>
      <c r="G259" s="1365">
        <f t="shared" si="87"/>
        <v>2.5750641862458319</v>
      </c>
      <c r="H259" s="1102">
        <f t="shared" si="88"/>
        <v>12.875320931229158</v>
      </c>
      <c r="I259" s="58"/>
      <c r="J259" s="1211">
        <f t="shared" si="89"/>
        <v>0.77251925587374948</v>
      </c>
      <c r="K259" s="1364">
        <f>'Recycling - Case 3'!Z185</f>
        <v>3322.0462446854558</v>
      </c>
      <c r="L259" s="576">
        <f t="shared" si="94"/>
        <v>0.5</v>
      </c>
      <c r="M259" s="576">
        <f t="shared" si="90"/>
        <v>0.5</v>
      </c>
      <c r="N259" s="58">
        <f t="shared" si="81"/>
        <v>0</v>
      </c>
      <c r="O259" s="58">
        <f t="shared" si="81"/>
        <v>0</v>
      </c>
      <c r="P259" s="1365">
        <f t="shared" si="82"/>
        <v>1.3288184978741824</v>
      </c>
      <c r="Q259" s="1102">
        <f t="shared" si="83"/>
        <v>6.6440924893709115</v>
      </c>
      <c r="R259" s="58"/>
      <c r="S259" s="1211">
        <f t="shared" si="84"/>
        <v>0.39864554936225466</v>
      </c>
      <c r="T259" s="1198">
        <f t="shared" si="85"/>
        <v>3.9038826841200143</v>
      </c>
      <c r="U259" s="1613">
        <f t="shared" si="85"/>
        <v>19.51941342060007</v>
      </c>
      <c r="V259" s="1613">
        <f t="shared" si="85"/>
        <v>0</v>
      </c>
      <c r="W259" s="1200">
        <f t="shared" si="85"/>
        <v>1.1711648052360042</v>
      </c>
    </row>
    <row r="260" spans="1:23">
      <c r="A260" s="466">
        <f>'Input data'!A126</f>
        <v>2026</v>
      </c>
      <c r="B260" s="1366">
        <f>'Recycling - Case 3'!AI106</f>
        <v>6437.6604656145792</v>
      </c>
      <c r="C260" s="576">
        <f t="shared" si="93"/>
        <v>0.5</v>
      </c>
      <c r="D260" s="576">
        <f t="shared" si="86"/>
        <v>0.5</v>
      </c>
      <c r="E260" s="58">
        <v>0</v>
      </c>
      <c r="F260" s="58">
        <v>0</v>
      </c>
      <c r="G260" s="1365">
        <f t="shared" si="87"/>
        <v>2.5750641862458319</v>
      </c>
      <c r="H260" s="1102">
        <f t="shared" si="88"/>
        <v>12.875320931229158</v>
      </c>
      <c r="I260" s="58"/>
      <c r="J260" s="1211">
        <f t="shared" si="89"/>
        <v>0.77251925587374948</v>
      </c>
      <c r="K260" s="1364">
        <f>'Recycling - Case 3'!Z186</f>
        <v>3371.5806470164412</v>
      </c>
      <c r="L260" s="576">
        <f t="shared" si="94"/>
        <v>0.5</v>
      </c>
      <c r="M260" s="576">
        <f t="shared" si="90"/>
        <v>0.5</v>
      </c>
      <c r="N260" s="58">
        <f t="shared" si="81"/>
        <v>0</v>
      </c>
      <c r="O260" s="58">
        <f t="shared" si="81"/>
        <v>0</v>
      </c>
      <c r="P260" s="1365">
        <f t="shared" si="82"/>
        <v>1.3486322588065767</v>
      </c>
      <c r="Q260" s="1102">
        <f t="shared" si="83"/>
        <v>6.7431612940328822</v>
      </c>
      <c r="R260" s="58"/>
      <c r="S260" s="1211">
        <f t="shared" si="84"/>
        <v>0.4045896776419729</v>
      </c>
      <c r="T260" s="1198">
        <f t="shared" si="85"/>
        <v>3.9236964450524088</v>
      </c>
      <c r="U260" s="1613">
        <f t="shared" si="85"/>
        <v>19.618482225262042</v>
      </c>
      <c r="V260" s="1613">
        <f t="shared" si="85"/>
        <v>0</v>
      </c>
      <c r="W260" s="1200">
        <f t="shared" si="85"/>
        <v>1.1771089335157223</v>
      </c>
    </row>
    <row r="261" spans="1:23">
      <c r="A261" s="466">
        <f>'Input data'!A127</f>
        <v>2027</v>
      </c>
      <c r="B261" s="1366">
        <f>'Recycling - Case 3'!AI107</f>
        <v>6437.6604656145792</v>
      </c>
      <c r="C261" s="576">
        <f t="shared" si="93"/>
        <v>0.5</v>
      </c>
      <c r="D261" s="576">
        <f t="shared" si="86"/>
        <v>0.5</v>
      </c>
      <c r="E261" s="58">
        <v>0</v>
      </c>
      <c r="F261" s="58">
        <v>0</v>
      </c>
      <c r="G261" s="1365">
        <f t="shared" si="87"/>
        <v>2.5750641862458319</v>
      </c>
      <c r="H261" s="1102">
        <f t="shared" si="88"/>
        <v>12.875320931229158</v>
      </c>
      <c r="I261" s="58"/>
      <c r="J261" s="1211">
        <f t="shared" si="89"/>
        <v>0.77251925587374948</v>
      </c>
      <c r="K261" s="1364">
        <f>'Recycling - Case 3'!Z187</f>
        <v>3420.7616593626267</v>
      </c>
      <c r="L261" s="576">
        <f t="shared" si="94"/>
        <v>0.5</v>
      </c>
      <c r="M261" s="576">
        <f t="shared" si="90"/>
        <v>0.5</v>
      </c>
      <c r="N261" s="58">
        <f t="shared" si="81"/>
        <v>0</v>
      </c>
      <c r="O261" s="58">
        <f t="shared" si="81"/>
        <v>0</v>
      </c>
      <c r="P261" s="1365">
        <f t="shared" si="82"/>
        <v>1.3683046637450507</v>
      </c>
      <c r="Q261" s="1102">
        <f t="shared" si="83"/>
        <v>6.8415233187252538</v>
      </c>
      <c r="R261" s="58"/>
      <c r="S261" s="1211">
        <f t="shared" si="84"/>
        <v>0.41049139912351518</v>
      </c>
      <c r="T261" s="1198">
        <f t="shared" si="85"/>
        <v>3.9433688499908826</v>
      </c>
      <c r="U261" s="1613">
        <f t="shared" si="85"/>
        <v>19.716844249954413</v>
      </c>
      <c r="V261" s="1613">
        <f t="shared" si="85"/>
        <v>0</v>
      </c>
      <c r="W261" s="1200">
        <f t="shared" si="85"/>
        <v>1.1830106549972648</v>
      </c>
    </row>
    <row r="262" spans="1:23">
      <c r="A262" s="466">
        <f>'Input data'!A128</f>
        <v>2028</v>
      </c>
      <c r="B262" s="1366">
        <f>'Recycling - Case 3'!AI108</f>
        <v>6437.6604656145792</v>
      </c>
      <c r="C262" s="576">
        <f t="shared" si="93"/>
        <v>0.5</v>
      </c>
      <c r="D262" s="576">
        <f t="shared" si="86"/>
        <v>0.5</v>
      </c>
      <c r="E262" s="58">
        <v>0</v>
      </c>
      <c r="F262" s="58">
        <v>0</v>
      </c>
      <c r="G262" s="1365">
        <f t="shared" si="87"/>
        <v>2.5750641862458319</v>
      </c>
      <c r="H262" s="1102">
        <f t="shared" si="88"/>
        <v>12.875320931229158</v>
      </c>
      <c r="I262" s="58"/>
      <c r="J262" s="1211">
        <f t="shared" si="89"/>
        <v>0.77251925587374948</v>
      </c>
      <c r="K262" s="1364">
        <f>'Recycling - Case 3'!Z188</f>
        <v>3471.0300255081979</v>
      </c>
      <c r="L262" s="576">
        <f t="shared" si="94"/>
        <v>0.5</v>
      </c>
      <c r="M262" s="576">
        <f t="shared" si="90"/>
        <v>0.5</v>
      </c>
      <c r="N262" s="58">
        <f t="shared" si="81"/>
        <v>0</v>
      </c>
      <c r="O262" s="58">
        <f t="shared" si="81"/>
        <v>0</v>
      </c>
      <c r="P262" s="1365">
        <f t="shared" si="82"/>
        <v>1.3884120102032793</v>
      </c>
      <c r="Q262" s="1102">
        <f t="shared" si="83"/>
        <v>6.9420600510163961</v>
      </c>
      <c r="R262" s="58"/>
      <c r="S262" s="1211">
        <f t="shared" si="84"/>
        <v>0.41652360306098374</v>
      </c>
      <c r="T262" s="1198">
        <f t="shared" si="85"/>
        <v>3.9634761964491112</v>
      </c>
      <c r="U262" s="1613">
        <f t="shared" si="85"/>
        <v>19.817380982245552</v>
      </c>
      <c r="V262" s="1613">
        <f t="shared" si="85"/>
        <v>0</v>
      </c>
      <c r="W262" s="1200">
        <f t="shared" si="85"/>
        <v>1.1890428589347333</v>
      </c>
    </row>
    <row r="263" spans="1:23">
      <c r="A263" s="466">
        <f>'Input data'!A129</f>
        <v>2029</v>
      </c>
      <c r="B263" s="1366">
        <f>'Recycling - Case 3'!AI109</f>
        <v>6437.6604656145792</v>
      </c>
      <c r="C263" s="576">
        <f t="shared" si="93"/>
        <v>0.5</v>
      </c>
      <c r="D263" s="576">
        <f t="shared" si="86"/>
        <v>0.5</v>
      </c>
      <c r="E263" s="58">
        <v>0</v>
      </c>
      <c r="F263" s="58">
        <v>0</v>
      </c>
      <c r="G263" s="1365">
        <f t="shared" si="87"/>
        <v>2.5750641862458319</v>
      </c>
      <c r="H263" s="1102">
        <f t="shared" si="88"/>
        <v>12.875320931229158</v>
      </c>
      <c r="I263" s="58"/>
      <c r="J263" s="1211">
        <f t="shared" si="89"/>
        <v>0.77251925587374948</v>
      </c>
      <c r="K263" s="1364">
        <f>'Recycling - Case 3'!Z189</f>
        <v>3537.8044223284328</v>
      </c>
      <c r="L263" s="576">
        <f t="shared" si="94"/>
        <v>0.5</v>
      </c>
      <c r="M263" s="576">
        <f t="shared" si="90"/>
        <v>0.5</v>
      </c>
      <c r="N263" s="58">
        <f t="shared" si="81"/>
        <v>0</v>
      </c>
      <c r="O263" s="58">
        <f t="shared" si="81"/>
        <v>0</v>
      </c>
      <c r="P263" s="1365">
        <f t="shared" si="82"/>
        <v>1.4151217689313733</v>
      </c>
      <c r="Q263" s="1102">
        <f t="shared" si="83"/>
        <v>7.0756088446568652</v>
      </c>
      <c r="R263" s="58"/>
      <c r="S263" s="1211">
        <f t="shared" si="84"/>
        <v>0.42453653067941188</v>
      </c>
      <c r="T263" s="1198">
        <f t="shared" si="85"/>
        <v>3.9901859551772052</v>
      </c>
      <c r="U263" s="1613">
        <f t="shared" si="85"/>
        <v>19.950929775886024</v>
      </c>
      <c r="V263" s="1613">
        <f t="shared" si="85"/>
        <v>0</v>
      </c>
      <c r="W263" s="1200">
        <f t="shared" si="85"/>
        <v>1.1970557865531615</v>
      </c>
    </row>
    <row r="264" spans="1:23">
      <c r="A264" s="466">
        <f>'Input data'!A130</f>
        <v>2030</v>
      </c>
      <c r="B264" s="1366">
        <f>'Recycling - Case 3'!AI110</f>
        <v>6437.6604656145792</v>
      </c>
      <c r="C264" s="576">
        <f t="shared" si="93"/>
        <v>0.5</v>
      </c>
      <c r="D264" s="576">
        <f t="shared" si="86"/>
        <v>0.5</v>
      </c>
      <c r="E264" s="58">
        <v>0</v>
      </c>
      <c r="F264" s="58">
        <v>0</v>
      </c>
      <c r="G264" s="1365">
        <f t="shared" si="87"/>
        <v>2.5750641862458319</v>
      </c>
      <c r="H264" s="1102">
        <f t="shared" si="88"/>
        <v>12.875320931229158</v>
      </c>
      <c r="I264" s="58"/>
      <c r="J264" s="1211">
        <f t="shared" si="89"/>
        <v>0.77251925587374948</v>
      </c>
      <c r="K264" s="1364">
        <f>'Recycling - Case 3'!Z190</f>
        <v>3597.8752829754594</v>
      </c>
      <c r="L264" s="576">
        <f t="shared" si="94"/>
        <v>0.5</v>
      </c>
      <c r="M264" s="576">
        <f t="shared" si="90"/>
        <v>0.5</v>
      </c>
      <c r="N264" s="58">
        <f t="shared" si="81"/>
        <v>0</v>
      </c>
      <c r="O264" s="58">
        <f t="shared" si="81"/>
        <v>0</v>
      </c>
      <c r="P264" s="1365">
        <f t="shared" si="82"/>
        <v>1.4391501131901838</v>
      </c>
      <c r="Q264" s="1102">
        <f t="shared" si="83"/>
        <v>7.1957505659509184</v>
      </c>
      <c r="R264" s="58"/>
      <c r="S264" s="1211">
        <f t="shared" si="84"/>
        <v>0.4317450339570551</v>
      </c>
      <c r="T264" s="1198">
        <f t="shared" si="85"/>
        <v>4.0142142994360155</v>
      </c>
      <c r="U264" s="1613">
        <f t="shared" si="85"/>
        <v>20.071071497180078</v>
      </c>
      <c r="V264" s="1613">
        <f t="shared" si="85"/>
        <v>0</v>
      </c>
      <c r="W264" s="1200">
        <f t="shared" si="85"/>
        <v>1.2042642898308045</v>
      </c>
    </row>
    <row r="265" spans="1:23">
      <c r="A265" s="466">
        <f>'Input data'!A131</f>
        <v>2031</v>
      </c>
      <c r="B265" s="1366">
        <f>'Recycling - Case 3'!AI111</f>
        <v>6437.6604656145792</v>
      </c>
      <c r="C265" s="576">
        <f t="shared" si="93"/>
        <v>0.5</v>
      </c>
      <c r="D265" s="576">
        <f t="shared" si="86"/>
        <v>0.5</v>
      </c>
      <c r="E265" s="58">
        <v>0</v>
      </c>
      <c r="F265" s="58">
        <v>0</v>
      </c>
      <c r="G265" s="1365">
        <f t="shared" si="87"/>
        <v>2.5750641862458319</v>
      </c>
      <c r="H265" s="1102">
        <f t="shared" si="88"/>
        <v>12.875320931229158</v>
      </c>
      <c r="I265" s="58"/>
      <c r="J265" s="1211">
        <f t="shared" si="89"/>
        <v>0.77251925587374948</v>
      </c>
      <c r="K265" s="1364">
        <f>'Recycling - Case 3'!Z191</f>
        <v>3668.9827846862445</v>
      </c>
      <c r="L265" s="576">
        <f t="shared" si="94"/>
        <v>0.5</v>
      </c>
      <c r="M265" s="576">
        <f t="shared" si="90"/>
        <v>0.5</v>
      </c>
      <c r="N265" s="58">
        <f t="shared" si="81"/>
        <v>0</v>
      </c>
      <c r="O265" s="58">
        <f t="shared" si="81"/>
        <v>0</v>
      </c>
      <c r="P265" s="1365">
        <f t="shared" si="82"/>
        <v>1.467593113874498</v>
      </c>
      <c r="Q265" s="1102">
        <f t="shared" si="83"/>
        <v>7.3379655693724892</v>
      </c>
      <c r="R265" s="58"/>
      <c r="S265" s="1211">
        <f t="shared" si="84"/>
        <v>0.44027793416234934</v>
      </c>
      <c r="T265" s="1198">
        <f t="shared" si="85"/>
        <v>4.0426573001203296</v>
      </c>
      <c r="U265" s="1613">
        <f t="shared" si="85"/>
        <v>20.213286500601647</v>
      </c>
      <c r="V265" s="1613">
        <f t="shared" si="85"/>
        <v>0</v>
      </c>
      <c r="W265" s="1200">
        <f t="shared" si="85"/>
        <v>1.2127971900360988</v>
      </c>
    </row>
    <row r="266" spans="1:23">
      <c r="A266" s="466">
        <f>'Input data'!A132</f>
        <v>2032</v>
      </c>
      <c r="B266" s="1366">
        <f>'Recycling - Case 3'!AI112</f>
        <v>6437.6604656145792</v>
      </c>
      <c r="C266" s="576">
        <f t="shared" si="93"/>
        <v>0.5</v>
      </c>
      <c r="D266" s="576">
        <f t="shared" si="86"/>
        <v>0.5</v>
      </c>
      <c r="E266" s="58">
        <v>0</v>
      </c>
      <c r="F266" s="58">
        <v>0</v>
      </c>
      <c r="G266" s="1365">
        <f t="shared" si="87"/>
        <v>2.5750641862458319</v>
      </c>
      <c r="H266" s="1102">
        <f t="shared" si="88"/>
        <v>12.875320931229158</v>
      </c>
      <c r="I266" s="58"/>
      <c r="J266" s="1211">
        <f t="shared" si="89"/>
        <v>0.77251925587374948</v>
      </c>
      <c r="K266" s="1364">
        <f>'Recycling - Case 3'!Z192</f>
        <v>3743.3904051781628</v>
      </c>
      <c r="L266" s="576">
        <f t="shared" si="94"/>
        <v>0.5</v>
      </c>
      <c r="M266" s="576">
        <f t="shared" si="90"/>
        <v>0.5</v>
      </c>
      <c r="N266" s="58">
        <f t="shared" si="81"/>
        <v>0</v>
      </c>
      <c r="O266" s="58">
        <f t="shared" si="81"/>
        <v>0</v>
      </c>
      <c r="P266" s="1365">
        <f t="shared" si="82"/>
        <v>1.4973561620712652</v>
      </c>
      <c r="Q266" s="1102">
        <f t="shared" si="83"/>
        <v>7.4867808103563256</v>
      </c>
      <c r="R266" s="58"/>
      <c r="S266" s="1211">
        <f t="shared" si="84"/>
        <v>0.44920684862137955</v>
      </c>
      <c r="T266" s="1198">
        <f t="shared" si="85"/>
        <v>4.0724203483170971</v>
      </c>
      <c r="U266" s="1613">
        <f t="shared" si="85"/>
        <v>20.362101741585484</v>
      </c>
      <c r="V266" s="1613">
        <f t="shared" si="85"/>
        <v>0</v>
      </c>
      <c r="W266" s="1200">
        <f t="shared" si="85"/>
        <v>1.2217261044951291</v>
      </c>
    </row>
    <row r="267" spans="1:23">
      <c r="A267" s="466">
        <f>'Input data'!A133</f>
        <v>2033</v>
      </c>
      <c r="B267" s="1366">
        <f>'Recycling - Case 3'!AI113</f>
        <v>6437.6604656145792</v>
      </c>
      <c r="C267" s="576">
        <f t="shared" si="93"/>
        <v>0.5</v>
      </c>
      <c r="D267" s="576">
        <f t="shared" si="86"/>
        <v>0.5</v>
      </c>
      <c r="E267" s="58">
        <v>0</v>
      </c>
      <c r="F267" s="58">
        <v>0</v>
      </c>
      <c r="G267" s="1365">
        <f t="shared" si="87"/>
        <v>2.5750641862458319</v>
      </c>
      <c r="H267" s="1102">
        <f t="shared" si="88"/>
        <v>12.875320931229158</v>
      </c>
      <c r="I267" s="58"/>
      <c r="J267" s="1211">
        <f t="shared" si="89"/>
        <v>0.77251925587374948</v>
      </c>
      <c r="K267" s="1364">
        <f>'Recycling - Case 3'!Z193</f>
        <v>3830.9006389526726</v>
      </c>
      <c r="L267" s="576">
        <f t="shared" si="94"/>
        <v>0.5</v>
      </c>
      <c r="M267" s="576">
        <f t="shared" si="90"/>
        <v>0.5</v>
      </c>
      <c r="N267" s="58">
        <f t="shared" si="81"/>
        <v>0</v>
      </c>
      <c r="O267" s="58">
        <f t="shared" si="81"/>
        <v>0</v>
      </c>
      <c r="P267" s="1365">
        <f t="shared" si="82"/>
        <v>1.5323602555810691</v>
      </c>
      <c r="Q267" s="1102">
        <f t="shared" si="83"/>
        <v>7.6618012779053455</v>
      </c>
      <c r="R267" s="58"/>
      <c r="S267" s="1211">
        <f t="shared" si="84"/>
        <v>0.45970807667432068</v>
      </c>
      <c r="T267" s="1198">
        <f t="shared" si="85"/>
        <v>4.1074244418269013</v>
      </c>
      <c r="U267" s="1613">
        <f t="shared" si="85"/>
        <v>20.537122209134502</v>
      </c>
      <c r="V267" s="1613">
        <f t="shared" si="85"/>
        <v>0</v>
      </c>
      <c r="W267" s="1200">
        <f t="shared" si="85"/>
        <v>1.2322273325480702</v>
      </c>
    </row>
    <row r="268" spans="1:23">
      <c r="A268" s="466">
        <f>'Input data'!A134</f>
        <v>2034</v>
      </c>
      <c r="B268" s="1366">
        <f>'Recycling - Case 3'!AI114</f>
        <v>6437.6604656145792</v>
      </c>
      <c r="C268" s="576">
        <f t="shared" si="93"/>
        <v>0.5</v>
      </c>
      <c r="D268" s="576">
        <f t="shared" si="86"/>
        <v>0.5</v>
      </c>
      <c r="E268" s="58">
        <v>0</v>
      </c>
      <c r="F268" s="58">
        <v>0</v>
      </c>
      <c r="G268" s="1365">
        <f t="shared" si="87"/>
        <v>2.5750641862458319</v>
      </c>
      <c r="H268" s="1102">
        <f t="shared" si="88"/>
        <v>12.875320931229158</v>
      </c>
      <c r="I268" s="58"/>
      <c r="J268" s="1211">
        <f t="shared" si="89"/>
        <v>0.77251925587374948</v>
      </c>
      <c r="K268" s="1364">
        <f>'Recycling - Case 3'!Z194</f>
        <v>3926.3322451557001</v>
      </c>
      <c r="L268" s="576">
        <f t="shared" si="94"/>
        <v>0.5</v>
      </c>
      <c r="M268" s="576">
        <f t="shared" si="90"/>
        <v>0.5</v>
      </c>
      <c r="N268" s="58">
        <f t="shared" ref="N268:O283" si="95">N130</f>
        <v>0</v>
      </c>
      <c r="O268" s="58">
        <f t="shared" si="95"/>
        <v>0</v>
      </c>
      <c r="P268" s="1365">
        <f t="shared" si="82"/>
        <v>1.5705328980622801</v>
      </c>
      <c r="Q268" s="1102">
        <f t="shared" si="83"/>
        <v>7.8526644903114002</v>
      </c>
      <c r="R268" s="58"/>
      <c r="S268" s="1211">
        <f t="shared" si="84"/>
        <v>0.47115986941868399</v>
      </c>
      <c r="T268" s="1198">
        <f t="shared" si="85"/>
        <v>4.145597084308112</v>
      </c>
      <c r="U268" s="1613">
        <f t="shared" si="85"/>
        <v>20.727985421540559</v>
      </c>
      <c r="V268" s="1613">
        <f t="shared" si="85"/>
        <v>0</v>
      </c>
      <c r="W268" s="1200">
        <f t="shared" si="85"/>
        <v>1.2436791252924335</v>
      </c>
    </row>
    <row r="269" spans="1:23">
      <c r="A269" s="466">
        <f>'Input data'!A135</f>
        <v>2035</v>
      </c>
      <c r="B269" s="1366">
        <f>'Recycling - Case 3'!AI115</f>
        <v>6437.6604656145792</v>
      </c>
      <c r="C269" s="576">
        <f t="shared" si="93"/>
        <v>0.5</v>
      </c>
      <c r="D269" s="576">
        <f t="shared" si="86"/>
        <v>0.5</v>
      </c>
      <c r="E269" s="58">
        <v>0</v>
      </c>
      <c r="F269" s="58">
        <v>0</v>
      </c>
      <c r="G269" s="1365">
        <f t="shared" si="87"/>
        <v>2.5750641862458319</v>
      </c>
      <c r="H269" s="1102">
        <f t="shared" si="88"/>
        <v>12.875320931229158</v>
      </c>
      <c r="I269" s="58"/>
      <c r="J269" s="1211">
        <f t="shared" si="89"/>
        <v>0.77251925587374948</v>
      </c>
      <c r="K269" s="1364">
        <f>'Recycling - Case 3'!Z195</f>
        <v>4002.4905052646268</v>
      </c>
      <c r="L269" s="576">
        <f t="shared" si="94"/>
        <v>0.5</v>
      </c>
      <c r="M269" s="576">
        <f t="shared" si="90"/>
        <v>0.5</v>
      </c>
      <c r="N269" s="58">
        <f t="shared" si="95"/>
        <v>0</v>
      </c>
      <c r="O269" s="58">
        <f t="shared" si="95"/>
        <v>0</v>
      </c>
      <c r="P269" s="1365">
        <f t="shared" si="82"/>
        <v>1.6009962021058508</v>
      </c>
      <c r="Q269" s="1102">
        <f t="shared" si="83"/>
        <v>8.0049810105292529</v>
      </c>
      <c r="R269" s="58"/>
      <c r="S269" s="1211">
        <f t="shared" si="84"/>
        <v>0.4802988606317552</v>
      </c>
      <c r="T269" s="1198">
        <f t="shared" si="85"/>
        <v>4.1760603883516829</v>
      </c>
      <c r="U269" s="1613">
        <f t="shared" si="85"/>
        <v>20.880301941758411</v>
      </c>
      <c r="V269" s="1613">
        <f t="shared" si="85"/>
        <v>0</v>
      </c>
      <c r="W269" s="1200">
        <f t="shared" si="85"/>
        <v>1.2528181165055048</v>
      </c>
    </row>
    <row r="270" spans="1:23">
      <c r="A270" s="466">
        <f>'Input data'!A136</f>
        <v>2036</v>
      </c>
      <c r="B270" s="1366">
        <f>'Recycling - Case 3'!AI116</f>
        <v>6437.6604656145792</v>
      </c>
      <c r="C270" s="576">
        <f t="shared" si="93"/>
        <v>0.5</v>
      </c>
      <c r="D270" s="576">
        <f t="shared" si="86"/>
        <v>0.5</v>
      </c>
      <c r="E270" s="58">
        <v>0</v>
      </c>
      <c r="F270" s="58">
        <v>0</v>
      </c>
      <c r="G270" s="1365">
        <f t="shared" si="87"/>
        <v>2.5750641862458319</v>
      </c>
      <c r="H270" s="1102">
        <f t="shared" si="88"/>
        <v>12.875320931229158</v>
      </c>
      <c r="I270" s="58"/>
      <c r="J270" s="1211">
        <f t="shared" si="89"/>
        <v>0.77251925587374948</v>
      </c>
      <c r="K270" s="1364">
        <f>'Recycling - Case 3'!Z196</f>
        <v>4078.7466272155002</v>
      </c>
      <c r="L270" s="576">
        <f t="shared" si="94"/>
        <v>0.5</v>
      </c>
      <c r="M270" s="576">
        <f t="shared" si="90"/>
        <v>0.5</v>
      </c>
      <c r="N270" s="58">
        <f t="shared" si="95"/>
        <v>0</v>
      </c>
      <c r="O270" s="58">
        <f t="shared" si="95"/>
        <v>0</v>
      </c>
      <c r="P270" s="1365">
        <f t="shared" si="82"/>
        <v>1.6314986508862002</v>
      </c>
      <c r="Q270" s="1102">
        <f t="shared" si="83"/>
        <v>8.1574932544310013</v>
      </c>
      <c r="R270" s="58"/>
      <c r="S270" s="1211">
        <f t="shared" si="84"/>
        <v>0.48944959526586002</v>
      </c>
      <c r="T270" s="1198">
        <f t="shared" si="85"/>
        <v>4.2065628371320321</v>
      </c>
      <c r="U270" s="1613">
        <f t="shared" si="85"/>
        <v>21.032814185660158</v>
      </c>
      <c r="V270" s="1613">
        <f t="shared" si="85"/>
        <v>0</v>
      </c>
      <c r="W270" s="1200">
        <f t="shared" si="85"/>
        <v>1.2619688511396094</v>
      </c>
    </row>
    <row r="271" spans="1:23">
      <c r="A271" s="466">
        <f>'Input data'!A137</f>
        <v>2037</v>
      </c>
      <c r="B271" s="1366">
        <f>'Recycling - Case 3'!AI117</f>
        <v>6437.6604656145792</v>
      </c>
      <c r="C271" s="576">
        <f t="shared" si="93"/>
        <v>0.5</v>
      </c>
      <c r="D271" s="576">
        <f t="shared" si="86"/>
        <v>0.5</v>
      </c>
      <c r="E271" s="58">
        <v>0</v>
      </c>
      <c r="F271" s="58">
        <v>0</v>
      </c>
      <c r="G271" s="1365">
        <f t="shared" si="87"/>
        <v>2.5750641862458319</v>
      </c>
      <c r="H271" s="1102">
        <f t="shared" si="88"/>
        <v>12.875320931229158</v>
      </c>
      <c r="I271" s="58"/>
      <c r="J271" s="1211">
        <f t="shared" si="89"/>
        <v>0.77251925587374948</v>
      </c>
      <c r="K271" s="1364">
        <f>'Recycling - Case 3'!Z197</f>
        <v>4167.9694432240412</v>
      </c>
      <c r="L271" s="576">
        <f t="shared" si="94"/>
        <v>0.5</v>
      </c>
      <c r="M271" s="576">
        <f t="shared" si="90"/>
        <v>0.5</v>
      </c>
      <c r="N271" s="58">
        <f t="shared" si="95"/>
        <v>0</v>
      </c>
      <c r="O271" s="58">
        <f t="shared" si="95"/>
        <v>0</v>
      </c>
      <c r="P271" s="1365">
        <f t="shared" si="82"/>
        <v>1.6671877772896166</v>
      </c>
      <c r="Q271" s="1102">
        <f t="shared" si="83"/>
        <v>8.3359388864480817</v>
      </c>
      <c r="R271" s="58"/>
      <c r="S271" s="1211">
        <f t="shared" si="84"/>
        <v>0.5001563331868849</v>
      </c>
      <c r="T271" s="1198">
        <f t="shared" si="85"/>
        <v>4.2422519635354483</v>
      </c>
      <c r="U271" s="1613">
        <f t="shared" si="85"/>
        <v>21.211259817677238</v>
      </c>
      <c r="V271" s="1613">
        <f t="shared" si="85"/>
        <v>0</v>
      </c>
      <c r="W271" s="1200">
        <f t="shared" si="85"/>
        <v>1.2726755890606345</v>
      </c>
    </row>
    <row r="272" spans="1:23">
      <c r="A272" s="466">
        <f>'Input data'!A138</f>
        <v>2038</v>
      </c>
      <c r="B272" s="1366">
        <f>'Recycling - Case 3'!AI118</f>
        <v>6437.6604656145792</v>
      </c>
      <c r="C272" s="576">
        <f t="shared" si="93"/>
        <v>0.5</v>
      </c>
      <c r="D272" s="576">
        <f t="shared" si="86"/>
        <v>0.5</v>
      </c>
      <c r="E272" s="58">
        <v>0</v>
      </c>
      <c r="F272" s="58">
        <v>0</v>
      </c>
      <c r="G272" s="1365">
        <f t="shared" si="87"/>
        <v>2.5750641862458319</v>
      </c>
      <c r="H272" s="1102">
        <f t="shared" si="88"/>
        <v>12.875320931229158</v>
      </c>
      <c r="I272" s="58"/>
      <c r="J272" s="1211">
        <f t="shared" si="89"/>
        <v>0.77251925587374948</v>
      </c>
      <c r="K272" s="1364">
        <f>'Recycling - Case 3'!Z198</f>
        <v>4255.0991031687627</v>
      </c>
      <c r="L272" s="576">
        <f t="shared" si="94"/>
        <v>0.5</v>
      </c>
      <c r="M272" s="576">
        <f t="shared" si="90"/>
        <v>0.5</v>
      </c>
      <c r="N272" s="58">
        <f t="shared" si="95"/>
        <v>0</v>
      </c>
      <c r="O272" s="58">
        <f t="shared" si="95"/>
        <v>0</v>
      </c>
      <c r="P272" s="1365">
        <f t="shared" si="82"/>
        <v>1.7020396412675052</v>
      </c>
      <c r="Q272" s="1102">
        <f t="shared" si="83"/>
        <v>8.5101982063375257</v>
      </c>
      <c r="R272" s="58"/>
      <c r="S272" s="1211">
        <f t="shared" si="84"/>
        <v>0.51061189238025151</v>
      </c>
      <c r="T272" s="1198">
        <f t="shared" si="85"/>
        <v>4.2771038275133373</v>
      </c>
      <c r="U272" s="1613">
        <f t="shared" si="85"/>
        <v>21.385519137566682</v>
      </c>
      <c r="V272" s="1613">
        <f t="shared" si="85"/>
        <v>0</v>
      </c>
      <c r="W272" s="1200">
        <f t="shared" si="85"/>
        <v>1.2831311482540011</v>
      </c>
    </row>
    <row r="273" spans="1:23">
      <c r="A273" s="466">
        <f>'Input data'!A139</f>
        <v>2039</v>
      </c>
      <c r="B273" s="1366">
        <f>'Recycling - Case 3'!AI119</f>
        <v>6437.6604656145792</v>
      </c>
      <c r="C273" s="576">
        <f t="shared" si="93"/>
        <v>0.5</v>
      </c>
      <c r="D273" s="576">
        <f t="shared" si="86"/>
        <v>0.5</v>
      </c>
      <c r="E273" s="58">
        <v>0</v>
      </c>
      <c r="F273" s="58">
        <v>0</v>
      </c>
      <c r="G273" s="1365">
        <f t="shared" si="87"/>
        <v>2.5750641862458319</v>
      </c>
      <c r="H273" s="1102">
        <f t="shared" si="88"/>
        <v>12.875320931229158</v>
      </c>
      <c r="I273" s="58"/>
      <c r="J273" s="1211">
        <f t="shared" si="89"/>
        <v>0.77251925587374948</v>
      </c>
      <c r="K273" s="1364">
        <f>'Recycling - Case 3'!Z199</f>
        <v>4348.4810474599535</v>
      </c>
      <c r="L273" s="576">
        <f t="shared" si="94"/>
        <v>0.5</v>
      </c>
      <c r="M273" s="576">
        <f t="shared" si="90"/>
        <v>0.5</v>
      </c>
      <c r="N273" s="58">
        <f t="shared" si="95"/>
        <v>0</v>
      </c>
      <c r="O273" s="58">
        <f t="shared" si="95"/>
        <v>0</v>
      </c>
      <c r="P273" s="1365">
        <f t="shared" si="82"/>
        <v>1.7393924189839816</v>
      </c>
      <c r="Q273" s="1102">
        <f t="shared" si="83"/>
        <v>8.6969620949199076</v>
      </c>
      <c r="R273" s="58"/>
      <c r="S273" s="1211">
        <f t="shared" si="84"/>
        <v>0.52181772569519447</v>
      </c>
      <c r="T273" s="1198">
        <f t="shared" si="85"/>
        <v>4.3144566052298137</v>
      </c>
      <c r="U273" s="1613">
        <f t="shared" si="85"/>
        <v>21.572283026149066</v>
      </c>
      <c r="V273" s="1613">
        <f t="shared" si="85"/>
        <v>0</v>
      </c>
      <c r="W273" s="1200">
        <f t="shared" si="85"/>
        <v>1.2943369815689438</v>
      </c>
    </row>
    <row r="274" spans="1:23">
      <c r="A274" s="466">
        <f>'Input data'!A140</f>
        <v>2040</v>
      </c>
      <c r="B274" s="1366">
        <f>'Recycling - Case 3'!AI120</f>
        <v>6437.6604656145792</v>
      </c>
      <c r="C274" s="576">
        <f t="shared" si="93"/>
        <v>0.5</v>
      </c>
      <c r="D274" s="576">
        <f t="shared" si="86"/>
        <v>0.5</v>
      </c>
      <c r="E274" s="58">
        <v>0</v>
      </c>
      <c r="F274" s="58">
        <v>0</v>
      </c>
      <c r="G274" s="1365">
        <f t="shared" si="87"/>
        <v>2.5750641862458319</v>
      </c>
      <c r="H274" s="1102">
        <f t="shared" si="88"/>
        <v>12.875320931229158</v>
      </c>
      <c r="I274" s="58"/>
      <c r="J274" s="1211">
        <f t="shared" si="89"/>
        <v>0.77251925587374948</v>
      </c>
      <c r="K274" s="1364">
        <f>'Recycling - Case 3'!Z200</f>
        <v>4442.1783243529617</v>
      </c>
      <c r="L274" s="576">
        <f t="shared" si="94"/>
        <v>0.5</v>
      </c>
      <c r="M274" s="576">
        <f t="shared" si="90"/>
        <v>0.5</v>
      </c>
      <c r="N274" s="58">
        <f t="shared" si="95"/>
        <v>0</v>
      </c>
      <c r="O274" s="58">
        <f t="shared" si="95"/>
        <v>0</v>
      </c>
      <c r="P274" s="1365">
        <f t="shared" si="82"/>
        <v>1.7768713297411849</v>
      </c>
      <c r="Q274" s="1102">
        <f t="shared" si="83"/>
        <v>8.8843566487059231</v>
      </c>
      <c r="R274" s="58"/>
      <c r="S274" s="1211">
        <f t="shared" si="84"/>
        <v>0.53306139892235538</v>
      </c>
      <c r="T274" s="1198">
        <f t="shared" si="85"/>
        <v>4.3519355159870168</v>
      </c>
      <c r="U274" s="1613">
        <f t="shared" si="85"/>
        <v>21.759677579935079</v>
      </c>
      <c r="V274" s="1613">
        <f t="shared" si="85"/>
        <v>0</v>
      </c>
      <c r="W274" s="1200">
        <f t="shared" si="85"/>
        <v>1.3055806547961049</v>
      </c>
    </row>
    <row r="275" spans="1:23">
      <c r="A275" s="466">
        <f>'Input data'!A141</f>
        <v>2041</v>
      </c>
      <c r="B275" s="1366">
        <f>'Recycling - Case 3'!AI121</f>
        <v>6437.6604656145792</v>
      </c>
      <c r="C275" s="576">
        <f t="shared" si="93"/>
        <v>0.5</v>
      </c>
      <c r="D275" s="576">
        <f t="shared" si="86"/>
        <v>0.5</v>
      </c>
      <c r="E275" s="58">
        <v>0</v>
      </c>
      <c r="F275" s="58">
        <v>0</v>
      </c>
      <c r="G275" s="1365">
        <f t="shared" si="87"/>
        <v>2.5750641862458319</v>
      </c>
      <c r="H275" s="1102">
        <f t="shared" si="88"/>
        <v>12.875320931229158</v>
      </c>
      <c r="I275" s="58"/>
      <c r="J275" s="1211">
        <f t="shared" si="89"/>
        <v>0.77251925587374948</v>
      </c>
      <c r="K275" s="1364">
        <f>'Recycling - Case 3'!Z201</f>
        <v>4547.532033975378</v>
      </c>
      <c r="L275" s="576">
        <f t="shared" si="94"/>
        <v>0.5</v>
      </c>
      <c r="M275" s="576">
        <f t="shared" si="90"/>
        <v>0.5</v>
      </c>
      <c r="N275" s="58">
        <f t="shared" si="95"/>
        <v>0</v>
      </c>
      <c r="O275" s="58">
        <f t="shared" si="95"/>
        <v>0</v>
      </c>
      <c r="P275" s="1365">
        <f t="shared" si="82"/>
        <v>1.8190128135901513</v>
      </c>
      <c r="Q275" s="1102">
        <f t="shared" si="83"/>
        <v>9.0950640679507568</v>
      </c>
      <c r="R275" s="58"/>
      <c r="S275" s="1211">
        <f t="shared" si="84"/>
        <v>0.54570384407704531</v>
      </c>
      <c r="T275" s="1198">
        <f t="shared" si="85"/>
        <v>4.394076999835983</v>
      </c>
      <c r="U275" s="1613">
        <f t="shared" si="85"/>
        <v>21.970384999179913</v>
      </c>
      <c r="V275" s="1613">
        <f t="shared" si="85"/>
        <v>0</v>
      </c>
      <c r="W275" s="1200">
        <f t="shared" si="85"/>
        <v>1.3182230999507949</v>
      </c>
    </row>
    <row r="276" spans="1:23">
      <c r="A276" s="466">
        <f>'Input data'!A142</f>
        <v>2042</v>
      </c>
      <c r="B276" s="1366">
        <f>'Recycling - Case 3'!AI122</f>
        <v>6437.6604656145792</v>
      </c>
      <c r="C276" s="576">
        <f t="shared" si="93"/>
        <v>0.5</v>
      </c>
      <c r="D276" s="576">
        <f t="shared" si="86"/>
        <v>0.5</v>
      </c>
      <c r="E276" s="58">
        <v>0</v>
      </c>
      <c r="F276" s="58">
        <v>0</v>
      </c>
      <c r="G276" s="1365">
        <f t="shared" si="87"/>
        <v>2.5750641862458319</v>
      </c>
      <c r="H276" s="1102">
        <f t="shared" si="88"/>
        <v>12.875320931229158</v>
      </c>
      <c r="I276" s="58"/>
      <c r="J276" s="1211">
        <f t="shared" si="89"/>
        <v>0.77251925587374948</v>
      </c>
      <c r="K276" s="1364">
        <f>'Recycling - Case 3'!Z202</f>
        <v>4654.5439581418577</v>
      </c>
      <c r="L276" s="576">
        <f t="shared" si="94"/>
        <v>0.5</v>
      </c>
      <c r="M276" s="576">
        <f t="shared" si="90"/>
        <v>0.5</v>
      </c>
      <c r="N276" s="58">
        <f t="shared" si="95"/>
        <v>0</v>
      </c>
      <c r="O276" s="58">
        <f t="shared" si="95"/>
        <v>0</v>
      </c>
      <c r="P276" s="1365">
        <f t="shared" si="82"/>
        <v>1.8618175832567432</v>
      </c>
      <c r="Q276" s="1102">
        <f t="shared" si="83"/>
        <v>9.3090879162837155</v>
      </c>
      <c r="R276" s="58"/>
      <c r="S276" s="1211">
        <f t="shared" si="84"/>
        <v>0.55854527497702289</v>
      </c>
      <c r="T276" s="1198">
        <f t="shared" si="85"/>
        <v>4.4368817695025751</v>
      </c>
      <c r="U276" s="1613">
        <f t="shared" si="85"/>
        <v>22.184408847512874</v>
      </c>
      <c r="V276" s="1613">
        <f t="shared" si="85"/>
        <v>0</v>
      </c>
      <c r="W276" s="1200">
        <f t="shared" si="85"/>
        <v>1.3310645308507723</v>
      </c>
    </row>
    <row r="277" spans="1:23">
      <c r="A277" s="466">
        <f>'Input data'!A143</f>
        <v>2043</v>
      </c>
      <c r="B277" s="1366">
        <f>'Recycling - Case 3'!AI123</f>
        <v>6437.6604656145792</v>
      </c>
      <c r="C277" s="576">
        <f t="shared" si="93"/>
        <v>0.5</v>
      </c>
      <c r="D277" s="576">
        <f t="shared" si="86"/>
        <v>0.5</v>
      </c>
      <c r="E277" s="58">
        <v>0</v>
      </c>
      <c r="F277" s="58">
        <v>0</v>
      </c>
      <c r="G277" s="1365">
        <f t="shared" si="87"/>
        <v>2.5750641862458319</v>
      </c>
      <c r="H277" s="1102">
        <f t="shared" si="88"/>
        <v>12.875320931229158</v>
      </c>
      <c r="I277" s="58"/>
      <c r="J277" s="1211">
        <f t="shared" si="89"/>
        <v>0.77251925587374948</v>
      </c>
      <c r="K277" s="1364">
        <f>'Recycling - Case 3'!Z203</f>
        <v>4764.3177609587738</v>
      </c>
      <c r="L277" s="576">
        <f t="shared" si="94"/>
        <v>0.5</v>
      </c>
      <c r="M277" s="576">
        <f t="shared" si="90"/>
        <v>0.5</v>
      </c>
      <c r="N277" s="58">
        <f t="shared" si="95"/>
        <v>0</v>
      </c>
      <c r="O277" s="58">
        <f t="shared" si="95"/>
        <v>0</v>
      </c>
      <c r="P277" s="1365">
        <f t="shared" si="82"/>
        <v>1.9057271043835096</v>
      </c>
      <c r="Q277" s="1102">
        <f t="shared" si="83"/>
        <v>9.5286355219175469</v>
      </c>
      <c r="R277" s="58"/>
      <c r="S277" s="1211">
        <f t="shared" si="84"/>
        <v>0.57171813131505278</v>
      </c>
      <c r="T277" s="1198">
        <f t="shared" si="85"/>
        <v>4.480791290629341</v>
      </c>
      <c r="U277" s="1613">
        <f t="shared" si="85"/>
        <v>22.403956453146705</v>
      </c>
      <c r="V277" s="1613">
        <f t="shared" si="85"/>
        <v>0</v>
      </c>
      <c r="W277" s="1200">
        <f t="shared" si="85"/>
        <v>1.3442373871888023</v>
      </c>
    </row>
    <row r="278" spans="1:23">
      <c r="A278" s="466">
        <f>'Input data'!A144</f>
        <v>2044</v>
      </c>
      <c r="B278" s="1366">
        <f>'Recycling - Case 3'!AI124</f>
        <v>6437.6604656145792</v>
      </c>
      <c r="C278" s="576">
        <f t="shared" si="93"/>
        <v>0.5</v>
      </c>
      <c r="D278" s="576">
        <f t="shared" si="86"/>
        <v>0.5</v>
      </c>
      <c r="E278" s="58">
        <v>0</v>
      </c>
      <c r="F278" s="58">
        <v>0</v>
      </c>
      <c r="G278" s="1365">
        <f t="shared" si="87"/>
        <v>2.5750641862458319</v>
      </c>
      <c r="H278" s="1102">
        <f t="shared" si="88"/>
        <v>12.875320931229158</v>
      </c>
      <c r="I278" s="58"/>
      <c r="J278" s="1211">
        <f t="shared" si="89"/>
        <v>0.77251925587374948</v>
      </c>
      <c r="K278" s="1364">
        <f>'Recycling - Case 3'!Z204</f>
        <v>4878.3539906692804</v>
      </c>
      <c r="L278" s="576">
        <f t="shared" si="94"/>
        <v>0.5</v>
      </c>
      <c r="M278" s="576">
        <f t="shared" si="90"/>
        <v>0.5</v>
      </c>
      <c r="N278" s="58">
        <f t="shared" si="95"/>
        <v>0</v>
      </c>
      <c r="O278" s="58">
        <f t="shared" si="95"/>
        <v>0</v>
      </c>
      <c r="P278" s="1365">
        <f t="shared" si="82"/>
        <v>1.9513415962677123</v>
      </c>
      <c r="Q278" s="1102">
        <f t="shared" si="83"/>
        <v>9.7567079813385611</v>
      </c>
      <c r="R278" s="58"/>
      <c r="S278" s="1211">
        <f t="shared" si="84"/>
        <v>0.5854024788803136</v>
      </c>
      <c r="T278" s="1198">
        <f t="shared" si="85"/>
        <v>4.5264057825135442</v>
      </c>
      <c r="U278" s="1613">
        <f t="shared" si="85"/>
        <v>22.632028912567719</v>
      </c>
      <c r="V278" s="1613">
        <f t="shared" si="85"/>
        <v>0</v>
      </c>
      <c r="W278" s="1200">
        <f t="shared" si="85"/>
        <v>1.3579217347540631</v>
      </c>
    </row>
    <row r="279" spans="1:23">
      <c r="A279" s="466">
        <f>'Input data'!A145</f>
        <v>2045</v>
      </c>
      <c r="B279" s="1366">
        <f>'Recycling - Case 3'!AI125</f>
        <v>6437.6604656145792</v>
      </c>
      <c r="C279" s="576">
        <f t="shared" si="93"/>
        <v>0.5</v>
      </c>
      <c r="D279" s="576">
        <f t="shared" si="86"/>
        <v>0.5</v>
      </c>
      <c r="E279" s="58">
        <v>0</v>
      </c>
      <c r="F279" s="58">
        <v>0</v>
      </c>
      <c r="G279" s="1365">
        <f t="shared" si="87"/>
        <v>2.5750641862458319</v>
      </c>
      <c r="H279" s="1102">
        <f t="shared" si="88"/>
        <v>12.875320931229158</v>
      </c>
      <c r="I279" s="58"/>
      <c r="J279" s="1211">
        <f t="shared" si="89"/>
        <v>0.77251925587374948</v>
      </c>
      <c r="K279" s="1364">
        <f>'Recycling - Case 3'!Z205</f>
        <v>4997.2071977110627</v>
      </c>
      <c r="L279" s="576">
        <f t="shared" si="94"/>
        <v>0.5</v>
      </c>
      <c r="M279" s="576">
        <f t="shared" si="90"/>
        <v>0.5</v>
      </c>
      <c r="N279" s="58">
        <f t="shared" si="95"/>
        <v>0</v>
      </c>
      <c r="O279" s="58">
        <f t="shared" si="95"/>
        <v>0</v>
      </c>
      <c r="P279" s="1365">
        <f t="shared" si="82"/>
        <v>1.9988828790844253</v>
      </c>
      <c r="Q279" s="1102">
        <f t="shared" si="83"/>
        <v>9.9944143954221261</v>
      </c>
      <c r="R279" s="58"/>
      <c r="S279" s="1211">
        <f t="shared" si="84"/>
        <v>0.59966486372532746</v>
      </c>
      <c r="T279" s="1198">
        <f t="shared" si="85"/>
        <v>4.5739470653302572</v>
      </c>
      <c r="U279" s="1613">
        <f t="shared" si="85"/>
        <v>22.869735326651284</v>
      </c>
      <c r="V279" s="1613">
        <f t="shared" si="85"/>
        <v>0</v>
      </c>
      <c r="W279" s="1200">
        <f t="shared" si="85"/>
        <v>1.3721841195990769</v>
      </c>
    </row>
    <row r="280" spans="1:23">
      <c r="A280" s="466">
        <f>'Input data'!A146</f>
        <v>2046</v>
      </c>
      <c r="B280" s="1366">
        <f>'Recycling - Case 3'!AI126</f>
        <v>6437.6604656145792</v>
      </c>
      <c r="C280" s="576">
        <f t="shared" si="93"/>
        <v>0.5</v>
      </c>
      <c r="D280" s="576">
        <f t="shared" si="86"/>
        <v>0.5</v>
      </c>
      <c r="E280" s="58">
        <v>0</v>
      </c>
      <c r="F280" s="58">
        <v>0</v>
      </c>
      <c r="G280" s="1365">
        <f t="shared" si="87"/>
        <v>2.5750641862458319</v>
      </c>
      <c r="H280" s="1102">
        <f t="shared" si="88"/>
        <v>12.875320931229158</v>
      </c>
      <c r="I280" s="58"/>
      <c r="J280" s="1211">
        <f t="shared" si="89"/>
        <v>0.77251925587374948</v>
      </c>
      <c r="K280" s="1364">
        <f>'Recycling - Case 3'!Z206</f>
        <v>5124.3025465521841</v>
      </c>
      <c r="L280" s="576">
        <f t="shared" si="94"/>
        <v>0.5</v>
      </c>
      <c r="M280" s="576">
        <f t="shared" si="90"/>
        <v>0.5</v>
      </c>
      <c r="N280" s="58">
        <f t="shared" si="95"/>
        <v>0</v>
      </c>
      <c r="O280" s="58">
        <f t="shared" si="95"/>
        <v>0</v>
      </c>
      <c r="P280" s="1365">
        <f t="shared" si="82"/>
        <v>2.0497210186208736</v>
      </c>
      <c r="Q280" s="1102">
        <f t="shared" si="83"/>
        <v>10.248605093104368</v>
      </c>
      <c r="R280" s="58"/>
      <c r="S280" s="1211">
        <f t="shared" si="84"/>
        <v>0.61491630558626209</v>
      </c>
      <c r="T280" s="1198">
        <f t="shared" si="85"/>
        <v>4.624785204866706</v>
      </c>
      <c r="U280" s="1613">
        <f t="shared" si="85"/>
        <v>23.123926024333528</v>
      </c>
      <c r="V280" s="1613">
        <f t="shared" si="85"/>
        <v>0</v>
      </c>
      <c r="W280" s="1200">
        <f t="shared" si="85"/>
        <v>1.3874355614600116</v>
      </c>
    </row>
    <row r="281" spans="1:23">
      <c r="A281" s="466">
        <f>'Input data'!A147</f>
        <v>2047</v>
      </c>
      <c r="B281" s="1366">
        <f>'Recycling - Case 3'!AI127</f>
        <v>6437.6604656145792</v>
      </c>
      <c r="C281" s="576">
        <f t="shared" si="93"/>
        <v>0.5</v>
      </c>
      <c r="D281" s="576">
        <f t="shared" si="86"/>
        <v>0.5</v>
      </c>
      <c r="E281" s="58">
        <v>0</v>
      </c>
      <c r="F281" s="58">
        <v>0</v>
      </c>
      <c r="G281" s="1365">
        <f t="shared" si="87"/>
        <v>2.5750641862458319</v>
      </c>
      <c r="H281" s="1102">
        <f t="shared" si="88"/>
        <v>12.875320931229158</v>
      </c>
      <c r="I281" s="58"/>
      <c r="J281" s="1211">
        <f t="shared" si="89"/>
        <v>0.77251925587374948</v>
      </c>
      <c r="K281" s="1364">
        <f>'Recycling - Case 3'!Z207</f>
        <v>5203.2226853115508</v>
      </c>
      <c r="L281" s="576">
        <f t="shared" si="94"/>
        <v>0.5</v>
      </c>
      <c r="M281" s="576">
        <f t="shared" si="90"/>
        <v>0.5</v>
      </c>
      <c r="N281" s="58">
        <f t="shared" si="95"/>
        <v>0</v>
      </c>
      <c r="O281" s="58">
        <f t="shared" si="95"/>
        <v>0</v>
      </c>
      <c r="P281" s="1365">
        <f t="shared" si="82"/>
        <v>2.0812890741246206</v>
      </c>
      <c r="Q281" s="1102">
        <f t="shared" si="83"/>
        <v>10.406445370623102</v>
      </c>
      <c r="R281" s="58"/>
      <c r="S281" s="1211">
        <f t="shared" si="84"/>
        <v>0.624386722237386</v>
      </c>
      <c r="T281" s="1198">
        <f t="shared" si="85"/>
        <v>4.6563532603704525</v>
      </c>
      <c r="U281" s="1613">
        <f t="shared" si="85"/>
        <v>23.281766301852258</v>
      </c>
      <c r="V281" s="1613">
        <f t="shared" si="85"/>
        <v>0</v>
      </c>
      <c r="W281" s="1200">
        <f t="shared" si="85"/>
        <v>1.3969059781111355</v>
      </c>
    </row>
    <row r="282" spans="1:23">
      <c r="A282" s="466">
        <f>'Input data'!A148</f>
        <v>2048</v>
      </c>
      <c r="B282" s="1366">
        <f>'Recycling - Case 3'!AI128</f>
        <v>6437.6604656145792</v>
      </c>
      <c r="C282" s="576">
        <f t="shared" si="93"/>
        <v>0.5</v>
      </c>
      <c r="D282" s="576">
        <f t="shared" si="86"/>
        <v>0.5</v>
      </c>
      <c r="E282" s="58">
        <v>0</v>
      </c>
      <c r="F282" s="58">
        <v>0</v>
      </c>
      <c r="G282" s="1365">
        <f t="shared" si="87"/>
        <v>2.5750641862458319</v>
      </c>
      <c r="H282" s="1102">
        <f t="shared" si="88"/>
        <v>12.875320931229158</v>
      </c>
      <c r="I282" s="58"/>
      <c r="J282" s="1211">
        <f t="shared" si="89"/>
        <v>0.77251925587374948</v>
      </c>
      <c r="K282" s="1364">
        <f>'Recycling - Case 3'!Z208</f>
        <v>5276.7441124569687</v>
      </c>
      <c r="L282" s="576">
        <f t="shared" si="94"/>
        <v>0.5</v>
      </c>
      <c r="M282" s="576">
        <f t="shared" si="90"/>
        <v>0.5</v>
      </c>
      <c r="N282" s="58">
        <f t="shared" si="95"/>
        <v>0</v>
      </c>
      <c r="O282" s="58">
        <f t="shared" si="95"/>
        <v>0</v>
      </c>
      <c r="P282" s="1365">
        <f t="shared" si="82"/>
        <v>2.1106976449827877</v>
      </c>
      <c r="Q282" s="1102">
        <f t="shared" si="83"/>
        <v>10.553488224913938</v>
      </c>
      <c r="R282" s="58"/>
      <c r="S282" s="1211">
        <f t="shared" si="84"/>
        <v>0.63320929349483612</v>
      </c>
      <c r="T282" s="1198">
        <f t="shared" si="85"/>
        <v>4.6857618312286196</v>
      </c>
      <c r="U282" s="1613">
        <f t="shared" si="85"/>
        <v>23.428809156143096</v>
      </c>
      <c r="V282" s="1613">
        <f t="shared" si="85"/>
        <v>0</v>
      </c>
      <c r="W282" s="1200">
        <f t="shared" si="85"/>
        <v>1.4057285493685856</v>
      </c>
    </row>
    <row r="283" spans="1:23">
      <c r="A283" s="466">
        <f>'Input data'!A149</f>
        <v>2049</v>
      </c>
      <c r="B283" s="1366">
        <f>'Recycling - Case 3'!AI129</f>
        <v>6437.6604656145792</v>
      </c>
      <c r="C283" s="576">
        <f t="shared" si="93"/>
        <v>0.5</v>
      </c>
      <c r="D283" s="576">
        <f t="shared" si="86"/>
        <v>0.5</v>
      </c>
      <c r="E283" s="58">
        <v>0</v>
      </c>
      <c r="F283" s="58">
        <v>0</v>
      </c>
      <c r="G283" s="1365">
        <f t="shared" si="87"/>
        <v>2.5750641862458319</v>
      </c>
      <c r="H283" s="1102">
        <f t="shared" si="88"/>
        <v>12.875320931229158</v>
      </c>
      <c r="I283" s="58"/>
      <c r="J283" s="1211">
        <f t="shared" si="89"/>
        <v>0.77251925587374948</v>
      </c>
      <c r="K283" s="1364">
        <f>'Recycling - Case 3'!Z209</f>
        <v>5349.9991379215398</v>
      </c>
      <c r="L283" s="576">
        <f t="shared" si="94"/>
        <v>0.5</v>
      </c>
      <c r="M283" s="576">
        <f t="shared" si="90"/>
        <v>0.5</v>
      </c>
      <c r="N283" s="58">
        <f t="shared" si="95"/>
        <v>0</v>
      </c>
      <c r="O283" s="58">
        <f t="shared" si="95"/>
        <v>0</v>
      </c>
      <c r="P283" s="1365">
        <f t="shared" si="82"/>
        <v>2.1399996551686158</v>
      </c>
      <c r="Q283" s="1102">
        <f t="shared" si="83"/>
        <v>10.699998275843079</v>
      </c>
      <c r="R283" s="58"/>
      <c r="S283" s="1211">
        <f t="shared" si="84"/>
        <v>0.64199989655058476</v>
      </c>
      <c r="T283" s="1198">
        <f t="shared" si="85"/>
        <v>4.7150638414144481</v>
      </c>
      <c r="U283" s="1613">
        <f t="shared" si="85"/>
        <v>23.575319207072237</v>
      </c>
      <c r="V283" s="1613">
        <f t="shared" si="85"/>
        <v>0</v>
      </c>
      <c r="W283" s="1200">
        <f t="shared" si="85"/>
        <v>1.4145191524243343</v>
      </c>
    </row>
    <row r="284" spans="1:23" ht="15.75" thickBot="1">
      <c r="A284" s="1363">
        <f>'Input data'!A150</f>
        <v>2050</v>
      </c>
      <c r="B284" s="1614">
        <f>'Recycling - Case 3'!AI130</f>
        <v>6437.6604656145792</v>
      </c>
      <c r="C284" s="578">
        <f t="shared" si="93"/>
        <v>0.5</v>
      </c>
      <c r="D284" s="578">
        <f t="shared" si="86"/>
        <v>0.5</v>
      </c>
      <c r="E284" s="1212">
        <v>0</v>
      </c>
      <c r="F284" s="1212">
        <v>0</v>
      </c>
      <c r="G284" s="1213">
        <f t="shared" si="87"/>
        <v>2.5750641862458319</v>
      </c>
      <c r="H284" s="1144">
        <f t="shared" si="88"/>
        <v>12.875320931229158</v>
      </c>
      <c r="I284" s="1212"/>
      <c r="J284" s="1214">
        <f t="shared" si="89"/>
        <v>0.77251925587374948</v>
      </c>
      <c r="K284" s="1485">
        <f>'Recycling - Case 3'!Z210</f>
        <v>5421.623132687032</v>
      </c>
      <c r="L284" s="578">
        <f t="shared" si="94"/>
        <v>0.5</v>
      </c>
      <c r="M284" s="578">
        <f t="shared" si="90"/>
        <v>0.5</v>
      </c>
      <c r="N284" s="1212">
        <f t="shared" ref="N284:O284" si="96">N146</f>
        <v>0</v>
      </c>
      <c r="O284" s="1212">
        <f t="shared" si="96"/>
        <v>0</v>
      </c>
      <c r="P284" s="1213">
        <f t="shared" si="82"/>
        <v>2.1686492530748129</v>
      </c>
      <c r="Q284" s="1144">
        <f t="shared" si="83"/>
        <v>10.843246265374065</v>
      </c>
      <c r="R284" s="1212"/>
      <c r="S284" s="1214">
        <f t="shared" si="84"/>
        <v>0.65059477592244375</v>
      </c>
      <c r="T284" s="1215">
        <f t="shared" si="85"/>
        <v>4.7437134393206453</v>
      </c>
      <c r="U284" s="1216">
        <f t="shared" si="85"/>
        <v>23.718567196603225</v>
      </c>
      <c r="V284" s="1216">
        <f t="shared" si="85"/>
        <v>0</v>
      </c>
      <c r="W284" s="1217">
        <f t="shared" si="85"/>
        <v>1.4231140317961932</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5"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6"/>
      <c r="AJ12" s="1386"/>
      <c r="AK12" s="1386"/>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6"/>
      <c r="AJ13" s="1386"/>
      <c r="AK13" s="1386"/>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6"/>
      <c r="AJ14" s="1386"/>
      <c r="AK14" s="1386"/>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6"/>
      <c r="AJ15" s="1386"/>
      <c r="AK15" s="1386"/>
    </row>
    <row r="16" spans="1:37">
      <c r="AB16" s="99"/>
      <c r="AC16" s="99"/>
      <c r="AD16" s="99"/>
      <c r="AE16" s="99"/>
      <c r="AF16" s="99"/>
      <c r="AG16" s="99"/>
      <c r="AH16" s="99"/>
      <c r="AI16" s="1386"/>
      <c r="AJ16" s="1386"/>
      <c r="AK16" s="1386"/>
    </row>
    <row r="17" spans="1:171" ht="15.75" thickBot="1">
      <c r="C17" s="1" t="s">
        <v>267</v>
      </c>
      <c r="AH17" s="1"/>
      <c r="AI17" s="1386"/>
      <c r="AJ17" s="1386"/>
      <c r="AK17" s="1386"/>
    </row>
    <row r="18" spans="1:171">
      <c r="A18" s="2005" t="s">
        <v>217</v>
      </c>
      <c r="B18" s="2003" t="str">
        <f>A4</f>
        <v>Fraction of the population  burning waste (Pfrac)</v>
      </c>
      <c r="C18" s="2000" t="s">
        <v>777</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6"/>
      <c r="AJ18" s="1386"/>
      <c r="AK18" s="1386"/>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6"/>
      <c r="AJ19" s="1386"/>
      <c r="AK19" s="1386"/>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6"/>
      <c r="AJ20" s="1386"/>
      <c r="AK20" s="1386"/>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6"/>
      <c r="AJ21" s="1386"/>
      <c r="AK21" s="1386"/>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6"/>
      <c r="AJ22" s="1386"/>
      <c r="AK22" s="1386"/>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6"/>
      <c r="AJ23" s="1386"/>
      <c r="AK23" s="1386"/>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6"/>
      <c r="AJ24" s="1386"/>
      <c r="AK24" s="1386"/>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6"/>
      <c r="AJ25" s="1386"/>
      <c r="AK25" s="1386"/>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6"/>
      <c r="AJ26" s="1386"/>
      <c r="AK26" s="1386"/>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6"/>
      <c r="AJ27" s="1386"/>
      <c r="AK27" s="1386"/>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6"/>
      <c r="AJ28" s="1386"/>
      <c r="AK28" s="1386"/>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6"/>
      <c r="AJ29" s="1386"/>
      <c r="AK29" s="1386"/>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6"/>
      <c r="AJ30" s="1386"/>
      <c r="AK30" s="1386"/>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6"/>
      <c r="AJ31" s="1386"/>
      <c r="AK31" s="1386"/>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6"/>
      <c r="AJ32" s="1386"/>
      <c r="AK32" s="1386"/>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6"/>
      <c r="AJ33" s="1386"/>
      <c r="AK33" s="1386"/>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6"/>
      <c r="AJ34" s="1386"/>
      <c r="AK34" s="1386"/>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6"/>
      <c r="AJ35" s="1386"/>
      <c r="AK35" s="1386"/>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6"/>
      <c r="AJ36" s="1386"/>
      <c r="AK36" s="1386"/>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6"/>
      <c r="AJ37" s="1386"/>
      <c r="AK37" s="1386"/>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6"/>
      <c r="AJ38" s="1386"/>
      <c r="AK38" s="1386"/>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6"/>
      <c r="AJ39" s="1386"/>
      <c r="AK39" s="1386"/>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6"/>
      <c r="AJ40" s="1386"/>
      <c r="AK40" s="1386"/>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6"/>
      <c r="AJ41" s="1386"/>
      <c r="AK41" s="1386"/>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6"/>
      <c r="AJ42" s="1386"/>
      <c r="AK42" s="1386"/>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6"/>
      <c r="AJ43" s="1386"/>
      <c r="AK43" s="1386"/>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6"/>
      <c r="AJ44" s="1386"/>
      <c r="AK44" s="1386"/>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6"/>
      <c r="AJ45" s="1386"/>
      <c r="AK45" s="1386"/>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6"/>
      <c r="AJ46" s="1386"/>
      <c r="AK46" s="1386"/>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6"/>
      <c r="AJ47" s="1386"/>
      <c r="AK47" s="1386"/>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6"/>
      <c r="AJ48" s="1386"/>
      <c r="AK48" s="1386"/>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6"/>
      <c r="AJ49" s="1386"/>
      <c r="AK49" s="1386"/>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6"/>
      <c r="AJ50" s="1386"/>
      <c r="AK50" s="1386"/>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6"/>
      <c r="AJ51" s="1386"/>
      <c r="AK51" s="1386"/>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6"/>
      <c r="AJ52" s="1386"/>
      <c r="AK52" s="1386"/>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6"/>
      <c r="AJ53" s="1386"/>
      <c r="AK53" s="1386"/>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6"/>
      <c r="AJ54" s="1386"/>
      <c r="AK54" s="1386"/>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6"/>
      <c r="AJ55" s="1386"/>
      <c r="AK55" s="1386"/>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6"/>
      <c r="AJ56" s="1386"/>
      <c r="AK56" s="1386"/>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6"/>
      <c r="AJ57" s="1386"/>
      <c r="AK57" s="1386"/>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6"/>
      <c r="AJ58" s="1386"/>
      <c r="AK58" s="1386"/>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6"/>
      <c r="AJ59" s="1386"/>
      <c r="AK59" s="1386"/>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6"/>
      <c r="AJ60" s="1386"/>
      <c r="AK60" s="1386"/>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6"/>
      <c r="AJ61" s="1386"/>
      <c r="AK61" s="1386"/>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6"/>
      <c r="AJ62" s="1386"/>
      <c r="AK62" s="1386"/>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6"/>
      <c r="AJ63" s="1386"/>
      <c r="AK63" s="1386"/>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6"/>
      <c r="AJ64" s="1386"/>
      <c r="AK64" s="1386"/>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6"/>
      <c r="AJ65" s="1386"/>
      <c r="AK65" s="1386"/>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6"/>
      <c r="AJ66" s="1386"/>
      <c r="AK66" s="1386"/>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6"/>
      <c r="AJ67" s="1386"/>
      <c r="AK67" s="1386"/>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6"/>
      <c r="AJ68" s="1386"/>
      <c r="AK68" s="1386"/>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6"/>
      <c r="AJ69" s="1386"/>
      <c r="AK69" s="1386"/>
      <c r="AL69" s="104"/>
      <c r="AQ69" s="99"/>
      <c r="AR69" s="99"/>
      <c r="AS69" s="99"/>
    </row>
    <row r="70" spans="1:45">
      <c r="A70" s="483">
        <f>'Input data'!A100</f>
        <v>2000</v>
      </c>
      <c r="B70" s="1367">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68">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4">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6"/>
      <c r="AJ70" s="418"/>
      <c r="AK70" s="528"/>
      <c r="AL70" s="528"/>
      <c r="AM70" s="775"/>
      <c r="AN70" s="775"/>
      <c r="AO70" s="775"/>
      <c r="AP70" s="775"/>
      <c r="AQ70" s="939"/>
      <c r="AR70" s="938"/>
      <c r="AS70" s="99"/>
    </row>
    <row r="71" spans="1:45">
      <c r="A71" s="489">
        <f>'Input data'!A101</f>
        <v>2001</v>
      </c>
      <c r="B71" s="1367">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2">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6"/>
      <c r="AJ71" s="418"/>
      <c r="AK71" s="528"/>
      <c r="AL71" s="528"/>
      <c r="AM71" s="775"/>
      <c r="AN71" s="775"/>
      <c r="AO71" s="775"/>
      <c r="AP71" s="775"/>
      <c r="AQ71" s="939"/>
      <c r="AR71" s="938"/>
      <c r="AS71" s="99"/>
    </row>
    <row r="72" spans="1:45">
      <c r="A72" s="489">
        <f>'Input data'!A102</f>
        <v>2002</v>
      </c>
      <c r="B72" s="1367">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2">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6"/>
      <c r="AJ72" s="418"/>
      <c r="AK72" s="528"/>
      <c r="AL72" s="528"/>
      <c r="AM72" s="775"/>
      <c r="AN72" s="775"/>
      <c r="AO72" s="775"/>
      <c r="AP72" s="775"/>
      <c r="AQ72" s="939"/>
      <c r="AR72" s="938"/>
      <c r="AS72" s="99"/>
    </row>
    <row r="73" spans="1:45">
      <c r="A73" s="489">
        <f>'Input data'!A103</f>
        <v>2003</v>
      </c>
      <c r="B73" s="1367">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2">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6"/>
      <c r="AJ73" s="418"/>
      <c r="AK73" s="528"/>
      <c r="AL73" s="528"/>
      <c r="AM73" s="775"/>
      <c r="AN73" s="775"/>
      <c r="AO73" s="775"/>
      <c r="AP73" s="775"/>
      <c r="AQ73" s="939"/>
      <c r="AR73" s="938"/>
      <c r="AS73" s="99"/>
    </row>
    <row r="74" spans="1:45">
      <c r="A74" s="489">
        <f>'Input data'!A104</f>
        <v>2004</v>
      </c>
      <c r="B74" s="1367">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2">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6"/>
      <c r="AJ74" s="418"/>
      <c r="AK74" s="528"/>
      <c r="AL74" s="528"/>
      <c r="AM74" s="775"/>
      <c r="AN74" s="775"/>
      <c r="AO74" s="775"/>
      <c r="AP74" s="775"/>
      <c r="AQ74" s="939"/>
      <c r="AR74" s="938"/>
      <c r="AS74" s="99"/>
    </row>
    <row r="75" spans="1:45">
      <c r="A75" s="489">
        <f>'Input data'!A105</f>
        <v>2005</v>
      </c>
      <c r="B75" s="1367">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2">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6"/>
      <c r="AJ75" s="418"/>
      <c r="AK75" s="528"/>
      <c r="AL75" s="528"/>
      <c r="AM75" s="775"/>
      <c r="AN75" s="775"/>
      <c r="AO75" s="775"/>
      <c r="AP75" s="775"/>
      <c r="AQ75" s="939"/>
      <c r="AR75" s="938"/>
      <c r="AS75" s="99"/>
    </row>
    <row r="76" spans="1:45">
      <c r="A76" s="489">
        <f>'Input data'!A106</f>
        <v>2006</v>
      </c>
      <c r="B76" s="1367">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2">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6"/>
      <c r="AJ76" s="418"/>
      <c r="AK76" s="528"/>
      <c r="AL76" s="528"/>
      <c r="AM76" s="775"/>
      <c r="AN76" s="775"/>
      <c r="AO76" s="775"/>
      <c r="AP76" s="775"/>
      <c r="AQ76" s="939"/>
      <c r="AR76" s="938"/>
      <c r="AS76" s="99"/>
    </row>
    <row r="77" spans="1:45">
      <c r="A77" s="489">
        <f>'Input data'!A107</f>
        <v>2007</v>
      </c>
      <c r="B77" s="1367">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2">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6"/>
      <c r="AJ77" s="418"/>
      <c r="AK77" s="528"/>
      <c r="AL77" s="528"/>
      <c r="AM77" s="775"/>
      <c r="AN77" s="775"/>
      <c r="AO77" s="775"/>
      <c r="AP77" s="775"/>
      <c r="AQ77" s="939"/>
      <c r="AR77" s="938"/>
      <c r="AS77" s="99"/>
    </row>
    <row r="78" spans="1:45">
      <c r="A78" s="489">
        <f>'Input data'!A108</f>
        <v>2008</v>
      </c>
      <c r="B78" s="1367">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2">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6"/>
      <c r="AJ78" s="418"/>
      <c r="AK78" s="528"/>
      <c r="AL78" s="528"/>
      <c r="AM78" s="775"/>
      <c r="AN78" s="775"/>
      <c r="AO78" s="775"/>
      <c r="AP78" s="775"/>
      <c r="AQ78" s="939"/>
      <c r="AR78" s="938"/>
      <c r="AS78" s="99"/>
    </row>
    <row r="79" spans="1:45">
      <c r="A79" s="489">
        <f>'Input data'!A109</f>
        <v>2009</v>
      </c>
      <c r="B79" s="1367">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2">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6"/>
      <c r="AJ79" s="418"/>
      <c r="AK79" s="528"/>
      <c r="AL79" s="528"/>
      <c r="AM79" s="775"/>
      <c r="AN79" s="775"/>
      <c r="AO79" s="775"/>
      <c r="AP79" s="775"/>
      <c r="AQ79" s="939"/>
      <c r="AR79" s="938"/>
      <c r="AS79" s="99"/>
    </row>
    <row r="80" spans="1:45">
      <c r="A80" s="489">
        <f>'Input data'!A110</f>
        <v>2010</v>
      </c>
      <c r="B80" s="1367">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2">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6"/>
      <c r="AJ80" s="418"/>
      <c r="AK80" s="528"/>
      <c r="AL80" s="528"/>
      <c r="AM80" s="775"/>
      <c r="AN80" s="775"/>
      <c r="AO80" s="775"/>
      <c r="AP80" s="775"/>
      <c r="AQ80" s="939"/>
      <c r="AR80" s="938"/>
      <c r="AS80" s="99"/>
    </row>
    <row r="81" spans="1:45">
      <c r="A81" s="489">
        <f>'Input data'!A111</f>
        <v>2011</v>
      </c>
      <c r="B81" s="1367">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2">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6"/>
      <c r="AJ81" s="418"/>
      <c r="AK81" s="528"/>
      <c r="AL81" s="528"/>
      <c r="AM81" s="775"/>
      <c r="AN81" s="775"/>
      <c r="AO81" s="775"/>
      <c r="AP81" s="775"/>
      <c r="AQ81" s="939"/>
      <c r="AR81" s="938"/>
      <c r="AS81" s="99"/>
    </row>
    <row r="82" spans="1:45">
      <c r="A82" s="489">
        <f>'Input data'!A112</f>
        <v>2012</v>
      </c>
      <c r="B82" s="1367">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2">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6"/>
      <c r="AJ82" s="418"/>
      <c r="AK82" s="528"/>
      <c r="AL82" s="528"/>
      <c r="AM82" s="775"/>
      <c r="AN82" s="775"/>
      <c r="AO82" s="775"/>
      <c r="AP82" s="775"/>
      <c r="AQ82" s="939"/>
      <c r="AR82" s="938"/>
      <c r="AS82" s="99"/>
    </row>
    <row r="83" spans="1:45">
      <c r="A83" s="489">
        <f>'Input data'!A113</f>
        <v>2013</v>
      </c>
      <c r="B83" s="1367">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2">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6"/>
      <c r="AJ83" s="418"/>
      <c r="AK83" s="528"/>
      <c r="AL83" s="528"/>
      <c r="AM83" s="775"/>
      <c r="AN83" s="775"/>
      <c r="AO83" s="775"/>
      <c r="AP83" s="775"/>
      <c r="AQ83" s="939"/>
      <c r="AR83" s="938"/>
      <c r="AS83" s="99"/>
    </row>
    <row r="84" spans="1:45">
      <c r="A84" s="489">
        <f>'Input data'!A114</f>
        <v>2014</v>
      </c>
      <c r="B84" s="1367">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2">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6"/>
      <c r="AJ84" s="418"/>
      <c r="AK84" s="528"/>
      <c r="AL84" s="528"/>
      <c r="AM84" s="775"/>
      <c r="AN84" s="775"/>
      <c r="AO84" s="775"/>
      <c r="AP84" s="775"/>
      <c r="AQ84" s="939"/>
      <c r="AR84" s="938"/>
      <c r="AS84" s="99"/>
    </row>
    <row r="85" spans="1:45">
      <c r="A85" s="489">
        <f>'Input data'!A115</f>
        <v>2015</v>
      </c>
      <c r="B85" s="1367">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2">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6"/>
      <c r="AJ85" s="418"/>
      <c r="AK85" s="528"/>
      <c r="AL85" s="528"/>
      <c r="AM85" s="775"/>
      <c r="AN85" s="775"/>
      <c r="AO85" s="775"/>
      <c r="AP85" s="775"/>
      <c r="AQ85" s="939"/>
      <c r="AR85" s="938"/>
      <c r="AS85" s="99"/>
    </row>
    <row r="86" spans="1:45">
      <c r="A86" s="489">
        <f>'Input data'!A116</f>
        <v>2016</v>
      </c>
      <c r="B86" s="1367">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2">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6"/>
      <c r="AJ86" s="418"/>
      <c r="AK86" s="528"/>
      <c r="AL86" s="528"/>
      <c r="AM86" s="775"/>
      <c r="AN86" s="775"/>
      <c r="AO86" s="775"/>
      <c r="AP86" s="775"/>
      <c r="AQ86" s="939"/>
      <c r="AR86" s="938"/>
      <c r="AS86" s="99"/>
    </row>
    <row r="87" spans="1:45" ht="15.75" thickBot="1">
      <c r="A87" s="489">
        <f>'Input data'!A117</f>
        <v>2017</v>
      </c>
      <c r="B87" s="1367">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69">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5">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6"/>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0"/>
      <c r="T88" s="1370"/>
      <c r="U88" s="1370"/>
      <c r="V88" s="1370"/>
      <c r="W88" s="1370"/>
      <c r="X88" s="1370"/>
      <c r="Y88" s="1370"/>
      <c r="Z88" s="1371"/>
      <c r="AA88" s="946"/>
      <c r="AB88" s="946"/>
      <c r="AC88" s="946"/>
      <c r="AD88" s="946"/>
      <c r="AE88" s="946"/>
      <c r="AF88" s="946"/>
      <c r="AG88" s="946"/>
      <c r="AH88" s="947"/>
      <c r="AI88" s="1386"/>
      <c r="AJ88" s="1386"/>
      <c r="AK88" s="1386"/>
      <c r="AQ88" s="99"/>
      <c r="AR88" s="99"/>
      <c r="AS88" s="99"/>
    </row>
    <row r="89" spans="1:45">
      <c r="A89" s="483">
        <f>'Input data'!A118</f>
        <v>2018</v>
      </c>
      <c r="B89" s="1631">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6">
        <f>'4C2 Open-burning '!C$14*'4C2 Open-burning '!$C$5*'4C2 Open-burning '!$C$6*'4C2 Open-burning '!$C$7*C89</f>
        <v>0</v>
      </c>
      <c r="L89" s="1376">
        <f>'4C2 Open-burning '!D$14*'4C2 Open-burning '!$C$5*'4C2 Open-burning '!$C$6*'4C2 Open-burning '!$C$7*D89</f>
        <v>0</v>
      </c>
      <c r="M89" s="1376">
        <f>'4C2 Open-burning '!E$14*'4C2 Open-burning '!$C$5*'4C2 Open-burning '!$C$6*'4C2 Open-burning '!$C$7*E89</f>
        <v>1.2412560579853615</v>
      </c>
      <c r="N89" s="1376">
        <f>'4C2 Open-burning '!F$14*'4C2 Open-burning '!$C$5*'4C2 Open-burning '!$C$6*'4C2 Open-burning '!$C$7*F89</f>
        <v>0</v>
      </c>
      <c r="O89" s="1376">
        <f>'4C2 Open-burning '!G$14*'4C2 Open-burning '!$C$5*'4C2 Open-burning '!$C$6*'4C2 Open-burning '!$C$7*G89</f>
        <v>0</v>
      </c>
      <c r="P89" s="1376">
        <f>'4C2 Open-burning '!H$14*'4C2 Open-burning '!$C$5*'4C2 Open-burning '!$C$6*'4C2 Open-burning '!$C$7*H89</f>
        <v>0</v>
      </c>
      <c r="Q89" s="1376">
        <f>'4C2 Open-burning '!I$14*'4C2 Open-burning '!$C$5*'4C2 Open-burning '!$C$6*'4C2 Open-burning '!$C$7*I89</f>
        <v>31.649248248935674</v>
      </c>
      <c r="R89" s="1377">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6"/>
      <c r="AJ89" s="1386"/>
      <c r="AK89" s="1386"/>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78">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6"/>
      <c r="AJ90" s="1386"/>
      <c r="AK90" s="1386"/>
    </row>
    <row r="91" spans="1:45">
      <c r="A91" s="489">
        <f>'Input data'!A120</f>
        <v>2020</v>
      </c>
      <c r="B91" s="122">
        <f>'Recycling - Case 1'!AP100</f>
        <v>0.11508504984105664</v>
      </c>
      <c r="C91" s="527">
        <f>$B91*'Recycling - Case 1'!BM100*'Recycling - Case 1'!$AK100</f>
        <v>781.4475281034745</v>
      </c>
      <c r="D91" s="528">
        <f>$B91*'Recycling - Case 1'!BN100*'Recycling - Case 1'!$AK100</f>
        <v>816.14788328133318</v>
      </c>
      <c r="E91" s="528">
        <f>$B91*'Recycling - Case 1'!BO100*'Recycling - Case 1'!$AK100</f>
        <v>222.91476327534983</v>
      </c>
      <c r="F91" s="528">
        <f>$B91*'Recycling - Case 1'!BP100*'Recycling - Case 1'!$AK100</f>
        <v>0</v>
      </c>
      <c r="G91" s="528">
        <f>$B91*'Recycling - Case 1'!BQ100*'Recycling - Case 1'!$AK100</f>
        <v>0</v>
      </c>
      <c r="H91" s="528">
        <f>$B91*'Recycling - Case 1'!BR100*'Recycling - Case 1'!$AK100</f>
        <v>0</v>
      </c>
      <c r="I91" s="528">
        <f>$B91*'Recycling - Case 1'!BS100*'Recycling - Case 1'!$AK100</f>
        <v>871.52013814253098</v>
      </c>
      <c r="J91" s="744">
        <f t="shared" si="11"/>
        <v>2692.0303128026885</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1.177578445068894</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30.025611799286473</v>
      </c>
      <c r="R91" s="1378">
        <f t="shared" si="8"/>
        <v>31.203190244355365</v>
      </c>
      <c r="S91" s="485">
        <f>C91*'4C2 Open-burning '!$C$9*'4C2 Open-burning '!$C$11*$C$5</f>
        <v>3.0476453596035507</v>
      </c>
      <c r="T91" s="485">
        <f>D91*'4C2 Open-burning '!$C$9*'4C2 Open-burning '!$C$11*$C$5</f>
        <v>3.1829767447971995</v>
      </c>
      <c r="U91" s="485">
        <f>E91*'4C2 Open-burning '!$C$9*'4C2 Open-burning '!$C$11*$C$5</f>
        <v>0.86936757677386434</v>
      </c>
      <c r="V91" s="485">
        <f>F91*'4C2 Open-burning '!$C$9*'4C2 Open-burning '!$C$11*$C$5</f>
        <v>0</v>
      </c>
      <c r="W91" s="485">
        <f>G91*'4C2 Open-burning '!$C$9*'4C2 Open-burning '!$C$11*$C$5</f>
        <v>0</v>
      </c>
      <c r="X91" s="485">
        <f>H91*'4C2 Open-burning '!$C$9*'4C2 Open-burning '!$C$11*$C$5</f>
        <v>0</v>
      </c>
      <c r="Y91" s="485">
        <f>I91*'4C2 Open-burning '!$C$9*'4C2 Open-burning '!$C$11*$C$5</f>
        <v>3.3989285387558708</v>
      </c>
      <c r="Z91" s="486">
        <f t="shared" si="9"/>
        <v>10.498918219930484</v>
      </c>
      <c r="AA91" s="487">
        <f>C91*'4C2 Open-burning '!$C$10*'4C2 Open-burning '!$C$11*$C$5*C$15</f>
        <v>2.8132111011725077E-2</v>
      </c>
      <c r="AB91" s="487">
        <f>D91*'4C2 Open-burning '!$C$10*'4C2 Open-burning '!$C$11*$C$5*D$15</f>
        <v>2.9381323798127995E-2</v>
      </c>
      <c r="AC91" s="487">
        <f>E91*'4C2 Open-burning '!$C$10*'4C2 Open-burning '!$C$11*$C$5*E$15</f>
        <v>1.8056095825303334E-2</v>
      </c>
      <c r="AD91" s="487">
        <f>F91*'4C2 Open-burning '!$C$10*'4C2 Open-burning '!$C$11*$C$5*F$15</f>
        <v>0</v>
      </c>
      <c r="AE91" s="487">
        <f>G91*'4C2 Open-burning '!$C$10*'4C2 Open-burning '!$C$11*$C$5*G$15</f>
        <v>0</v>
      </c>
      <c r="AF91" s="487">
        <f>H91*'4C2 Open-burning '!$C$10*'4C2 Open-burning '!$C$11*$C$5*H$15</f>
        <v>0</v>
      </c>
      <c r="AG91" s="487">
        <f>I91*'4C2 Open-burning '!$C$10*'4C2 Open-burning '!$C$11*$C$5*I$15</f>
        <v>7.0593131189545008E-2</v>
      </c>
      <c r="AH91" s="488">
        <f t="shared" si="10"/>
        <v>0.14616266182470142</v>
      </c>
      <c r="AI91" s="1386"/>
      <c r="AJ91" s="1386"/>
      <c r="AK91" s="1386"/>
    </row>
    <row r="92" spans="1:45">
      <c r="A92" s="489">
        <f>'Input data'!A121</f>
        <v>2021</v>
      </c>
      <c r="B92" s="122">
        <f>'Recycling - Case 1'!AP101</f>
        <v>0.11279991492031517</v>
      </c>
      <c r="C92" s="527">
        <f>$B92*'Recycling - Case 1'!BM101*'Recycling - Case 1'!$AK101</f>
        <v>760.97472406644397</v>
      </c>
      <c r="D92" s="528">
        <f>$B92*'Recycling - Case 1'!BN101*'Recycling - Case 1'!$AK101</f>
        <v>794.76597972575166</v>
      </c>
      <c r="E92" s="528">
        <f>$B92*'Recycling - Case 1'!BO101*'Recycling - Case 1'!$AK101</f>
        <v>217.07471630946702</v>
      </c>
      <c r="F92" s="528">
        <f>$B92*'Recycling - Case 1'!BP101*'Recycling - Case 1'!$AK101</f>
        <v>0</v>
      </c>
      <c r="G92" s="528">
        <f>$B92*'Recycling - Case 1'!BQ101*'Recycling - Case 1'!$AK101</f>
        <v>0</v>
      </c>
      <c r="H92" s="528">
        <f>$B92*'Recycling - Case 1'!BR101*'Recycling - Case 1'!$AK101</f>
        <v>0</v>
      </c>
      <c r="I92" s="528">
        <f>$B92*'Recycling - Case 1'!BS101*'Recycling - Case 1'!$AK101</f>
        <v>848.68756095616448</v>
      </c>
      <c r="J92" s="744">
        <f t="shared" si="11"/>
        <v>2621.5029810578271</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1.1467275793650429</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29.238983850061775</v>
      </c>
      <c r="R92" s="1378">
        <f t="shared" si="8"/>
        <v>30.385711429426816</v>
      </c>
      <c r="S92" s="485">
        <f>C92*'4C2 Open-burning '!$C$9*'4C2 Open-burning '!$C$11*$C$5</f>
        <v>2.9678014238591315</v>
      </c>
      <c r="T92" s="485">
        <f>D92*'4C2 Open-burning '!$C$9*'4C2 Open-burning '!$C$11*$C$5</f>
        <v>3.0995873209304308</v>
      </c>
      <c r="U92" s="485">
        <f>E92*'4C2 Open-burning '!$C$9*'4C2 Open-burning '!$C$11*$C$5</f>
        <v>0.84659139360692126</v>
      </c>
      <c r="V92" s="485">
        <f>F92*'4C2 Open-burning '!$C$9*'4C2 Open-burning '!$C$11*$C$5</f>
        <v>0</v>
      </c>
      <c r="W92" s="485">
        <f>G92*'4C2 Open-burning '!$C$9*'4C2 Open-burning '!$C$11*$C$5</f>
        <v>0</v>
      </c>
      <c r="X92" s="485">
        <f>H92*'4C2 Open-burning '!$C$9*'4C2 Open-burning '!$C$11*$C$5</f>
        <v>0</v>
      </c>
      <c r="Y92" s="485">
        <f>I92*'4C2 Open-burning '!$C$9*'4C2 Open-burning '!$C$11*$C$5</f>
        <v>3.3098814877290414</v>
      </c>
      <c r="Z92" s="486">
        <f t="shared" si="9"/>
        <v>10.223861626125526</v>
      </c>
      <c r="AA92" s="487">
        <f>C92*'4C2 Open-burning '!$C$10*'4C2 Open-burning '!$C$11*$C$5*C$15</f>
        <v>2.7395090066391983E-2</v>
      </c>
      <c r="AB92" s="487">
        <f>D92*'4C2 Open-burning '!$C$10*'4C2 Open-burning '!$C$11*$C$5*D$15</f>
        <v>2.8611575270127056E-2</v>
      </c>
      <c r="AC92" s="487">
        <f>E92*'4C2 Open-burning '!$C$10*'4C2 Open-burning '!$C$11*$C$5*E$15</f>
        <v>1.7583052021066827E-2</v>
      </c>
      <c r="AD92" s="487">
        <f>F92*'4C2 Open-burning '!$C$10*'4C2 Open-burning '!$C$11*$C$5*F$15</f>
        <v>0</v>
      </c>
      <c r="AE92" s="487">
        <f>G92*'4C2 Open-burning '!$C$10*'4C2 Open-burning '!$C$11*$C$5*G$15</f>
        <v>0</v>
      </c>
      <c r="AF92" s="487">
        <f>H92*'4C2 Open-burning '!$C$10*'4C2 Open-burning '!$C$11*$C$5*H$15</f>
        <v>0</v>
      </c>
      <c r="AG92" s="487">
        <f>I92*'4C2 Open-burning '!$C$10*'4C2 Open-burning '!$C$11*$C$5*I$15</f>
        <v>6.8743692437449322E-2</v>
      </c>
      <c r="AH92" s="488">
        <f t="shared" si="10"/>
        <v>0.14233340979503517</v>
      </c>
      <c r="AI92" s="1386"/>
      <c r="AJ92" s="1386"/>
      <c r="AK92" s="1386"/>
    </row>
    <row r="93" spans="1:45">
      <c r="A93" s="489">
        <f>'Input data'!A122</f>
        <v>2022</v>
      </c>
      <c r="B93" s="122">
        <f>'Recycling - Case 1'!AP102</f>
        <v>0.110394354381815</v>
      </c>
      <c r="C93" s="527">
        <f>$B93*'Recycling - Case 1'!BM102*'Recycling - Case 1'!$AK102</f>
        <v>740.88962264647228</v>
      </c>
      <c r="D93" s="528">
        <f>$B93*'Recycling - Case 1'!BN102*'Recycling - Case 1'!$AK102</f>
        <v>773.7889948100991</v>
      </c>
      <c r="E93" s="528">
        <f>$B93*'Recycling - Case 1'!BO102*'Recycling - Case 1'!$AK102</f>
        <v>211.34526491653682</v>
      </c>
      <c r="F93" s="528">
        <f>$B93*'Recycling - Case 1'!BP102*'Recycling - Case 1'!$AK102</f>
        <v>0</v>
      </c>
      <c r="G93" s="528">
        <f>$B93*'Recycling - Case 1'!BQ102*'Recycling - Case 1'!$AK102</f>
        <v>0</v>
      </c>
      <c r="H93" s="528">
        <f>$B93*'Recycling - Case 1'!BR102*'Recycling - Case 1'!$AK102</f>
        <v>0</v>
      </c>
      <c r="I93" s="528">
        <f>$B93*'Recycling - Case 1'!BS102*'Recycling - Case 1'!$AK102</f>
        <v>826.28737446299999</v>
      </c>
      <c r="J93" s="744">
        <f t="shared" si="11"/>
        <v>2552.311256836108</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1.116460950258694</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28.467252624999272</v>
      </c>
      <c r="R93" s="1378">
        <f t="shared" si="8"/>
        <v>29.583713575257967</v>
      </c>
      <c r="S93" s="485">
        <f>C93*'4C2 Open-burning '!$C$9*'4C2 Open-burning '!$C$11*$C$5</f>
        <v>2.8894695283212419</v>
      </c>
      <c r="T93" s="485">
        <f>D93*'4C2 Open-burning '!$C$9*'4C2 Open-burning '!$C$11*$C$5</f>
        <v>3.0177770797593859</v>
      </c>
      <c r="U93" s="485">
        <f>E93*'4C2 Open-burning '!$C$9*'4C2 Open-burning '!$C$11*$C$5</f>
        <v>0.82424653317449359</v>
      </c>
      <c r="V93" s="485">
        <f>F93*'4C2 Open-burning '!$C$9*'4C2 Open-burning '!$C$11*$C$5</f>
        <v>0</v>
      </c>
      <c r="W93" s="485">
        <f>G93*'4C2 Open-burning '!$C$9*'4C2 Open-burning '!$C$11*$C$5</f>
        <v>0</v>
      </c>
      <c r="X93" s="485">
        <f>H93*'4C2 Open-burning '!$C$9*'4C2 Open-burning '!$C$11*$C$5</f>
        <v>0</v>
      </c>
      <c r="Y93" s="485">
        <f>I93*'4C2 Open-burning '!$C$9*'4C2 Open-burning '!$C$11*$C$5</f>
        <v>3.2225207604056996</v>
      </c>
      <c r="Z93" s="486">
        <f t="shared" si="9"/>
        <v>9.9540139016608222</v>
      </c>
      <c r="AA93" s="487">
        <f>C93*'4C2 Open-burning '!$C$10*'4C2 Open-burning '!$C$11*$C$5*C$15</f>
        <v>2.6672026415273005E-2</v>
      </c>
      <c r="AB93" s="487">
        <f>D93*'4C2 Open-burning '!$C$10*'4C2 Open-burning '!$C$11*$C$5*D$15</f>
        <v>2.7856403813163563E-2</v>
      </c>
      <c r="AC93" s="487">
        <f>E93*'4C2 Open-burning '!$C$10*'4C2 Open-burning '!$C$11*$C$5*E$15</f>
        <v>1.711896645823948E-2</v>
      </c>
      <c r="AD93" s="487">
        <f>F93*'4C2 Open-burning '!$C$10*'4C2 Open-burning '!$C$11*$C$5*F$15</f>
        <v>0</v>
      </c>
      <c r="AE93" s="487">
        <f>G93*'4C2 Open-burning '!$C$10*'4C2 Open-burning '!$C$11*$C$5*G$15</f>
        <v>0</v>
      </c>
      <c r="AF93" s="487">
        <f>H93*'4C2 Open-burning '!$C$10*'4C2 Open-burning '!$C$11*$C$5*H$15</f>
        <v>0</v>
      </c>
      <c r="AG93" s="487">
        <f>I93*'4C2 Open-burning '!$C$10*'4C2 Open-burning '!$C$11*$C$5*I$15</f>
        <v>6.6929277331502987E-2</v>
      </c>
      <c r="AH93" s="488">
        <f t="shared" si="10"/>
        <v>0.13857667401817902</v>
      </c>
      <c r="AI93" s="1386"/>
      <c r="AJ93" s="1386"/>
      <c r="AK93" s="1386"/>
    </row>
    <row r="94" spans="1:45">
      <c r="A94" s="489">
        <f>'Input data'!A123</f>
        <v>2023</v>
      </c>
      <c r="B94" s="122">
        <f>'Recycling - Case 1'!AP103</f>
        <v>0.10789656887513863</v>
      </c>
      <c r="C94" s="527">
        <f>$B94*'Recycling - Case 1'!BM103*'Recycling - Case 1'!$AK103</f>
        <v>721.20756766838463</v>
      </c>
      <c r="D94" s="528">
        <f>$B94*'Recycling - Case 1'!BN103*'Recycling - Case 1'!$AK103</f>
        <v>753.23295370523022</v>
      </c>
      <c r="E94" s="528">
        <f>$B94*'Recycling - Case 1'!BO103*'Recycling - Case 1'!$AK103</f>
        <v>205.73078605720653</v>
      </c>
      <c r="F94" s="528">
        <f>$B94*'Recycling - Case 1'!BP103*'Recycling - Case 1'!$AK103</f>
        <v>0</v>
      </c>
      <c r="G94" s="528">
        <f>$B94*'Recycling - Case 1'!BQ103*'Recycling - Case 1'!$AK103</f>
        <v>0</v>
      </c>
      <c r="H94" s="528">
        <f>$B94*'Recycling - Case 1'!BR103*'Recycling - Case 1'!$AK103</f>
        <v>0</v>
      </c>
      <c r="I94" s="528">
        <f>$B94*'Recycling - Case 1'!BS103*'Recycling - Case 1'!$AK103</f>
        <v>804.33669107538719</v>
      </c>
      <c r="J94" s="744">
        <f t="shared" si="11"/>
        <v>2484.5079985062089</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1.0868016796572415</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27.711007680929235</v>
      </c>
      <c r="R94" s="1378">
        <f t="shared" si="8"/>
        <v>28.797809360586477</v>
      </c>
      <c r="S94" s="485">
        <f>C94*'4C2 Open-burning '!$C$9*'4C2 Open-burning '!$C$11*$C$5</f>
        <v>2.8127095139066998</v>
      </c>
      <c r="T94" s="485">
        <f>D94*'4C2 Open-burning '!$C$9*'4C2 Open-burning '!$C$11*$C$5</f>
        <v>2.9376085194503974</v>
      </c>
      <c r="U94" s="485">
        <f>E94*'4C2 Open-burning '!$C$9*'4C2 Open-burning '!$C$11*$C$5</f>
        <v>0.8023500656231054</v>
      </c>
      <c r="V94" s="485">
        <f>F94*'4C2 Open-burning '!$C$9*'4C2 Open-burning '!$C$11*$C$5</f>
        <v>0</v>
      </c>
      <c r="W94" s="485">
        <f>G94*'4C2 Open-burning '!$C$9*'4C2 Open-burning '!$C$11*$C$5</f>
        <v>0</v>
      </c>
      <c r="X94" s="485">
        <f>H94*'4C2 Open-burning '!$C$9*'4C2 Open-burning '!$C$11*$C$5</f>
        <v>0</v>
      </c>
      <c r="Y94" s="485">
        <f>I94*'4C2 Open-burning '!$C$9*'4C2 Open-burning '!$C$11*$C$5</f>
        <v>3.1369130951940094</v>
      </c>
      <c r="Z94" s="486">
        <f t="shared" si="9"/>
        <v>9.6895811941742114</v>
      </c>
      <c r="AA94" s="487">
        <f>C94*'4C2 Open-burning '!$C$10*'4C2 Open-burning '!$C$11*$C$5*C$15</f>
        <v>2.5963472436061841E-2</v>
      </c>
      <c r="AB94" s="487">
        <f>D94*'4C2 Open-burning '!$C$10*'4C2 Open-burning '!$C$11*$C$5*D$15</f>
        <v>2.7116386333388288E-2</v>
      </c>
      <c r="AC94" s="487">
        <f>E94*'4C2 Open-burning '!$C$10*'4C2 Open-burning '!$C$11*$C$5*E$15</f>
        <v>1.6664193670633726E-2</v>
      </c>
      <c r="AD94" s="487">
        <f>F94*'4C2 Open-burning '!$C$10*'4C2 Open-burning '!$C$11*$C$5*F$15</f>
        <v>0</v>
      </c>
      <c r="AE94" s="487">
        <f>G94*'4C2 Open-burning '!$C$10*'4C2 Open-burning '!$C$11*$C$5*G$15</f>
        <v>0</v>
      </c>
      <c r="AF94" s="487">
        <f>H94*'4C2 Open-burning '!$C$10*'4C2 Open-burning '!$C$11*$C$5*H$15</f>
        <v>0</v>
      </c>
      <c r="AG94" s="487">
        <f>I94*'4C2 Open-burning '!$C$10*'4C2 Open-burning '!$C$11*$C$5*I$15</f>
        <v>6.5151271977106365E-2</v>
      </c>
      <c r="AH94" s="488">
        <f t="shared" si="10"/>
        <v>0.13489532441719021</v>
      </c>
      <c r="AI94" s="1386"/>
      <c r="AJ94" s="1386"/>
      <c r="AK94" s="1386"/>
    </row>
    <row r="95" spans="1:45">
      <c r="A95" s="489">
        <f>'Input data'!A124</f>
        <v>2024</v>
      </c>
      <c r="B95" s="122">
        <f>'Recycling - Case 1'!AP104</f>
        <v>0.10531639873523729</v>
      </c>
      <c r="C95" s="527">
        <f>$B95*'Recycling - Case 1'!BM104*'Recycling - Case 1'!$AK104</f>
        <v>701.91288262991827</v>
      </c>
      <c r="D95" s="528">
        <f>$B95*'Recycling - Case 1'!BN104*'Recycling - Case 1'!$AK104</f>
        <v>733.08148379023532</v>
      </c>
      <c r="E95" s="528">
        <f>$B95*'Recycling - Case 1'!BO104*'Recycling - Case 1'!$AK104</f>
        <v>200.22680787167104</v>
      </c>
      <c r="F95" s="528">
        <f>$B95*'Recycling - Case 1'!BP104*'Recycling - Case 1'!$AK104</f>
        <v>0</v>
      </c>
      <c r="G95" s="528">
        <f>$B95*'Recycling - Case 1'!BQ104*'Recycling - Case 1'!$AK104</f>
        <v>0</v>
      </c>
      <c r="H95" s="528">
        <f>$B95*'Recycling - Case 1'!BR104*'Recycling - Case 1'!$AK104</f>
        <v>0</v>
      </c>
      <c r="I95" s="528">
        <f>$B95*'Recycling - Case 1'!BS104*'Recycling - Case 1'!$AK104</f>
        <v>782.81802735787369</v>
      </c>
      <c r="J95" s="744">
        <f t="shared" si="11"/>
        <v>2418.0392016496985</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1.0577261443352044</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26.969646678533461</v>
      </c>
      <c r="R95" s="1378">
        <f t="shared" si="8"/>
        <v>28.027372822868667</v>
      </c>
      <c r="S95" s="485">
        <f>C95*'4C2 Open-burning '!$C$9*'4C2 Open-burning '!$C$11*$C$5</f>
        <v>2.7374602422566809</v>
      </c>
      <c r="T95" s="485">
        <f>D95*'4C2 Open-burning '!$C$9*'4C2 Open-burning '!$C$11*$C$5</f>
        <v>2.8590177867819175</v>
      </c>
      <c r="U95" s="485">
        <f>E95*'4C2 Open-burning '!$C$9*'4C2 Open-burning '!$C$11*$C$5</f>
        <v>0.78088455069951701</v>
      </c>
      <c r="V95" s="485">
        <f>F95*'4C2 Open-burning '!$C$9*'4C2 Open-burning '!$C$11*$C$5</f>
        <v>0</v>
      </c>
      <c r="W95" s="485">
        <f>G95*'4C2 Open-burning '!$C$9*'4C2 Open-burning '!$C$11*$C$5</f>
        <v>0</v>
      </c>
      <c r="X95" s="485">
        <f>H95*'4C2 Open-burning '!$C$9*'4C2 Open-burning '!$C$11*$C$5</f>
        <v>0</v>
      </c>
      <c r="Y95" s="485">
        <f>I95*'4C2 Open-burning '!$C$9*'4C2 Open-burning '!$C$11*$C$5</f>
        <v>3.0529903066957069</v>
      </c>
      <c r="Z95" s="486">
        <f t="shared" si="9"/>
        <v>9.4303528864338215</v>
      </c>
      <c r="AA95" s="487">
        <f>C95*'4C2 Open-burning '!$C$10*'4C2 Open-burning '!$C$11*$C$5*C$15</f>
        <v>2.5268863774677054E-2</v>
      </c>
      <c r="AB95" s="487">
        <f>D95*'4C2 Open-burning '!$C$10*'4C2 Open-burning '!$C$11*$C$5*D$15</f>
        <v>2.6390933416448471E-2</v>
      </c>
      <c r="AC95" s="487">
        <f>E95*'4C2 Open-burning '!$C$10*'4C2 Open-burning '!$C$11*$C$5*E$15</f>
        <v>1.6218371437605354E-2</v>
      </c>
      <c r="AD95" s="487">
        <f>F95*'4C2 Open-burning '!$C$10*'4C2 Open-burning '!$C$11*$C$5*F$15</f>
        <v>0</v>
      </c>
      <c r="AE95" s="487">
        <f>G95*'4C2 Open-burning '!$C$10*'4C2 Open-burning '!$C$11*$C$5*G$15</f>
        <v>0</v>
      </c>
      <c r="AF95" s="487">
        <f>H95*'4C2 Open-burning '!$C$10*'4C2 Open-burning '!$C$11*$C$5*H$15</f>
        <v>0</v>
      </c>
      <c r="AG95" s="487">
        <f>I95*'4C2 Open-burning '!$C$10*'4C2 Open-burning '!$C$11*$C$5*I$15</f>
        <v>6.3408260215987763E-2</v>
      </c>
      <c r="AH95" s="488">
        <f t="shared" si="10"/>
        <v>0.13128642884471864</v>
      </c>
      <c r="AI95" s="1386"/>
      <c r="AJ95" s="1386"/>
      <c r="AK95" s="1386"/>
    </row>
    <row r="96" spans="1:45">
      <c r="A96" s="489">
        <f>'Input data'!A125</f>
        <v>2025</v>
      </c>
      <c r="B96" s="122">
        <f>'Recycling - Case 1'!AP105</f>
        <v>0.10266567216504917</v>
      </c>
      <c r="C96" s="527">
        <f>$B96*'Recycling - Case 1'!BM105*'Recycling - Case 1'!$AK105</f>
        <v>682.99433965293031</v>
      </c>
      <c r="D96" s="528">
        <f>$B96*'Recycling - Case 1'!BN105*'Recycling - Case 1'!$AK105</f>
        <v>713.32285861048922</v>
      </c>
      <c r="E96" s="528">
        <f>$B96*'Recycling - Case 1'!BO105*'Recycling - Case 1'!$AK105</f>
        <v>194.83012750918434</v>
      </c>
      <c r="F96" s="528">
        <f>$B96*'Recycling - Case 1'!BP105*'Recycling - Case 1'!$AK105</f>
        <v>0</v>
      </c>
      <c r="G96" s="528">
        <f>$B96*'Recycling - Case 1'!BQ105*'Recycling - Case 1'!$AK105</f>
        <v>0</v>
      </c>
      <c r="H96" s="528">
        <f>$B96*'Recycling - Case 1'!BR105*'Recycling - Case 1'!$AK105</f>
        <v>0</v>
      </c>
      <c r="I96" s="528">
        <f>$B96*'Recycling - Case 1'!BS105*'Recycling - Case 1'!$AK105</f>
        <v>761.71886126443803</v>
      </c>
      <c r="J96" s="744">
        <f t="shared" si="11"/>
        <v>2352.866187037042</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1.0292174247851176</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26.242738208282418</v>
      </c>
      <c r="R96" s="1378">
        <f t="shared" si="8"/>
        <v>27.271955633067535</v>
      </c>
      <c r="S96" s="485">
        <f>C96*'4C2 Open-burning '!$C$9*'4C2 Open-burning '!$C$11*$C$5</f>
        <v>2.6636779246464282</v>
      </c>
      <c r="T96" s="485">
        <f>D96*'4C2 Open-burning '!$C$9*'4C2 Open-burning '!$C$11*$C$5</f>
        <v>2.7819591485809076</v>
      </c>
      <c r="U96" s="485">
        <f>E96*'4C2 Open-burning '!$C$9*'4C2 Open-burning '!$C$11*$C$5</f>
        <v>0.75983749728581884</v>
      </c>
      <c r="V96" s="485">
        <f>F96*'4C2 Open-burning '!$C$9*'4C2 Open-burning '!$C$11*$C$5</f>
        <v>0</v>
      </c>
      <c r="W96" s="485">
        <f>G96*'4C2 Open-burning '!$C$9*'4C2 Open-burning '!$C$11*$C$5</f>
        <v>0</v>
      </c>
      <c r="X96" s="485">
        <f>H96*'4C2 Open-burning '!$C$9*'4C2 Open-burning '!$C$11*$C$5</f>
        <v>0</v>
      </c>
      <c r="Y96" s="485">
        <f>I96*'4C2 Open-burning '!$C$9*'4C2 Open-burning '!$C$11*$C$5</f>
        <v>2.9707035589313078</v>
      </c>
      <c r="Z96" s="486">
        <f t="shared" si="9"/>
        <v>9.1761781294444624</v>
      </c>
      <c r="AA96" s="487">
        <f>C96*'4C2 Open-burning '!$C$10*'4C2 Open-burning '!$C$11*$C$5*C$15</f>
        <v>2.4587796227505489E-2</v>
      </c>
      <c r="AB96" s="487">
        <f>D96*'4C2 Open-burning '!$C$10*'4C2 Open-burning '!$C$11*$C$5*D$15</f>
        <v>2.5679622909977613E-2</v>
      </c>
      <c r="AC96" s="487">
        <f>E96*'4C2 Open-burning '!$C$10*'4C2 Open-burning '!$C$11*$C$5*E$15</f>
        <v>1.578124032824393E-2</v>
      </c>
      <c r="AD96" s="487">
        <f>F96*'4C2 Open-burning '!$C$10*'4C2 Open-burning '!$C$11*$C$5*F$15</f>
        <v>0</v>
      </c>
      <c r="AE96" s="487">
        <f>G96*'4C2 Open-burning '!$C$10*'4C2 Open-burning '!$C$11*$C$5*G$15</f>
        <v>0</v>
      </c>
      <c r="AF96" s="487">
        <f>H96*'4C2 Open-burning '!$C$10*'4C2 Open-burning '!$C$11*$C$5*H$15</f>
        <v>0</v>
      </c>
      <c r="AG96" s="487">
        <f>I96*'4C2 Open-burning '!$C$10*'4C2 Open-burning '!$C$11*$C$5*I$15</f>
        <v>6.1699227762419477E-2</v>
      </c>
      <c r="AH96" s="488">
        <f t="shared" si="10"/>
        <v>0.12774788722814651</v>
      </c>
      <c r="AI96" s="1386"/>
      <c r="AJ96" s="1386"/>
      <c r="AK96" s="1386"/>
    </row>
    <row r="97" spans="1:37">
      <c r="A97" s="489">
        <f>'Input data'!A126</f>
        <v>2026</v>
      </c>
      <c r="B97" s="122">
        <f>'Recycling - Case 1'!AP106</f>
        <v>0.10000866098651089</v>
      </c>
      <c r="C97" s="527">
        <f>$B97*'Recycling - Case 1'!BM106*'Recycling - Case 1'!$AK106</f>
        <v>664.60576303858375</v>
      </c>
      <c r="D97" s="528">
        <f>$B97*'Recycling - Case 1'!BN106*'Recycling - Case 1'!$AK106</f>
        <v>694.117733070226</v>
      </c>
      <c r="E97" s="528">
        <f>$B97*'Recycling - Case 1'!BO106*'Recycling - Case 1'!$AK106</f>
        <v>189.58462470120193</v>
      </c>
      <c r="F97" s="528">
        <f>$B97*'Recycling - Case 1'!BP106*'Recycling - Case 1'!$AK106</f>
        <v>0</v>
      </c>
      <c r="G97" s="528">
        <f>$B97*'Recycling - Case 1'!BQ106*'Recycling - Case 1'!$AK106</f>
        <v>0</v>
      </c>
      <c r="H97" s="528">
        <f>$B97*'Recycling - Case 1'!BR106*'Recycling - Case 1'!$AK106</f>
        <v>0</v>
      </c>
      <c r="I97" s="528">
        <f>$B97*'Recycling - Case 1'!BS106*'Recycling - Case 1'!$AK106</f>
        <v>741.21074746942236</v>
      </c>
      <c r="J97" s="744">
        <f t="shared" si="11"/>
        <v>2289.5188682794342</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1.0015073218315573</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25.536192671816536</v>
      </c>
      <c r="R97" s="1378">
        <f t="shared" si="8"/>
        <v>26.537699993648094</v>
      </c>
      <c r="S97" s="485">
        <f>C97*'4C2 Open-burning '!$C$9*'4C2 Open-burning '!$C$11*$C$5</f>
        <v>2.5919624758504765</v>
      </c>
      <c r="T97" s="485">
        <f>D97*'4C2 Open-burning '!$C$9*'4C2 Open-burning '!$C$11*$C$5</f>
        <v>2.7070591589738813</v>
      </c>
      <c r="U97" s="485">
        <f>E97*'4C2 Open-burning '!$C$9*'4C2 Open-burning '!$C$11*$C$5</f>
        <v>0.73938003633468752</v>
      </c>
      <c r="V97" s="485">
        <f>F97*'4C2 Open-burning '!$C$9*'4C2 Open-burning '!$C$11*$C$5</f>
        <v>0</v>
      </c>
      <c r="W97" s="485">
        <f>G97*'4C2 Open-burning '!$C$9*'4C2 Open-burning '!$C$11*$C$5</f>
        <v>0</v>
      </c>
      <c r="X97" s="485">
        <f>H97*'4C2 Open-burning '!$C$9*'4C2 Open-burning '!$C$11*$C$5</f>
        <v>0</v>
      </c>
      <c r="Y97" s="485">
        <f>I97*'4C2 Open-burning '!$C$9*'4C2 Open-burning '!$C$11*$C$5</f>
        <v>2.8907219151307468</v>
      </c>
      <c r="Z97" s="486">
        <f t="shared" si="9"/>
        <v>8.9291235862897924</v>
      </c>
      <c r="AA97" s="487">
        <f>C97*'4C2 Open-burning '!$C$10*'4C2 Open-burning '!$C$11*$C$5*C$15</f>
        <v>2.3925807469389018E-2</v>
      </c>
      <c r="AB97" s="487">
        <f>D97*'4C2 Open-burning '!$C$10*'4C2 Open-burning '!$C$11*$C$5*D$15</f>
        <v>2.4988238390528134E-2</v>
      </c>
      <c r="AC97" s="487">
        <f>E97*'4C2 Open-burning '!$C$10*'4C2 Open-burning '!$C$11*$C$5*E$15</f>
        <v>1.5356354600797357E-2</v>
      </c>
      <c r="AD97" s="487">
        <f>F97*'4C2 Open-burning '!$C$10*'4C2 Open-burning '!$C$11*$C$5*F$15</f>
        <v>0</v>
      </c>
      <c r="AE97" s="487">
        <f>G97*'4C2 Open-burning '!$C$10*'4C2 Open-burning '!$C$11*$C$5*G$15</f>
        <v>0</v>
      </c>
      <c r="AF97" s="487">
        <f>H97*'4C2 Open-burning '!$C$10*'4C2 Open-burning '!$C$11*$C$5*H$15</f>
        <v>0</v>
      </c>
      <c r="AG97" s="487">
        <f>I97*'4C2 Open-burning '!$C$10*'4C2 Open-burning '!$C$11*$C$5*I$15</f>
        <v>6.0038070545023213E-2</v>
      </c>
      <c r="AH97" s="488">
        <f t="shared" si="10"/>
        <v>0.12430847100573772</v>
      </c>
      <c r="AI97" s="1386"/>
      <c r="AJ97" s="1386"/>
      <c r="AK97" s="1386"/>
    </row>
    <row r="98" spans="1:37">
      <c r="A98" s="489">
        <f>'Input data'!A127</f>
        <v>2027</v>
      </c>
      <c r="B98" s="122">
        <f>'Recycling - Case 1'!AP107</f>
        <v>9.7362102555951902E-2</v>
      </c>
      <c r="C98" s="527">
        <f>$B98*'Recycling - Case 1'!BM107*'Recycling - Case 1'!$AK107</f>
        <v>646.78294375357882</v>
      </c>
      <c r="D98" s="528">
        <f>$B98*'Recycling - Case 1'!BN107*'Recycling - Case 1'!$AK107</f>
        <v>675.5034874421608</v>
      </c>
      <c r="E98" s="528">
        <f>$B98*'Recycling - Case 1'!BO107*'Recycling - Case 1'!$AK107</f>
        <v>184.50050913498038</v>
      </c>
      <c r="F98" s="528">
        <f>$B98*'Recycling - Case 1'!BP107*'Recycling - Case 1'!$AK107</f>
        <v>0</v>
      </c>
      <c r="G98" s="528">
        <f>$B98*'Recycling - Case 1'!BQ107*'Recycling - Case 1'!$AK107</f>
        <v>0</v>
      </c>
      <c r="H98" s="528">
        <f>$B98*'Recycling - Case 1'!BR107*'Recycling - Case 1'!$AK107</f>
        <v>0</v>
      </c>
      <c r="I98" s="528">
        <f>$B98*'Recycling - Case 1'!BS107*'Recycling - Case 1'!$AK107</f>
        <v>721.33360234228326</v>
      </c>
      <c r="J98" s="744">
        <f t="shared" si="11"/>
        <v>2228.120542673003</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0.97464976957681271</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24.85138526789634</v>
      </c>
      <c r="R98" s="1378">
        <f t="shared" si="8"/>
        <v>25.826035037473154</v>
      </c>
      <c r="S98" s="485">
        <f>C98*'4C2 Open-burning '!$C$9*'4C2 Open-burning '!$C$11*$C$5</f>
        <v>2.5224534806389571</v>
      </c>
      <c r="T98" s="485">
        <f>D98*'4C2 Open-burning '!$C$9*'4C2 Open-burning '!$C$11*$C$5</f>
        <v>2.6344636010244264</v>
      </c>
      <c r="U98" s="485">
        <f>E98*'4C2 Open-burning '!$C$9*'4C2 Open-burning '!$C$11*$C$5</f>
        <v>0.71955198562642353</v>
      </c>
      <c r="V98" s="485">
        <f>F98*'4C2 Open-burning '!$C$9*'4C2 Open-burning '!$C$11*$C$5</f>
        <v>0</v>
      </c>
      <c r="W98" s="485">
        <f>G98*'4C2 Open-burning '!$C$9*'4C2 Open-burning '!$C$11*$C$5</f>
        <v>0</v>
      </c>
      <c r="X98" s="485">
        <f>H98*'4C2 Open-burning '!$C$9*'4C2 Open-burning '!$C$11*$C$5</f>
        <v>0</v>
      </c>
      <c r="Y98" s="485">
        <f>I98*'4C2 Open-burning '!$C$9*'4C2 Open-burning '!$C$11*$C$5</f>
        <v>2.8132010491349044</v>
      </c>
      <c r="Z98" s="486">
        <f t="shared" si="9"/>
        <v>8.6896701164247112</v>
      </c>
      <c r="AA98" s="487">
        <f>C98*'4C2 Open-burning '!$C$10*'4C2 Open-burning '!$C$11*$C$5*C$15</f>
        <v>2.3284185975128834E-2</v>
      </c>
      <c r="AB98" s="487">
        <f>D98*'4C2 Open-burning '!$C$10*'4C2 Open-burning '!$C$11*$C$5*D$15</f>
        <v>2.431812554791779E-2</v>
      </c>
      <c r="AC98" s="487">
        <f>E98*'4C2 Open-burning '!$C$10*'4C2 Open-burning '!$C$11*$C$5*E$15</f>
        <v>1.494454123993341E-2</v>
      </c>
      <c r="AD98" s="487">
        <f>F98*'4C2 Open-burning '!$C$10*'4C2 Open-burning '!$C$11*$C$5*F$15</f>
        <v>0</v>
      </c>
      <c r="AE98" s="487">
        <f>G98*'4C2 Open-burning '!$C$10*'4C2 Open-burning '!$C$11*$C$5*G$15</f>
        <v>0</v>
      </c>
      <c r="AF98" s="487">
        <f>H98*'4C2 Open-burning '!$C$10*'4C2 Open-burning '!$C$11*$C$5*H$15</f>
        <v>0</v>
      </c>
      <c r="AG98" s="487">
        <f>I98*'4C2 Open-burning '!$C$10*'4C2 Open-burning '!$C$11*$C$5*I$15</f>
        <v>5.8428021789724942E-2</v>
      </c>
      <c r="AH98" s="488">
        <f t="shared" si="10"/>
        <v>0.12097487455270498</v>
      </c>
      <c r="AI98" s="1387"/>
      <c r="AJ98" s="1386"/>
      <c r="AK98" s="1387"/>
    </row>
    <row r="99" spans="1:37">
      <c r="A99" s="489">
        <f>'Input data'!A128</f>
        <v>2028</v>
      </c>
      <c r="B99" s="122">
        <f>'Recycling - Case 1'!AP108</f>
        <v>9.3415260912167869E-2</v>
      </c>
      <c r="C99" s="527">
        <f>$B99*'Recycling - Case 1'!BM108*'Recycling - Case 1'!$AK108</f>
        <v>610.76441324234895</v>
      </c>
      <c r="D99" s="528">
        <f>$B99*'Recycling - Case 1'!BN108*'Recycling - Case 1'!$AK108</f>
        <v>637.88554589336889</v>
      </c>
      <c r="E99" s="528">
        <f>$B99*'Recycling - Case 1'!BO108*'Recycling - Case 1'!$AK108</f>
        <v>174.22590730480655</v>
      </c>
      <c r="F99" s="528">
        <f>$B99*'Recycling - Case 1'!BP108*'Recycling - Case 1'!$AK108</f>
        <v>0</v>
      </c>
      <c r="G99" s="528">
        <f>$B99*'Recycling - Case 1'!BQ108*'Recycling - Case 1'!$AK108</f>
        <v>0</v>
      </c>
      <c r="H99" s="528">
        <f>$B99*'Recycling - Case 1'!BR108*'Recycling - Case 1'!$AK108</f>
        <v>0</v>
      </c>
      <c r="I99" s="528">
        <f>$B99*'Recycling - Case 1'!BS108*'Recycling - Case 1'!$AK108</f>
        <v>681.16343920539066</v>
      </c>
      <c r="J99" s="744">
        <f t="shared" si="11"/>
        <v>2104.0393056459152</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0.92037274696466331</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23.467442807504117</v>
      </c>
      <c r="R99" s="1378">
        <f t="shared" si="8"/>
        <v>24.38781555446878</v>
      </c>
      <c r="S99" s="485">
        <f>C99*'4C2 Open-burning '!$C$9*'4C2 Open-burning '!$C$11*$C$5</f>
        <v>2.3819812116451611</v>
      </c>
      <c r="T99" s="485">
        <f>D99*'4C2 Open-burning '!$C$9*'4C2 Open-burning '!$C$11*$C$5</f>
        <v>2.4877536289841382</v>
      </c>
      <c r="U99" s="485">
        <f>E99*'4C2 Open-burning '!$C$9*'4C2 Open-burning '!$C$11*$C$5</f>
        <v>0.67948103848874553</v>
      </c>
      <c r="V99" s="485">
        <f>F99*'4C2 Open-burning '!$C$9*'4C2 Open-burning '!$C$11*$C$5</f>
        <v>0</v>
      </c>
      <c r="W99" s="485">
        <f>G99*'4C2 Open-burning '!$C$9*'4C2 Open-burning '!$C$11*$C$5</f>
        <v>0</v>
      </c>
      <c r="X99" s="485">
        <f>H99*'4C2 Open-burning '!$C$9*'4C2 Open-burning '!$C$11*$C$5</f>
        <v>0</v>
      </c>
      <c r="Y99" s="485">
        <f>I99*'4C2 Open-burning '!$C$9*'4C2 Open-burning '!$C$11*$C$5</f>
        <v>2.6565374129010233</v>
      </c>
      <c r="Z99" s="486">
        <f t="shared" si="9"/>
        <v>8.2057532920190681</v>
      </c>
      <c r="AA99" s="487">
        <f>C99*'4C2 Open-burning '!$C$10*'4C2 Open-burning '!$C$11*$C$5*C$15</f>
        <v>2.1987518876724562E-2</v>
      </c>
      <c r="AB99" s="487">
        <f>D99*'4C2 Open-burning '!$C$10*'4C2 Open-burning '!$C$11*$C$5*D$15</f>
        <v>2.2963879652161279E-2</v>
      </c>
      <c r="AC99" s="487">
        <f>E99*'4C2 Open-burning '!$C$10*'4C2 Open-burning '!$C$11*$C$5*E$15</f>
        <v>1.411229849168933E-2</v>
      </c>
      <c r="AD99" s="487">
        <f>F99*'4C2 Open-burning '!$C$10*'4C2 Open-burning '!$C$11*$C$5*F$15</f>
        <v>0</v>
      </c>
      <c r="AE99" s="487">
        <f>G99*'4C2 Open-burning '!$C$10*'4C2 Open-burning '!$C$11*$C$5*G$15</f>
        <v>0</v>
      </c>
      <c r="AF99" s="487">
        <f>H99*'4C2 Open-burning '!$C$10*'4C2 Open-burning '!$C$11*$C$5*H$15</f>
        <v>0</v>
      </c>
      <c r="AG99" s="487">
        <f>I99*'4C2 Open-burning '!$C$10*'4C2 Open-burning '!$C$11*$C$5*I$15</f>
        <v>5.5174238575636643E-2</v>
      </c>
      <c r="AH99" s="488">
        <f t="shared" si="10"/>
        <v>0.11423793559621181</v>
      </c>
      <c r="AI99" s="1387"/>
      <c r="AJ99" s="1386"/>
      <c r="AK99" s="1387"/>
    </row>
    <row r="100" spans="1:37">
      <c r="A100" s="489">
        <f>'Input data'!A129</f>
        <v>2029</v>
      </c>
      <c r="B100" s="122">
        <f>'Recycling - Case 1'!AP109</f>
        <v>8.9603671166770565E-2</v>
      </c>
      <c r="C100" s="527">
        <f>$B100*'Recycling - Case 1'!BM109*'Recycling - Case 1'!$AK109</f>
        <v>576.94656043721773</v>
      </c>
      <c r="D100" s="528">
        <f>$B100*'Recycling - Case 1'!BN109*'Recycling - Case 1'!$AK109</f>
        <v>602.56600364462452</v>
      </c>
      <c r="E100" s="528">
        <f>$B100*'Recycling - Case 1'!BO109*'Recycling - Case 1'!$AK109</f>
        <v>164.57906809753189</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643.44761224520971</v>
      </c>
      <c r="J100" s="744">
        <f t="shared" si="11"/>
        <v>1987.539244424584</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0.86941196829474587</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22.168057137071962</v>
      </c>
      <c r="R100" s="1378">
        <f t="shared" si="8"/>
        <v>23.037469105366707</v>
      </c>
      <c r="S100" s="485">
        <f>C100*'4C2 Open-burning '!$C$9*'4C2 Open-burning '!$C$11*$C$5</f>
        <v>2.2500915857051491</v>
      </c>
      <c r="T100" s="485">
        <f>D100*'4C2 Open-burning '!$C$9*'4C2 Open-burning '!$C$11*$C$5</f>
        <v>2.3500074142140353</v>
      </c>
      <c r="U100" s="485">
        <f>E100*'4C2 Open-burning '!$C$9*'4C2 Open-burning '!$C$11*$C$5</f>
        <v>0.64185836558037435</v>
      </c>
      <c r="V100" s="485">
        <f>F100*'4C2 Open-burning '!$C$9*'4C2 Open-burning '!$C$11*$C$5</f>
        <v>0</v>
      </c>
      <c r="W100" s="485">
        <f>G100*'4C2 Open-burning '!$C$9*'4C2 Open-burning '!$C$11*$C$5</f>
        <v>0</v>
      </c>
      <c r="X100" s="485">
        <f>H100*'4C2 Open-burning '!$C$9*'4C2 Open-burning '!$C$11*$C$5</f>
        <v>0</v>
      </c>
      <c r="Y100" s="485">
        <f>I100*'4C2 Open-burning '!$C$9*'4C2 Open-burning '!$C$11*$C$5</f>
        <v>2.5094456877563176</v>
      </c>
      <c r="Z100" s="486">
        <f t="shared" si="9"/>
        <v>7.751403053255876</v>
      </c>
      <c r="AA100" s="487">
        <f>C100*'4C2 Open-burning '!$C$10*'4C2 Open-burning '!$C$11*$C$5*C$15</f>
        <v>2.0770076175739838E-2</v>
      </c>
      <c r="AB100" s="487">
        <f>D100*'4C2 Open-burning '!$C$10*'4C2 Open-burning '!$C$11*$C$5*D$15</f>
        <v>2.1692376131206486E-2</v>
      </c>
      <c r="AC100" s="487">
        <f>E100*'4C2 Open-burning '!$C$10*'4C2 Open-burning '!$C$11*$C$5*E$15</f>
        <v>1.3330904515900081E-2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5.2119256591861986E-2</v>
      </c>
      <c r="AH100" s="488">
        <f t="shared" si="10"/>
        <v>0.1079126134147084</v>
      </c>
      <c r="AI100" s="1387"/>
      <c r="AJ100" s="1386"/>
      <c r="AK100" s="1387"/>
    </row>
    <row r="101" spans="1:37">
      <c r="A101" s="489">
        <f>'Input data'!A130</f>
        <v>2030</v>
      </c>
      <c r="B101" s="122">
        <f>'Recycling - Case 1'!AP110</f>
        <v>8.5926552327149713E-2</v>
      </c>
      <c r="C101" s="527">
        <f>$B101*'Recycling - Case 1'!BM110*'Recycling - Case 1'!$AK110</f>
        <v>545.17772246461448</v>
      </c>
      <c r="D101" s="528">
        <f>$B101*'Recycling - Case 1'!BN110*'Recycling - Case 1'!$AK110</f>
        <v>569.38646319796965</v>
      </c>
      <c r="E101" s="528">
        <f>$B101*'Recycling - Case 1'!BO110*'Recycling - Case 1'!$AK110</f>
        <v>155.51672834788454</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608.01697734934419</v>
      </c>
      <c r="J101" s="744">
        <f t="shared" si="11"/>
        <v>1878.0978913598128</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0.82153888983966872</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20.947400903639604</v>
      </c>
      <c r="R101" s="1378">
        <f t="shared" si="8"/>
        <v>21.768939793479273</v>
      </c>
      <c r="S101" s="485">
        <f>C101*'4C2 Open-burning '!$C$9*'4C2 Open-burning '!$C$11*$C$5</f>
        <v>2.1261931176119964</v>
      </c>
      <c r="T101" s="485">
        <f>D101*'4C2 Open-burning '!$C$9*'4C2 Open-burning '!$C$11*$C$5</f>
        <v>2.2206072064720814</v>
      </c>
      <c r="U101" s="485">
        <f>E101*'4C2 Open-burning '!$C$9*'4C2 Open-burning '!$C$11*$C$5</f>
        <v>0.60651524055674966</v>
      </c>
      <c r="V101" s="485">
        <f>F101*'4C2 Open-burning '!$C$9*'4C2 Open-burning '!$C$11*$C$5</f>
        <v>0</v>
      </c>
      <c r="W101" s="485">
        <f>G101*'4C2 Open-burning '!$C$9*'4C2 Open-burning '!$C$11*$C$5</f>
        <v>0</v>
      </c>
      <c r="X101" s="485">
        <f>H101*'4C2 Open-burning '!$C$9*'4C2 Open-burning '!$C$11*$C$5</f>
        <v>0</v>
      </c>
      <c r="Y101" s="485">
        <f>I101*'4C2 Open-burning '!$C$9*'4C2 Open-burning '!$C$11*$C$5</f>
        <v>2.3712662116624421</v>
      </c>
      <c r="Z101" s="486">
        <f t="shared" si="9"/>
        <v>7.324581776303269</v>
      </c>
      <c r="AA101" s="487">
        <f>C101*'4C2 Open-burning '!$C$10*'4C2 Open-burning '!$C$11*$C$5*C$15</f>
        <v>1.962639800872612E-2</v>
      </c>
      <c r="AB101" s="487">
        <f>D101*'4C2 Open-burning '!$C$10*'4C2 Open-burning '!$C$11*$C$5*D$15</f>
        <v>2.0497912675126906E-2</v>
      </c>
      <c r="AC101" s="487">
        <f>E101*'4C2 Open-burning '!$C$10*'4C2 Open-burning '!$C$11*$C$5*E$15</f>
        <v>1.2596854996178648E-2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4.9249375165296878E-2</v>
      </c>
      <c r="AH101" s="488">
        <f t="shared" si="10"/>
        <v>0.10197054084532856</v>
      </c>
      <c r="AI101" s="1387"/>
      <c r="AJ101" s="1386"/>
      <c r="AK101" s="1387"/>
    </row>
    <row r="102" spans="1:37">
      <c r="A102" s="489">
        <f>'Input data'!A131</f>
        <v>2031</v>
      </c>
      <c r="B102" s="122">
        <f>'Recycling - Case 1'!AP111</f>
        <v>8.2618769469679554E-2</v>
      </c>
      <c r="C102" s="527">
        <f>$B102*'Recycling - Case 1'!BM111*'Recycling - Case 1'!$AK111</f>
        <v>517.7186520688914</v>
      </c>
      <c r="D102" s="528">
        <f>$B102*'Recycling - Case 1'!BN111*'Recycling - Case 1'!$AK111</f>
        <v>540.70806653743909</v>
      </c>
      <c r="E102" s="528">
        <f>$B102*'Recycling - Case 1'!BO111*'Recycling - Case 1'!$AK111</f>
        <v>147.68378761048257</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577.3928702098342</v>
      </c>
      <c r="J102" s="744">
        <f t="shared" si="11"/>
        <v>1783.5033764266473</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0.78016028378263957</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19.892339164469206</v>
      </c>
      <c r="R102" s="1378">
        <f t="shared" si="8"/>
        <v>20.672499448251845</v>
      </c>
      <c r="S102" s="485">
        <f>C102*'4C2 Open-burning '!$C$9*'4C2 Open-burning '!$C$11*$C$5</f>
        <v>2.0191027430686765</v>
      </c>
      <c r="T102" s="485">
        <f>D102*'4C2 Open-burning '!$C$9*'4C2 Open-burning '!$C$11*$C$5</f>
        <v>2.1087614594960122</v>
      </c>
      <c r="U102" s="485">
        <f>E102*'4C2 Open-burning '!$C$9*'4C2 Open-burning '!$C$11*$C$5</f>
        <v>0.57596677168088195</v>
      </c>
      <c r="V102" s="485">
        <f>F102*'4C2 Open-burning '!$C$9*'4C2 Open-burning '!$C$11*$C$5</f>
        <v>0</v>
      </c>
      <c r="W102" s="485">
        <f>G102*'4C2 Open-burning '!$C$9*'4C2 Open-burning '!$C$11*$C$5</f>
        <v>0</v>
      </c>
      <c r="X102" s="485">
        <f>H102*'4C2 Open-burning '!$C$9*'4C2 Open-burning '!$C$11*$C$5</f>
        <v>0</v>
      </c>
      <c r="Y102" s="485">
        <f>I102*'4C2 Open-burning '!$C$9*'4C2 Open-burning '!$C$11*$C$5</f>
        <v>2.2518321938183532</v>
      </c>
      <c r="Z102" s="486">
        <f t="shared" si="9"/>
        <v>6.9556631680639249</v>
      </c>
      <c r="AA102" s="487">
        <f>C102*'4C2 Open-burning '!$C$10*'4C2 Open-burning '!$C$11*$C$5*C$15</f>
        <v>1.8637871474480091E-2</v>
      </c>
      <c r="AB102" s="487">
        <f>D102*'4C2 Open-burning '!$C$10*'4C2 Open-burning '!$C$11*$C$5*D$15</f>
        <v>1.9465490395347809E-2</v>
      </c>
      <c r="AC102" s="487">
        <f>E102*'4C2 Open-burning '!$C$10*'4C2 Open-burning '!$C$11*$C$5*E$15</f>
        <v>1.1962386796449087E-2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4.676882248699657E-2</v>
      </c>
      <c r="AH102" s="488">
        <f t="shared" si="10"/>
        <v>9.6834571153273555E-2</v>
      </c>
      <c r="AI102" s="1387"/>
      <c r="AJ102" s="1386"/>
      <c r="AK102" s="1387"/>
    </row>
    <row r="103" spans="1:37">
      <c r="A103" s="489">
        <f>'Input data'!A132</f>
        <v>2032</v>
      </c>
      <c r="B103" s="122">
        <f>'Recycling - Case 1'!AP112</f>
        <v>7.9268715503335793E-2</v>
      </c>
      <c r="C103" s="527">
        <f>$B103*'Recycling - Case 1'!BM112*'Recycling - Case 1'!$AK112</f>
        <v>490.49577662749192</v>
      </c>
      <c r="D103" s="528">
        <f>$B103*'Recycling - Case 1'!BN112*'Recycling - Case 1'!$AK112</f>
        <v>512.27635312188693</v>
      </c>
      <c r="E103" s="528">
        <f>$B103*'Recycling - Case 1'!BO112*'Recycling - Case 1'!$AK112</f>
        <v>139.91822355601366</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547.03218275215511</v>
      </c>
      <c r="J103" s="744">
        <f t="shared" si="11"/>
        <v>1689.7225360575476</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0.73913760448594001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18.846352760177247</v>
      </c>
      <c r="R103" s="1378">
        <f t="shared" si="8"/>
        <v>19.585490364663187</v>
      </c>
      <c r="S103" s="485">
        <f>C103*'4C2 Open-burning '!$C$9*'4C2 Open-burning '!$C$11*$C$5</f>
        <v>1.9129335288472185</v>
      </c>
      <c r="T103" s="485">
        <f>D103*'4C2 Open-burning '!$C$9*'4C2 Open-burning '!$C$11*$C$5</f>
        <v>1.9978777771753591</v>
      </c>
      <c r="U103" s="485">
        <f>E103*'4C2 Open-burning '!$C$9*'4C2 Open-burning '!$C$11*$C$5</f>
        <v>0.54568107186845327</v>
      </c>
      <c r="V103" s="485">
        <f>F103*'4C2 Open-burning '!$C$9*'4C2 Open-burning '!$C$11*$C$5</f>
        <v>0</v>
      </c>
      <c r="W103" s="485">
        <f>G103*'4C2 Open-burning '!$C$9*'4C2 Open-burning '!$C$11*$C$5</f>
        <v>0</v>
      </c>
      <c r="X103" s="485">
        <f>H103*'4C2 Open-burning '!$C$9*'4C2 Open-burning '!$C$11*$C$5</f>
        <v>0</v>
      </c>
      <c r="Y103" s="485">
        <f>I103*'4C2 Open-burning '!$C$9*'4C2 Open-burning '!$C$11*$C$5</f>
        <v>2.133425512733405</v>
      </c>
      <c r="Z103" s="486">
        <f t="shared" si="9"/>
        <v>6.5899178906244362</v>
      </c>
      <c r="AA103" s="487">
        <f>C103*'4C2 Open-burning '!$C$10*'4C2 Open-burning '!$C$11*$C$5*C$15</f>
        <v>1.7657847958589708E-2</v>
      </c>
      <c r="AB103" s="487">
        <f>D103*'4C2 Open-burning '!$C$10*'4C2 Open-burning '!$C$11*$C$5*D$15</f>
        <v>1.8441948712387926E-2</v>
      </c>
      <c r="AC103" s="487">
        <f>E103*'4C2 Open-burning '!$C$10*'4C2 Open-burning '!$C$11*$C$5*E$15</f>
        <v>1.1333376108037106E-2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4.4309606802924568E-2</v>
      </c>
      <c r="AH103" s="488">
        <f t="shared" si="10"/>
        <v>9.1742779581939313E-2</v>
      </c>
      <c r="AI103" s="1387"/>
      <c r="AJ103" s="1386"/>
      <c r="AK103" s="1387"/>
    </row>
    <row r="104" spans="1:37">
      <c r="A104" s="489">
        <f>'Input data'!A133</f>
        <v>2033</v>
      </c>
      <c r="B104" s="122">
        <f>'Recycling - Case 1'!AP113</f>
        <v>7.5872482356595758E-2</v>
      </c>
      <c r="C104" s="527">
        <f>$B104*'Recycling - Case 1'!BM113*'Recycling - Case 1'!$AK113</f>
        <v>463.49502581066531</v>
      </c>
      <c r="D104" s="528">
        <f>$B104*'Recycling - Case 1'!BN113*'Recycling - Case 1'!$AK113</f>
        <v>484.07662782537057</v>
      </c>
      <c r="E104" s="528">
        <f>$B104*'Recycling - Case 1'!BO113*'Recycling - Case 1'!$AK113</f>
        <v>132.2160224994731</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516.9192228469102</v>
      </c>
      <c r="J104" s="744">
        <f t="shared" si="11"/>
        <v>1596.7068989824193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0.69844964909661655</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17.808901065521749</v>
      </c>
      <c r="R104" s="1378">
        <f t="shared" si="8"/>
        <v>18.507350714618365</v>
      </c>
      <c r="S104" s="485">
        <f>C104*'4C2 Open-burning '!$C$9*'4C2 Open-burning '!$C$11*$C$5</f>
        <v>1.8076306006615943</v>
      </c>
      <c r="T104" s="485">
        <f>D104*'4C2 Open-burning '!$C$9*'4C2 Open-burning '!$C$11*$C$5</f>
        <v>1.887898848518945</v>
      </c>
      <c r="U104" s="485">
        <f>E104*'4C2 Open-burning '!$C$9*'4C2 Open-burning '!$C$11*$C$5</f>
        <v>0.51564248774794508</v>
      </c>
      <c r="V104" s="485">
        <f>F104*'4C2 Open-burning '!$C$9*'4C2 Open-burning '!$C$11*$C$5</f>
        <v>0</v>
      </c>
      <c r="W104" s="485">
        <f>G104*'4C2 Open-burning '!$C$9*'4C2 Open-burning '!$C$11*$C$5</f>
        <v>0</v>
      </c>
      <c r="X104" s="485">
        <f>H104*'4C2 Open-burning '!$C$9*'4C2 Open-burning '!$C$11*$C$5</f>
        <v>0</v>
      </c>
      <c r="Y104" s="485">
        <f>I104*'4C2 Open-burning '!$C$9*'4C2 Open-burning '!$C$11*$C$5</f>
        <v>2.0159849691029494</v>
      </c>
      <c r="Z104" s="486">
        <f t="shared" si="9"/>
        <v>6.2271569060314338</v>
      </c>
      <c r="AA104" s="487">
        <f>C104*'4C2 Open-burning '!$C$10*'4C2 Open-burning '!$C$11*$C$5*C$15</f>
        <v>1.6685820929183949E-2</v>
      </c>
      <c r="AB104" s="487">
        <f>D104*'4C2 Open-burning '!$C$10*'4C2 Open-burning '!$C$11*$C$5*D$15</f>
        <v>1.7426758601713339E-2</v>
      </c>
      <c r="AC104" s="487">
        <f>E104*'4C2 Open-burning '!$C$10*'4C2 Open-burning '!$C$11*$C$5*E$15</f>
        <v>1.0709497822457319E-2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4.1870457050599733E-2</v>
      </c>
      <c r="AH104" s="488">
        <f t="shared" si="10"/>
        <v>8.6692534403954344E-2</v>
      </c>
      <c r="AI104" s="1387"/>
      <c r="AJ104" s="1386"/>
      <c r="AK104" s="1387"/>
    </row>
    <row r="105" spans="1:37">
      <c r="A105" s="489">
        <f>'Input data'!A134</f>
        <v>2034</v>
      </c>
      <c r="B105" s="122">
        <f>'Recycling - Case 1'!AP114</f>
        <v>7.2425976061800415E-2</v>
      </c>
      <c r="C105" s="527">
        <f>$B105*'Recycling - Case 1'!BM114*'Recycling - Case 1'!$AK114</f>
        <v>436.70308649544222</v>
      </c>
      <c r="D105" s="528">
        <f>$B105*'Recycling - Case 1'!BN114*'Recycling - Case 1'!$AK114</f>
        <v>456.09498635266783</v>
      </c>
      <c r="E105" s="528">
        <f>$B105*'Recycling - Case 1'!BO114*'Recycling - Case 1'!$AK114</f>
        <v>124.57338675573361</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487.03914285001269</v>
      </c>
      <c r="J105" s="744">
        <f t="shared" si="11"/>
        <v>1504.4106024538564</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0.65807635581130852</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16.779472549468636</v>
      </c>
      <c r="R105" s="1378">
        <f t="shared" si="8"/>
        <v>17.437548905279943</v>
      </c>
      <c r="S105" s="485">
        <f>C105*'4C2 Open-burning '!$C$9*'4C2 Open-burning '!$C$11*$C$5</f>
        <v>1.7031420373322246</v>
      </c>
      <c r="T105" s="485">
        <f>D105*'4C2 Open-burning '!$C$9*'4C2 Open-burning '!$C$11*$C$5</f>
        <v>1.7787704467754046</v>
      </c>
      <c r="U105" s="485">
        <f>E105*'4C2 Open-burning '!$C$9*'4C2 Open-burning '!$C$11*$C$5</f>
        <v>0.48583620834736102</v>
      </c>
      <c r="V105" s="485">
        <f>F105*'4C2 Open-burning '!$C$9*'4C2 Open-burning '!$C$11*$C$5</f>
        <v>0</v>
      </c>
      <c r="W105" s="485">
        <f>G105*'4C2 Open-burning '!$C$9*'4C2 Open-burning '!$C$11*$C$5</f>
        <v>0</v>
      </c>
      <c r="X105" s="485">
        <f>H105*'4C2 Open-burning '!$C$9*'4C2 Open-burning '!$C$11*$C$5</f>
        <v>0</v>
      </c>
      <c r="Y105" s="485">
        <f>I105*'4C2 Open-burning '!$C$9*'4C2 Open-burning '!$C$11*$C$5</f>
        <v>1.8994526571150492</v>
      </c>
      <c r="Z105" s="486">
        <f t="shared" si="9"/>
        <v>5.8672013495700392</v>
      </c>
      <c r="AA105" s="487">
        <f>C105*'4C2 Open-burning '!$C$10*'4C2 Open-burning '!$C$11*$C$5*C$15</f>
        <v>1.5721311113835918E-2</v>
      </c>
      <c r="AB105" s="487">
        <f>D105*'4C2 Open-burning '!$C$10*'4C2 Open-burning '!$C$11*$C$5*D$15</f>
        <v>1.6419419508696041E-2</v>
      </c>
      <c r="AC105" s="487">
        <f>E105*'4C2 Open-burning '!$C$10*'4C2 Open-burning '!$C$11*$C$5*E$15</f>
        <v>1.0090444327214423E-2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3.9450170570851026E-2</v>
      </c>
      <c r="AH105" s="488">
        <f t="shared" si="10"/>
        <v>8.1681345520597415E-2</v>
      </c>
      <c r="AI105" s="1387"/>
      <c r="AJ105" s="1386"/>
      <c r="AK105" s="1387"/>
    </row>
    <row r="106" spans="1:37">
      <c r="A106" s="489">
        <f>'Input data'!A135</f>
        <v>2035</v>
      </c>
      <c r="B106" s="122">
        <f>'Recycling - Case 1'!AP115</f>
        <v>6.8924893023833658E-2</v>
      </c>
      <c r="C106" s="527">
        <f>$B106*'Recycling - Case 1'!BM115*'Recycling - Case 1'!$AK115</f>
        <v>410.10734560385691</v>
      </c>
      <c r="D106" s="528">
        <f>$B106*'Recycling - Case 1'!BN115*'Recycling - Case 1'!$AK115</f>
        <v>428.31825553921777</v>
      </c>
      <c r="E106" s="528">
        <f>$B106*'Recycling - Case 1'!BO115*'Recycling - Case 1'!$AK115</f>
        <v>116.98671833364698</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457.37787585222634</v>
      </c>
      <c r="J106" s="744">
        <f t="shared" si="11"/>
        <v>1412.7901953289479</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0.61799871773805681</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15.7575825788609</v>
      </c>
      <c r="R106" s="1378">
        <f t="shared" si="8"/>
        <v>16.375581296598956</v>
      </c>
      <c r="S106" s="485">
        <f>C106*'4C2 Open-burning '!$C$9*'4C2 Open-burning '!$C$11*$C$5</f>
        <v>1.5994186478550418</v>
      </c>
      <c r="T106" s="485">
        <f>D106*'4C2 Open-burning '!$C$9*'4C2 Open-burning '!$C$11*$C$5</f>
        <v>1.6704411966029491</v>
      </c>
      <c r="U106" s="485">
        <f>E106*'4C2 Open-burning '!$C$9*'4C2 Open-burning '!$C$11*$C$5</f>
        <v>0.45624820150122319</v>
      </c>
      <c r="V106" s="485">
        <f>F106*'4C2 Open-burning '!$C$9*'4C2 Open-burning '!$C$11*$C$5</f>
        <v>0</v>
      </c>
      <c r="W106" s="485">
        <f>G106*'4C2 Open-burning '!$C$9*'4C2 Open-burning '!$C$11*$C$5</f>
        <v>0</v>
      </c>
      <c r="X106" s="485">
        <f>H106*'4C2 Open-burning '!$C$9*'4C2 Open-burning '!$C$11*$C$5</f>
        <v>0</v>
      </c>
      <c r="Y106" s="485">
        <f>I106*'4C2 Open-burning '!$C$9*'4C2 Open-burning '!$C$11*$C$5</f>
        <v>1.7837737158236826</v>
      </c>
      <c r="Z106" s="486">
        <f t="shared" si="9"/>
        <v>5.5098817617828963</v>
      </c>
      <c r="AA106" s="487">
        <f>C106*'4C2 Open-burning '!$C$10*'4C2 Open-burning '!$C$11*$C$5*C$15</f>
        <v>1.4763864441738848E-2</v>
      </c>
      <c r="AB106" s="487">
        <f>D106*'4C2 Open-burning '!$C$10*'4C2 Open-burning '!$C$11*$C$5*D$15</f>
        <v>1.541945719941184E-2</v>
      </c>
      <c r="AC106" s="487">
        <f>E106*'4C2 Open-burning '!$C$10*'4C2 Open-burning '!$C$11*$C$5*E$15</f>
        <v>9.4759241850254049E-3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3.7047607944030336E-2</v>
      </c>
      <c r="AH106" s="488">
        <f t="shared" si="10"/>
        <v>7.6706853770206432E-2</v>
      </c>
      <c r="AI106" s="1387"/>
      <c r="AJ106" s="1386"/>
      <c r="AK106" s="1387"/>
    </row>
    <row r="107" spans="1:37">
      <c r="A107" s="489">
        <f>'Input data'!A136</f>
        <v>2036</v>
      </c>
      <c r="B107" s="122">
        <f>'Recycling - Case 1'!AP116</f>
        <v>6.5361613404620822E-2</v>
      </c>
      <c r="C107" s="527">
        <f>$B107*'Recycling - Case 1'!BM116*'Recycling - Case 1'!$AK116</f>
        <v>383.68860299220722</v>
      </c>
      <c r="D107" s="528">
        <f>$B107*'Recycling - Case 1'!BN116*'Recycling - Case 1'!$AK116</f>
        <v>400.7263826545713</v>
      </c>
      <c r="E107" s="528">
        <f>$B107*'Recycling - Case 1'!BO116*'Recycling - Case 1'!$AK116</f>
        <v>109.4505402237733</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427.91400862836304</v>
      </c>
      <c r="J107" s="744">
        <f t="shared" si="11"/>
        <v>1321.7795344989149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0.57818780180771379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14.742493425264362</v>
      </c>
      <c r="R107" s="1378">
        <f t="shared" si="8"/>
        <v>15.320681227072075</v>
      </c>
      <c r="S107" s="485">
        <f>C107*'4C2 Open-burning '!$C$9*'4C2 Open-burning '!$C$11*$C$5</f>
        <v>1.4963855516696083</v>
      </c>
      <c r="T107" s="485">
        <f>D107*'4C2 Open-burning '!$C$9*'4C2 Open-burning '!$C$11*$C$5</f>
        <v>1.5628328923528279</v>
      </c>
      <c r="U107" s="485">
        <f>E107*'4C2 Open-burning '!$C$9*'4C2 Open-burning '!$C$11*$C$5</f>
        <v>0.42685710687271589</v>
      </c>
      <c r="V107" s="485">
        <f>F107*'4C2 Open-burning '!$C$9*'4C2 Open-burning '!$C$11*$C$5</f>
        <v>0</v>
      </c>
      <c r="W107" s="485">
        <f>G107*'4C2 Open-burning '!$C$9*'4C2 Open-burning '!$C$11*$C$5</f>
        <v>0</v>
      </c>
      <c r="X107" s="485">
        <f>H107*'4C2 Open-burning '!$C$9*'4C2 Open-burning '!$C$11*$C$5</f>
        <v>0</v>
      </c>
      <c r="Y107" s="485">
        <f>I107*'4C2 Open-burning '!$C$9*'4C2 Open-burning '!$C$11*$C$5</f>
        <v>1.6688646336506157</v>
      </c>
      <c r="Z107" s="486">
        <f t="shared" si="9"/>
        <v>5.1549401845457679</v>
      </c>
      <c r="AA107" s="487">
        <f>C107*'4C2 Open-burning '!$C$10*'4C2 Open-burning '!$C$11*$C$5*C$15</f>
        <v>1.3812789707719458E-2</v>
      </c>
      <c r="AB107" s="487">
        <f>D107*'4C2 Open-burning '!$C$10*'4C2 Open-burning '!$C$11*$C$5*D$15</f>
        <v>1.4426149775564565E-2</v>
      </c>
      <c r="AC107" s="487">
        <f>E107*'4C2 Open-burning '!$C$10*'4C2 Open-burning '!$C$11*$C$5*E$15</f>
        <v>8.8654937581256373E-3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3.4661034698897406E-2</v>
      </c>
      <c r="AH107" s="488">
        <f t="shared" si="10"/>
        <v>7.1765467940307068E-2</v>
      </c>
      <c r="AI107" s="1387"/>
      <c r="AJ107" s="1386"/>
      <c r="AK107" s="1387"/>
    </row>
    <row r="108" spans="1:37">
      <c r="A108" s="489">
        <f>'Input data'!A137</f>
        <v>2037</v>
      </c>
      <c r="B108" s="122">
        <f>'Recycling - Case 1'!AP117</f>
        <v>6.388692606019282E-2</v>
      </c>
      <c r="C108" s="527">
        <f>$B108*'Recycling - Case 1'!BM117*'Recycling - Case 1'!$AK117</f>
        <v>374.23631049271296</v>
      </c>
      <c r="D108" s="528">
        <f>$B108*'Recycling - Case 1'!BN117*'Recycling - Case 1'!$AK117</f>
        <v>390.85435895729142</v>
      </c>
      <c r="E108" s="528">
        <f>$B108*'Recycling - Case 1'!BO117*'Recycling - Case 1'!$AK117</f>
        <v>106.75419086037098</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417.37220899542336</v>
      </c>
      <c r="J108" s="744">
        <f t="shared" si="11"/>
        <v>1289.2170693057988</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0.56394395880663017</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14.379307344310325</v>
      </c>
      <c r="R108" s="1378">
        <f t="shared" si="8"/>
        <v>14.943251303116956</v>
      </c>
      <c r="S108" s="485">
        <f>C108*'4C2 Open-burning '!$C$9*'4C2 Open-burning '!$C$11*$C$5</f>
        <v>1.4595216109215803</v>
      </c>
      <c r="T108" s="485">
        <f>D108*'4C2 Open-burning '!$C$9*'4C2 Open-burning '!$C$11*$C$5</f>
        <v>1.5243319999334364</v>
      </c>
      <c r="U108" s="485">
        <f>E108*'4C2 Open-burning '!$C$9*'4C2 Open-burning '!$C$11*$C$5</f>
        <v>0.41634134435544679</v>
      </c>
      <c r="V108" s="485">
        <f>F108*'4C2 Open-burning '!$C$9*'4C2 Open-burning '!$C$11*$C$5</f>
        <v>0</v>
      </c>
      <c r="W108" s="485">
        <f>G108*'4C2 Open-burning '!$C$9*'4C2 Open-burning '!$C$11*$C$5</f>
        <v>0</v>
      </c>
      <c r="X108" s="485">
        <f>H108*'4C2 Open-burning '!$C$9*'4C2 Open-burning '!$C$11*$C$5</f>
        <v>0</v>
      </c>
      <c r="Y108" s="485">
        <f>I108*'4C2 Open-burning '!$C$9*'4C2 Open-burning '!$C$11*$C$5</f>
        <v>1.6277516150821509</v>
      </c>
      <c r="Z108" s="486">
        <f t="shared" si="9"/>
        <v>5.0279465702926149</v>
      </c>
      <c r="AA108" s="487">
        <f>C108*'4C2 Open-burning '!$C$10*'4C2 Open-burning '!$C$11*$C$5*C$15</f>
        <v>1.3472507177737666E-2</v>
      </c>
      <c r="AB108" s="487">
        <f>D108*'4C2 Open-burning '!$C$10*'4C2 Open-burning '!$C$11*$C$5*D$15</f>
        <v>1.4070756922462492E-2</v>
      </c>
      <c r="AC108" s="487">
        <f>E108*'4C2 Open-burning '!$C$10*'4C2 Open-burning '!$C$11*$C$5*E$15</f>
        <v>8.6470894596900483E-3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3.3807148928629294E-2</v>
      </c>
      <c r="AH108" s="488">
        <f t="shared" si="10"/>
        <v>6.9997502488519492E-2</v>
      </c>
      <c r="AI108" s="1387"/>
      <c r="AJ108" s="1386"/>
      <c r="AK108" s="1387"/>
    </row>
    <row r="109" spans="1:37">
      <c r="A109" s="489">
        <f>'Input data'!A138</f>
        <v>2038</v>
      </c>
      <c r="B109" s="122">
        <f>'Recycling - Case 1'!AP118</f>
        <v>6.1457202657488934E-2</v>
      </c>
      <c r="C109" s="527">
        <f>$B109*'Recycling - Case 1'!BM118*'Recycling - Case 1'!$AK118</f>
        <v>357.35534606163924</v>
      </c>
      <c r="D109" s="528">
        <f>$B109*'Recycling - Case 1'!BN118*'Recycling - Case 1'!$AK118</f>
        <v>373.22379146211341</v>
      </c>
      <c r="E109" s="528">
        <f>$B109*'Recycling - Case 1'!BO118*'Recycling - Case 1'!$AK118</f>
        <v>101.93874765442084</v>
      </c>
      <c r="F109" s="528">
        <f>$B109*'Recycling - Case 1'!BP118*'Recycling - Case 1'!$AK118</f>
        <v>0</v>
      </c>
      <c r="G109" s="528">
        <f>$B109*'Recycling - Case 1'!BQ118*'Recycling - Case 1'!$AK118</f>
        <v>0</v>
      </c>
      <c r="H109" s="528">
        <f>$B109*'Recycling - Case 1'!BR118*'Recycling - Case 1'!$AK118</f>
        <v>0</v>
      </c>
      <c r="I109" s="528">
        <f>$B109*'Recycling - Case 1'!BS118*'Recycling - Case 1'!$AK118</f>
        <v>398.5454804898589</v>
      </c>
      <c r="J109" s="744">
        <f t="shared" si="11"/>
        <v>1231.0633656680325</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0.5385057059091497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13.730688893836618</v>
      </c>
      <c r="R109" s="1378">
        <f t="shared" si="8"/>
        <v>14.269194599745768</v>
      </c>
      <c r="S109" s="485">
        <f>C109*'4C2 Open-burning '!$C$9*'4C2 Open-burning '!$C$11*$C$5</f>
        <v>1.393685849640393</v>
      </c>
      <c r="T109" s="485">
        <f>D109*'4C2 Open-burning '!$C$9*'4C2 Open-burning '!$C$11*$C$5</f>
        <v>1.4555727867022423</v>
      </c>
      <c r="U109" s="485">
        <f>E109*'4C2 Open-burning '!$C$9*'4C2 Open-burning '!$C$11*$C$5</f>
        <v>0.39756111585224124</v>
      </c>
      <c r="V109" s="485">
        <f>F109*'4C2 Open-burning '!$C$9*'4C2 Open-burning '!$C$11*$C$5</f>
        <v>0</v>
      </c>
      <c r="W109" s="485">
        <f>G109*'4C2 Open-burning '!$C$9*'4C2 Open-burning '!$C$11*$C$5</f>
        <v>0</v>
      </c>
      <c r="X109" s="485">
        <f>H109*'4C2 Open-burning '!$C$9*'4C2 Open-burning '!$C$11*$C$5</f>
        <v>0</v>
      </c>
      <c r="Y109" s="485">
        <f>I109*'4C2 Open-burning '!$C$9*'4C2 Open-burning '!$C$11*$C$5</f>
        <v>1.5543273739104497</v>
      </c>
      <c r="Z109" s="486">
        <f t="shared" si="9"/>
        <v>4.8011471261053265</v>
      </c>
      <c r="AA109" s="487">
        <f>C109*'4C2 Open-burning '!$C$10*'4C2 Open-burning '!$C$11*$C$5*C$15</f>
        <v>1.2864792458219013E-2</v>
      </c>
      <c r="AB109" s="487">
        <f>D109*'4C2 Open-burning '!$C$10*'4C2 Open-burning '!$C$11*$C$5*D$15</f>
        <v>1.3436056492636081E-2</v>
      </c>
      <c r="AC109" s="487">
        <f>E109*'4C2 Open-burning '!$C$10*'4C2 Open-burning '!$C$11*$C$5*E$15</f>
        <v>8.257038560008088E-3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3.2282183919678568E-2</v>
      </c>
      <c r="AH109" s="488">
        <f t="shared" si="10"/>
        <v>6.6840071430541742E-2</v>
      </c>
      <c r="AI109" s="1387"/>
      <c r="AJ109" s="1386"/>
      <c r="AK109" s="1387"/>
    </row>
    <row r="110" spans="1:37">
      <c r="A110" s="489">
        <f>'Input data'!A139</f>
        <v>2039</v>
      </c>
      <c r="B110" s="122">
        <f>'Recycling - Case 1'!AP119</f>
        <v>5.9013679687532912E-2</v>
      </c>
      <c r="C110" s="527">
        <f>$B110*'Recycling - Case 1'!BM119*'Recycling - Case 1'!$AK119</f>
        <v>340.58361833244021</v>
      </c>
      <c r="D110" s="528">
        <f>$B110*'Recycling - Case 1'!BN119*'Recycling - Case 1'!$AK119</f>
        <v>355.70731134939615</v>
      </c>
      <c r="E110" s="528">
        <f>$B110*'Recycling - Case 1'!BO119*'Recycling - Case 1'!$AK119</f>
        <v>97.154465176048262</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379.84057972330999</v>
      </c>
      <c r="J110" s="744">
        <f t="shared" si="11"/>
        <v>1173.2859745811945</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0.51323206391759957</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13.086267652627475</v>
      </c>
      <c r="R110" s="1378">
        <f t="shared" si="8"/>
        <v>13.599499716545076</v>
      </c>
      <c r="S110" s="485">
        <f>C110*'4C2 Open-burning '!$C$9*'4C2 Open-burning '!$C$11*$C$5</f>
        <v>1.3282761114965165</v>
      </c>
      <c r="T110" s="485">
        <f>D110*'4C2 Open-burning '!$C$9*'4C2 Open-burning '!$C$11*$C$5</f>
        <v>1.387258514262645</v>
      </c>
      <c r="U110" s="485">
        <f>E110*'4C2 Open-burning '!$C$9*'4C2 Open-burning '!$C$11*$C$5</f>
        <v>0.37890241418658821</v>
      </c>
      <c r="V110" s="485">
        <f>F110*'4C2 Open-burning '!$C$9*'4C2 Open-burning '!$C$11*$C$5</f>
        <v>0</v>
      </c>
      <c r="W110" s="485">
        <f>G110*'4C2 Open-burning '!$C$9*'4C2 Open-burning '!$C$11*$C$5</f>
        <v>0</v>
      </c>
      <c r="X110" s="485">
        <f>H110*'4C2 Open-burning '!$C$9*'4C2 Open-burning '!$C$11*$C$5</f>
        <v>0</v>
      </c>
      <c r="Y110" s="485">
        <f>I110*'4C2 Open-burning '!$C$9*'4C2 Open-burning '!$C$11*$C$5</f>
        <v>1.481378260920909</v>
      </c>
      <c r="Z110" s="486">
        <f t="shared" si="9"/>
        <v>4.5758153008666591</v>
      </c>
      <c r="AA110" s="487">
        <f>C110*'4C2 Open-burning '!$C$10*'4C2 Open-burning '!$C$11*$C$5*C$15</f>
        <v>1.2261010259967845E-2</v>
      </c>
      <c r="AB110" s="487">
        <f>D110*'4C2 Open-burning '!$C$10*'4C2 Open-burning '!$C$11*$C$5*D$15</f>
        <v>1.2805463208578262E-2</v>
      </c>
      <c r="AC110" s="487">
        <f>E110*'4C2 Open-burning '!$C$10*'4C2 Open-burning '!$C$11*$C$5*E$15</f>
        <v>7.8695116792599079E-3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3.0767086957588102E-2</v>
      </c>
      <c r="AH110" s="488">
        <f t="shared" si="10"/>
        <v>6.3703072105394123E-2</v>
      </c>
      <c r="AI110" s="1387"/>
      <c r="AJ110" s="1386"/>
      <c r="AK110" s="1387"/>
    </row>
    <row r="111" spans="1:37">
      <c r="A111" s="489">
        <f>'Input data'!A140</f>
        <v>2040</v>
      </c>
      <c r="B111" s="122">
        <f>'Recycling - Case 1'!AP120</f>
        <v>5.6554799252201797E-2</v>
      </c>
      <c r="C111" s="527">
        <f>$B111*'Recycling - Case 1'!BM120*'Recycling - Case 1'!$AK120</f>
        <v>323.9153419789738</v>
      </c>
      <c r="D111" s="528">
        <f>$B111*'Recycling - Case 1'!BN120*'Recycling - Case 1'!$AK120</f>
        <v>338.29887639427443</v>
      </c>
      <c r="E111" s="528">
        <f>$B111*'Recycling - Case 1'!BO120*'Recycling - Case 1'!$AK120</f>
        <v>92.399693110214713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361.25105453097046</v>
      </c>
      <c r="J111" s="744">
        <f t="shared" si="11"/>
        <v>1115.8649660144333</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0.48811431481174467</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12.445821330700992</v>
      </c>
      <c r="R111" s="1378">
        <f t="shared" si="8"/>
        <v>12.933935645512737</v>
      </c>
      <c r="S111" s="485">
        <f>C111*'4C2 Open-burning '!$C$9*'4C2 Open-burning '!$C$11*$C$5</f>
        <v>1.2632698337179975</v>
      </c>
      <c r="T111" s="485">
        <f>D111*'4C2 Open-burning '!$C$9*'4C2 Open-burning '!$C$11*$C$5</f>
        <v>1.31936561793767</v>
      </c>
      <c r="U111" s="485">
        <f>E111*'4C2 Open-burning '!$C$9*'4C2 Open-burning '!$C$11*$C$5</f>
        <v>0.36035880312983737</v>
      </c>
      <c r="V111" s="485">
        <f>F111*'4C2 Open-burning '!$C$9*'4C2 Open-burning '!$C$11*$C$5</f>
        <v>0</v>
      </c>
      <c r="W111" s="485">
        <f>G111*'4C2 Open-burning '!$C$9*'4C2 Open-burning '!$C$11*$C$5</f>
        <v>0</v>
      </c>
      <c r="X111" s="485">
        <f>H111*'4C2 Open-burning '!$C$9*'4C2 Open-burning '!$C$11*$C$5</f>
        <v>0</v>
      </c>
      <c r="Y111" s="485">
        <f>I111*'4C2 Open-burning '!$C$9*'4C2 Open-burning '!$C$11*$C$5</f>
        <v>1.4088791126707847</v>
      </c>
      <c r="Z111" s="486">
        <f t="shared" si="9"/>
        <v>4.3518733674562897</v>
      </c>
      <c r="AA111" s="487">
        <f>C111*'4C2 Open-burning '!$C$10*'4C2 Open-burning '!$C$11*$C$5*C$15</f>
        <v>1.1660952311243056E-2</v>
      </c>
      <c r="AB111" s="487">
        <f>D111*'4C2 Open-burning '!$C$10*'4C2 Open-burning '!$C$11*$C$5*D$15</f>
        <v>1.2178759550193879E-2</v>
      </c>
      <c r="AC111" s="487">
        <f>E111*'4C2 Open-burning '!$C$10*'4C2 Open-burning '!$C$11*$C$5*E$15</f>
        <v>7.4843751419273906E-3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2.9261335417008604E-2</v>
      </c>
      <c r="AH111" s="488">
        <f t="shared" si="10"/>
        <v>6.0585422420372931E-2</v>
      </c>
      <c r="AI111" s="1387"/>
      <c r="AJ111" s="1386"/>
      <c r="AK111" s="1387"/>
    </row>
    <row r="112" spans="1:37">
      <c r="A112" s="489">
        <f>'Input data'!A141</f>
        <v>2041</v>
      </c>
      <c r="B112" s="122">
        <f>'Recycling - Case 1'!AP121</f>
        <v>5.4078218339348866E-2</v>
      </c>
      <c r="C112" s="527">
        <f>$B112*'Recycling - Case 1'!BM121*'Recycling - Case 1'!$AK121</f>
        <v>307.34345863669188</v>
      </c>
      <c r="D112" s="528">
        <f>$B112*'Recycling - Case 1'!BN121*'Recycling - Case 1'!$AK121</f>
        <v>320.99111480391775</v>
      </c>
      <c r="E112" s="528">
        <f>$B112*'Recycling - Case 1'!BO121*'Recycling - Case 1'!$AK121</f>
        <v>87.672417996507619</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342.7690329743869</v>
      </c>
      <c r="J112" s="744">
        <f t="shared" si="11"/>
        <v>1058.7760244115041</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0.463141822205071</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11.809078724033576</v>
      </c>
      <c r="R112" s="1378">
        <f t="shared" si="8"/>
        <v>12.272220546238646</v>
      </c>
      <c r="S112" s="485">
        <f>C112*'4C2 Open-burning '!$C$9*'4C2 Open-burning '!$C$11*$C$5</f>
        <v>1.1986394886830982</v>
      </c>
      <c r="T112" s="485">
        <f>D112*'4C2 Open-burning '!$C$9*'4C2 Open-burning '!$C$11*$C$5</f>
        <v>1.251865347735279</v>
      </c>
      <c r="U112" s="485">
        <f>E112*'4C2 Open-burning '!$C$9*'4C2 Open-burning '!$C$11*$C$5</f>
        <v>0.34192243018637969</v>
      </c>
      <c r="V112" s="485">
        <f>F112*'4C2 Open-burning '!$C$9*'4C2 Open-burning '!$C$11*$C$5</f>
        <v>0</v>
      </c>
      <c r="W112" s="485">
        <f>G112*'4C2 Open-burning '!$C$9*'4C2 Open-burning '!$C$11*$C$5</f>
        <v>0</v>
      </c>
      <c r="X112" s="485">
        <f>H112*'4C2 Open-burning '!$C$9*'4C2 Open-burning '!$C$11*$C$5</f>
        <v>0</v>
      </c>
      <c r="Y112" s="485">
        <f>I112*'4C2 Open-burning '!$C$9*'4C2 Open-burning '!$C$11*$C$5</f>
        <v>1.3367992286001087</v>
      </c>
      <c r="Z112" s="486">
        <f t="shared" si="9"/>
        <v>4.1292264952048656</v>
      </c>
      <c r="AA112" s="487">
        <f>C112*'4C2 Open-burning '!$C$10*'4C2 Open-burning '!$C$11*$C$5*C$15</f>
        <v>1.1064364510920908E-2</v>
      </c>
      <c r="AB112" s="487">
        <f>D112*'4C2 Open-burning '!$C$10*'4C2 Open-burning '!$C$11*$C$5*D$15</f>
        <v>1.1555680132941039E-2</v>
      </c>
      <c r="AC112" s="487">
        <f>E112*'4C2 Open-burning '!$C$10*'4C2 Open-burning '!$C$11*$C$5*E$15</f>
        <v>7.1014658577171173E-3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2.7764291670925336E-2</v>
      </c>
      <c r="AH112" s="488">
        <f t="shared" si="10"/>
        <v>5.7485802172504402E-2</v>
      </c>
      <c r="AI112" s="1387"/>
      <c r="AJ112" s="1386"/>
      <c r="AK112" s="1387"/>
    </row>
    <row r="113" spans="1:37">
      <c r="A113" s="489">
        <f>'Input data'!A142</f>
        <v>2042</v>
      </c>
      <c r="B113" s="122">
        <f>'Recycling - Case 1'!AP122</f>
        <v>5.1582358170965049E-2</v>
      </c>
      <c r="C113" s="527">
        <f>$B113*'Recycling - Case 1'!BM122*'Recycling - Case 1'!$AK122</f>
        <v>290.86296906805973</v>
      </c>
      <c r="D113" s="528">
        <f>$B113*'Recycling - Case 1'!BN122*'Recycling - Case 1'!$AK122</f>
        <v>303.77880534851153</v>
      </c>
      <c r="E113" s="528">
        <f>$B113*'Recycling - Case 1'!BO122*'Recycling - Case 1'!$AK122</f>
        <v>82.971213758560296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324.38893958491877</v>
      </c>
      <c r="J113" s="744">
        <f t="shared" si="11"/>
        <v>1002.0019277600504</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0.43830705264952097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11.17584774657962</v>
      </c>
      <c r="R113" s="1378">
        <f t="shared" si="8"/>
        <v>11.614154799229141</v>
      </c>
      <c r="S113" s="485">
        <f>C113*'4C2 Open-burning '!$C$9*'4C2 Open-burning '!$C$11*$C$5</f>
        <v>1.1343655793654328</v>
      </c>
      <c r="T113" s="485">
        <f>D113*'4C2 Open-burning '!$C$9*'4C2 Open-burning '!$C$11*$C$5</f>
        <v>1.1847373408591948</v>
      </c>
      <c r="U113" s="485">
        <f>E113*'4C2 Open-burning '!$C$9*'4C2 Open-burning '!$C$11*$C$5</f>
        <v>0.32358773365838506</v>
      </c>
      <c r="V113" s="485">
        <f>F113*'4C2 Open-burning '!$C$9*'4C2 Open-burning '!$C$11*$C$5</f>
        <v>0</v>
      </c>
      <c r="W113" s="485">
        <f>G113*'4C2 Open-burning '!$C$9*'4C2 Open-burning '!$C$11*$C$5</f>
        <v>0</v>
      </c>
      <c r="X113" s="485">
        <f>H113*'4C2 Open-burning '!$C$9*'4C2 Open-burning '!$C$11*$C$5</f>
        <v>0</v>
      </c>
      <c r="Y113" s="485">
        <f>I113*'4C2 Open-burning '!$C$9*'4C2 Open-burning '!$C$11*$C$5</f>
        <v>1.2651168643811832</v>
      </c>
      <c r="Z113" s="486">
        <f t="shared" si="9"/>
        <v>3.907807518264196</v>
      </c>
      <c r="AA113" s="487">
        <f>C113*'4C2 Open-burning '!$C$10*'4C2 Open-burning '!$C$11*$C$5*C$15</f>
        <v>1.047106688645015E-2</v>
      </c>
      <c r="AB113" s="487">
        <f>D113*'4C2 Open-burning '!$C$10*'4C2 Open-burning '!$C$11*$C$5*D$15</f>
        <v>1.0936036992546415E-2</v>
      </c>
      <c r="AC113" s="487">
        <f>E113*'4C2 Open-burning '!$C$10*'4C2 Open-burning '!$C$11*$C$5*E$15</f>
        <v>6.7206683144433827E-3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2.6275504106378422E-2</v>
      </c>
      <c r="AH113" s="488">
        <f t="shared" si="10"/>
        <v>5.4403276299818372E-2</v>
      </c>
      <c r="AI113" s="1387"/>
      <c r="AJ113" s="1386"/>
      <c r="AK113" s="1387"/>
    </row>
    <row r="114" spans="1:37">
      <c r="A114" s="489">
        <f>'Input data'!A143</f>
        <v>2043</v>
      </c>
      <c r="B114" s="122">
        <f>'Recycling - Case 1'!AP123</f>
        <v>4.9065582629045174E-2</v>
      </c>
      <c r="C114" s="527">
        <f>$B114*'Recycling - Case 1'!BM123*'Recycling - Case 1'!$AK123</f>
        <v>274.46908307885695</v>
      </c>
      <c r="D114" s="528">
        <f>$B114*'Recycling - Case 1'!BN123*'Recycling - Case 1'!$AK123</f>
        <v>286.65694512417195</v>
      </c>
      <c r="E114" s="528">
        <f>$B114*'Recycling - Case 1'!BO123*'Recycling - Case 1'!$AK123</f>
        <v>78.29471395144553</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306.10543203236693</v>
      </c>
      <c r="J114" s="744">
        <f t="shared" si="11"/>
        <v>945.52617418684133</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0.4136027877084642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10.545944344379105</v>
      </c>
      <c r="R114" s="1378">
        <f t="shared" si="8"/>
        <v>10.95954713208757</v>
      </c>
      <c r="S114" s="485">
        <f>C114*'4C2 Open-burning '!$C$9*'4C2 Open-burning '!$C$11*$C$5</f>
        <v>1.0704294240075418</v>
      </c>
      <c r="T114" s="485">
        <f>D114*'4C2 Open-burning '!$C$9*'4C2 Open-burning '!$C$11*$C$5</f>
        <v>1.1179620859842705</v>
      </c>
      <c r="U114" s="485">
        <f>E114*'4C2 Open-burning '!$C$9*'4C2 Open-burning '!$C$11*$C$5</f>
        <v>0.30534938441063758</v>
      </c>
      <c r="V114" s="485">
        <f>F114*'4C2 Open-burning '!$C$9*'4C2 Open-burning '!$C$11*$C$5</f>
        <v>0</v>
      </c>
      <c r="W114" s="485">
        <f>G114*'4C2 Open-burning '!$C$9*'4C2 Open-burning '!$C$11*$C$5</f>
        <v>0</v>
      </c>
      <c r="X114" s="485">
        <f>H114*'4C2 Open-burning '!$C$9*'4C2 Open-burning '!$C$11*$C$5</f>
        <v>0</v>
      </c>
      <c r="Y114" s="485">
        <f>I114*'4C2 Open-burning '!$C$9*'4C2 Open-burning '!$C$11*$C$5</f>
        <v>1.193811184926231</v>
      </c>
      <c r="Z114" s="486">
        <f t="shared" si="9"/>
        <v>3.6875520793286811</v>
      </c>
      <c r="AA114" s="487">
        <f>C114*'4C2 Open-burning '!$C$10*'4C2 Open-burning '!$C$11*$C$5*C$15</f>
        <v>9.8808869908388504E-3</v>
      </c>
      <c r="AB114" s="487">
        <f>D114*'4C2 Open-burning '!$C$10*'4C2 Open-burning '!$C$11*$C$5*D$15</f>
        <v>1.0319650024470189E-2</v>
      </c>
      <c r="AC114" s="487">
        <f>E114*'4C2 Open-burning '!$C$10*'4C2 Open-burning '!$C$11*$C$5*E$15</f>
        <v>6.3418718300670878E-3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2.4794539994621723E-2</v>
      </c>
      <c r="AH114" s="488">
        <f t="shared" si="10"/>
        <v>5.1336948839997849E-2</v>
      </c>
      <c r="AI114" s="1387"/>
      <c r="AJ114" s="1386"/>
      <c r="AK114" s="1387"/>
    </row>
    <row r="115" spans="1:37">
      <c r="A115" s="489">
        <f>'Input data'!A144</f>
        <v>2044</v>
      </c>
      <c r="B115" s="122">
        <f>'Recycling - Case 1'!AP124</f>
        <v>4.6526192741934411E-2</v>
      </c>
      <c r="C115" s="527">
        <f>$B115*'Recycling - Case 1'!BM124*'Recycling - Case 1'!$AK124</f>
        <v>258.15720627100825</v>
      </c>
      <c r="D115" s="528">
        <f>$B115*'Recycling - Case 1'!BN124*'Recycling - Case 1'!$AK124</f>
        <v>269.62073571753245</v>
      </c>
      <c r="E115" s="528">
        <f>$B115*'Recycling - Case 1'!BO124*'Recycling - Case 1'!$AK124</f>
        <v>73.641607982804231</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287.91338635088408</v>
      </c>
      <c r="J115" s="744">
        <f t="shared" si="11"/>
        <v>889.33293632222899</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0.38902210399428094</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9.9191919865606568</v>
      </c>
      <c r="R115" s="1378">
        <f t="shared" si="8"/>
        <v>10.308214090554937</v>
      </c>
      <c r="S115" s="485">
        <f>C115*'4C2 Open-burning '!$C$9*'4C2 Open-burning '!$C$11*$C$5</f>
        <v>1.0068131044569322</v>
      </c>
      <c r="T115" s="485">
        <f>D115*'4C2 Open-burning '!$C$9*'4C2 Open-burning '!$C$11*$C$5</f>
        <v>1.0515208692983764</v>
      </c>
      <c r="U115" s="485">
        <f>E115*'4C2 Open-burning '!$C$9*'4C2 Open-burning '!$C$11*$C$5</f>
        <v>0.2872022711329365</v>
      </c>
      <c r="V115" s="485">
        <f>F115*'4C2 Open-burning '!$C$9*'4C2 Open-burning '!$C$11*$C$5</f>
        <v>0</v>
      </c>
      <c r="W115" s="485">
        <f>G115*'4C2 Open-burning '!$C$9*'4C2 Open-burning '!$C$11*$C$5</f>
        <v>0</v>
      </c>
      <c r="X115" s="485">
        <f>H115*'4C2 Open-burning '!$C$9*'4C2 Open-burning '!$C$11*$C$5</f>
        <v>0</v>
      </c>
      <c r="Y115" s="485">
        <f>I115*'4C2 Open-burning '!$C$9*'4C2 Open-burning '!$C$11*$C$5</f>
        <v>1.1228622067684477</v>
      </c>
      <c r="Z115" s="486">
        <f t="shared" si="9"/>
        <v>3.4683984516566926</v>
      </c>
      <c r="AA115" s="487">
        <f>C115*'4C2 Open-burning '!$C$10*'4C2 Open-burning '!$C$11*$C$5*C$15</f>
        <v>9.2936594257562958E-3</v>
      </c>
      <c r="AB115" s="487">
        <f>D115*'4C2 Open-burning '!$C$10*'4C2 Open-burning '!$C$11*$C$5*D$15</f>
        <v>9.7063464858311681E-3</v>
      </c>
      <c r="AC115" s="487">
        <f>E115*'4C2 Open-burning '!$C$10*'4C2 Open-burning '!$C$11*$C$5*E$15</f>
        <v>5.9649702466071436E-3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2.3320984294421608E-2</v>
      </c>
      <c r="AH115" s="488">
        <f t="shared" si="10"/>
        <v>4.8285960452616218E-2</v>
      </c>
      <c r="AI115" s="1387"/>
      <c r="AJ115" s="1386"/>
      <c r="AK115" s="1387"/>
    </row>
    <row r="116" spans="1:37">
      <c r="A116" s="489">
        <f>'Input data'!A145</f>
        <v>2045</v>
      </c>
      <c r="B116" s="122">
        <f>'Recycling - Case 1'!AP125</f>
        <v>4.396242089998615E-2</v>
      </c>
      <c r="C116" s="527">
        <f>$B116*'Recycling - Case 1'!BM125*'Recycling - Case 1'!$AK125</f>
        <v>241.92292761997484</v>
      </c>
      <c r="D116" s="528">
        <f>$B116*'Recycling - Case 1'!BN125*'Recycling - Case 1'!$AK125</f>
        <v>252.66557023150659</v>
      </c>
      <c r="E116" s="528">
        <f>$B116*'Recycling - Case 1'!BO125*'Recycling - Case 1'!$AK125</f>
        <v>69.010637569187423</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269.80788308449007</v>
      </c>
      <c r="J116" s="744">
        <f t="shared" si="11"/>
        <v>833.40701850515893</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0.36455835444849222</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9.2954211880268502</v>
      </c>
      <c r="R116" s="1378">
        <f t="shared" si="8"/>
        <v>9.6599795424753427</v>
      </c>
      <c r="S116" s="485">
        <f>C116*'4C2 Open-burning '!$C$9*'4C2 Open-burning '!$C$11*$C$5</f>
        <v>0.9434994177179018</v>
      </c>
      <c r="T116" s="485">
        <f>D116*'4C2 Open-burning '!$C$9*'4C2 Open-burning '!$C$11*$C$5</f>
        <v>0.98539572390287566</v>
      </c>
      <c r="U116" s="485">
        <f>E116*'4C2 Open-burning '!$C$9*'4C2 Open-burning '!$C$11*$C$5</f>
        <v>0.26914148651983094</v>
      </c>
      <c r="V116" s="485">
        <f>F116*'4C2 Open-burning '!$C$9*'4C2 Open-burning '!$C$11*$C$5</f>
        <v>0</v>
      </c>
      <c r="W116" s="485">
        <f>G116*'4C2 Open-burning '!$C$9*'4C2 Open-burning '!$C$11*$C$5</f>
        <v>0</v>
      </c>
      <c r="X116" s="485">
        <f>H116*'4C2 Open-burning '!$C$9*'4C2 Open-burning '!$C$11*$C$5</f>
        <v>0</v>
      </c>
      <c r="Y116" s="485">
        <f>I116*'4C2 Open-burning '!$C$9*'4C2 Open-burning '!$C$11*$C$5</f>
        <v>1.0522507440295112</v>
      </c>
      <c r="Z116" s="486">
        <f t="shared" si="9"/>
        <v>3.2502873721701198</v>
      </c>
      <c r="AA116" s="487">
        <f>C116*'4C2 Open-burning '!$C$10*'4C2 Open-burning '!$C$11*$C$5*C$15</f>
        <v>8.709225394319094E-3</v>
      </c>
      <c r="AB116" s="487">
        <f>D116*'4C2 Open-burning '!$C$10*'4C2 Open-burning '!$C$11*$C$5*D$15</f>
        <v>9.0959605283342359E-3</v>
      </c>
      <c r="AC116" s="487">
        <f>E116*'4C2 Open-burning '!$C$10*'4C2 Open-burning '!$C$11*$C$5*E$15</f>
        <v>5.5898616431041808E-3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2.1854438529843694E-2</v>
      </c>
      <c r="AH116" s="488">
        <f t="shared" si="10"/>
        <v>4.5249486095601206E-2</v>
      </c>
      <c r="AI116" s="1387"/>
      <c r="AJ116" s="1386"/>
      <c r="AK116" s="1387"/>
    </row>
    <row r="117" spans="1:37">
      <c r="A117" s="489">
        <f>'Input data'!A146</f>
        <v>2046</v>
      </c>
      <c r="B117" s="122">
        <f>'Recycling - Case 1'!AP126</f>
        <v>4.1371815623805826E-2</v>
      </c>
      <c r="C117" s="527">
        <f>$B117*'Recycling - Case 1'!BM126*'Recycling - Case 1'!$AK126</f>
        <v>225.76089207846434</v>
      </c>
      <c r="D117" s="528">
        <f>$B117*'Recycling - Case 1'!BN126*'Recycling - Case 1'!$AK126</f>
        <v>235.78585582670928</v>
      </c>
      <c r="E117" s="528">
        <f>$B117*'Recycling - Case 1'!BO126*'Recycling - Case 1'!$AK126</f>
        <v>64.400275136373452</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251.78294994280301</v>
      </c>
      <c r="J117" s="744">
        <f t="shared" si="11"/>
        <v>777.72997298435007</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0.34020346944641183</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8.6744261914294487</v>
      </c>
      <c r="R117" s="1378">
        <f t="shared" si="8"/>
        <v>9.01462966087586</v>
      </c>
      <c r="S117" s="485">
        <f>C117*'4C2 Open-burning '!$C$9*'4C2 Open-burning '!$C$11*$C$5</f>
        <v>0.88046747910601086</v>
      </c>
      <c r="T117" s="485">
        <f>D117*'4C2 Open-burning '!$C$9*'4C2 Open-burning '!$C$11*$C$5</f>
        <v>0.91956483772416608</v>
      </c>
      <c r="U117" s="485">
        <f>E117*'4C2 Open-burning '!$C$9*'4C2 Open-burning '!$C$11*$C$5</f>
        <v>0.25116107303185642</v>
      </c>
      <c r="V117" s="485">
        <f>F117*'4C2 Open-burning '!$C$9*'4C2 Open-burning '!$C$11*$C$5</f>
        <v>0</v>
      </c>
      <c r="W117" s="485">
        <f>G117*'4C2 Open-burning '!$C$9*'4C2 Open-burning '!$C$11*$C$5</f>
        <v>0</v>
      </c>
      <c r="X117" s="485">
        <f>H117*'4C2 Open-burning '!$C$9*'4C2 Open-burning '!$C$11*$C$5</f>
        <v>0</v>
      </c>
      <c r="Y117" s="485">
        <f>I117*'4C2 Open-burning '!$C$9*'4C2 Open-burning '!$C$11*$C$5</f>
        <v>0.98195350477693166</v>
      </c>
      <c r="Z117" s="486">
        <f t="shared" si="9"/>
        <v>3.033146894638965</v>
      </c>
      <c r="AA117" s="487">
        <f>C117*'4C2 Open-burning '!$C$10*'4C2 Open-burning '!$C$11*$C$5*C$15</f>
        <v>8.1273921148247146E-3</v>
      </c>
      <c r="AB117" s="487">
        <f>D117*'4C2 Open-burning '!$C$10*'4C2 Open-burning '!$C$11*$C$5*D$15</f>
        <v>8.4882908097615346E-3</v>
      </c>
      <c r="AC117" s="487">
        <f>E117*'4C2 Open-burning '!$C$10*'4C2 Open-burning '!$C$11*$C$5*E$15</f>
        <v>5.2164222860462501E-3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2.0394418945367046E-2</v>
      </c>
      <c r="AH117" s="488">
        <f t="shared" si="10"/>
        <v>4.2226524155999548E-2</v>
      </c>
      <c r="AI117" s="1387"/>
      <c r="AJ117" s="1386"/>
      <c r="AK117" s="1387"/>
    </row>
    <row r="118" spans="1:37">
      <c r="A118" s="489">
        <f>'Input data'!A147</f>
        <v>2047</v>
      </c>
      <c r="B118" s="122">
        <f>'Recycling - Case 1'!AP127</f>
        <v>3.8752553994488063E-2</v>
      </c>
      <c r="C118" s="527">
        <f>$B118*'Recycling - Case 1'!BM127*'Recycling - Case 1'!$AK127</f>
        <v>209.66728517475207</v>
      </c>
      <c r="D118" s="528">
        <f>$B118*'Recycling - Case 1'!BN127*'Recycling - Case 1'!$AK127</f>
        <v>218.97760864893155</v>
      </c>
      <c r="E118" s="528">
        <f>$B118*'Recycling - Case 1'!BO127*'Recycling - Case 1'!$AK127</f>
        <v>59.809432572837281</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233.83433278359985</v>
      </c>
      <c r="J118" s="744">
        <f t="shared" si="11"/>
        <v>722.2886591801207</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0.31595170088657315</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8.0560604330605816</v>
      </c>
      <c r="R118" s="1378">
        <f t="shared" si="8"/>
        <v>8.3720121339471554</v>
      </c>
      <c r="S118" s="485">
        <f>C118*'4C2 Open-burning '!$C$9*'4C2 Open-burning '!$C$11*$C$5</f>
        <v>0.81770241218153306</v>
      </c>
      <c r="T118" s="485">
        <f>D118*'4C2 Open-burning '!$C$9*'4C2 Open-burning '!$C$11*$C$5</f>
        <v>0.85401267373083289</v>
      </c>
      <c r="U118" s="485">
        <f>E118*'4C2 Open-burning '!$C$9*'4C2 Open-burning '!$C$11*$C$5</f>
        <v>0.23325678703406538</v>
      </c>
      <c r="V118" s="485">
        <f>F118*'4C2 Open-burning '!$C$9*'4C2 Open-burning '!$C$11*$C$5</f>
        <v>0</v>
      </c>
      <c r="W118" s="485">
        <f>G118*'4C2 Open-burning '!$C$9*'4C2 Open-burning '!$C$11*$C$5</f>
        <v>0</v>
      </c>
      <c r="X118" s="485">
        <f>H118*'4C2 Open-burning '!$C$9*'4C2 Open-burning '!$C$11*$C$5</f>
        <v>0</v>
      </c>
      <c r="Y118" s="485">
        <f>I118*'4C2 Open-burning '!$C$9*'4C2 Open-burning '!$C$11*$C$5</f>
        <v>0.91195389785603931</v>
      </c>
      <c r="Z118" s="486">
        <f t="shared" si="9"/>
        <v>2.8169257708024706</v>
      </c>
      <c r="AA118" s="487">
        <f>C118*'4C2 Open-burning '!$C$10*'4C2 Open-burning '!$C$11*$C$5*C$15</f>
        <v>7.548022266291074E-3</v>
      </c>
      <c r="AB118" s="487">
        <f>D118*'4C2 Open-burning '!$C$10*'4C2 Open-burning '!$C$11*$C$5*D$15</f>
        <v>7.8831939113615367E-3</v>
      </c>
      <c r="AC118" s="487">
        <f>E118*'4C2 Open-burning '!$C$10*'4C2 Open-burning '!$C$11*$C$5*E$15</f>
        <v>4.8445640383998198E-3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1.8940580955471589E-2</v>
      </c>
      <c r="AH118" s="488">
        <f t="shared" si="10"/>
        <v>3.9216361171524022E-2</v>
      </c>
      <c r="AI118" s="1387"/>
      <c r="AJ118" s="1386"/>
      <c r="AK118" s="1387"/>
    </row>
    <row r="119" spans="1:37">
      <c r="A119" s="489">
        <f>'Input data'!A148</f>
        <v>2048</v>
      </c>
      <c r="B119" s="122">
        <f>'Recycling - Case 1'!AP128</f>
        <v>3.8568157075788319E-2</v>
      </c>
      <c r="C119" s="527">
        <f>$B119*'Recycling - Case 1'!BM128*'Recycling - Case 1'!$AK128</f>
        <v>209.33884438458995</v>
      </c>
      <c r="D119" s="528">
        <f>$B119*'Recycling - Case 1'!BN128*'Recycling - Case 1'!$AK128</f>
        <v>218.63458337079851</v>
      </c>
      <c r="E119" s="528">
        <f>$B119*'Recycling - Case 1'!BO128*'Recycling - Case 1'!$AK128</f>
        <v>59.715741955929651</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233.46803466054041</v>
      </c>
      <c r="J119" s="744">
        <f t="shared" si="11"/>
        <v>721.1572043718586</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0.31545676708607223</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8.0434407301249369</v>
      </c>
      <c r="R119" s="1378">
        <f t="shared" si="8"/>
        <v>8.3588974972110091</v>
      </c>
      <c r="S119" s="485">
        <f>C119*'4C2 Open-burning '!$C$9*'4C2 Open-burning '!$C$11*$C$5</f>
        <v>0.81642149309990075</v>
      </c>
      <c r="T119" s="485">
        <f>D119*'4C2 Open-burning '!$C$9*'4C2 Open-burning '!$C$11*$C$5</f>
        <v>0.85267487514611418</v>
      </c>
      <c r="U119" s="485">
        <f>E119*'4C2 Open-burning '!$C$9*'4C2 Open-burning '!$C$11*$C$5</f>
        <v>0.23289139362812561</v>
      </c>
      <c r="V119" s="485">
        <f>F119*'4C2 Open-burning '!$C$9*'4C2 Open-burning '!$C$11*$C$5</f>
        <v>0</v>
      </c>
      <c r="W119" s="485">
        <f>G119*'4C2 Open-burning '!$C$9*'4C2 Open-burning '!$C$11*$C$5</f>
        <v>0</v>
      </c>
      <c r="X119" s="485">
        <f>H119*'4C2 Open-burning '!$C$9*'4C2 Open-burning '!$C$11*$C$5</f>
        <v>0</v>
      </c>
      <c r="Y119" s="485">
        <f>I119*'4C2 Open-burning '!$C$9*'4C2 Open-burning '!$C$11*$C$5</f>
        <v>0.91052533517610756</v>
      </c>
      <c r="Z119" s="486">
        <f t="shared" si="9"/>
        <v>2.8125130970502479</v>
      </c>
      <c r="AA119" s="487">
        <f>C119*'4C2 Open-burning '!$C$10*'4C2 Open-burning '!$C$11*$C$5*C$15</f>
        <v>7.5361983978452386E-3</v>
      </c>
      <c r="AB119" s="487">
        <f>D119*'4C2 Open-burning '!$C$10*'4C2 Open-burning '!$C$11*$C$5*D$15</f>
        <v>7.8708450013487453E-3</v>
      </c>
      <c r="AC119" s="487">
        <f>E119*'4C2 Open-burning '!$C$10*'4C2 Open-burning '!$C$11*$C$5*E$15</f>
        <v>4.8369750984303015E-3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1.8910910807503772E-2</v>
      </c>
      <c r="AH119" s="488">
        <f t="shared" si="10"/>
        <v>3.9154929305128053E-2</v>
      </c>
      <c r="AI119" s="1387"/>
      <c r="AJ119" s="1386"/>
      <c r="AK119" s="1387"/>
    </row>
    <row r="120" spans="1:37">
      <c r="A120" s="489">
        <f>'Input data'!A149</f>
        <v>2049</v>
      </c>
      <c r="B120" s="122">
        <f>'Recycling - Case 1'!AP129</f>
        <v>3.8390826346049081E-2</v>
      </c>
      <c r="C120" s="527">
        <f>$B120*'Recycling - Case 1'!BM129*'Recycling - Case 1'!$AK129</f>
        <v>209.02445170453927</v>
      </c>
      <c r="D120" s="528">
        <f>$B120*'Recycling - Case 1'!BN129*'Recycling - Case 1'!$AK129</f>
        <v>218.3062300123008</v>
      </c>
      <c r="E120" s="528">
        <f>$B120*'Recycling - Case 1'!BO129*'Recycling - Case 1'!$AK129</f>
        <v>59.626058685679773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233.11740388611884</v>
      </c>
      <c r="J120" s="744">
        <f t="shared" si="11"/>
        <v>720.07414428863876</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0.31498300265531937</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8.031360798684565</v>
      </c>
      <c r="R120" s="1378">
        <f t="shared" si="8"/>
        <v>8.3463438013398843</v>
      </c>
      <c r="S120" s="485">
        <f>C120*'4C2 Open-burning '!$C$9*'4C2 Open-burning '!$C$11*$C$5</f>
        <v>0.81519536164770323</v>
      </c>
      <c r="T120" s="485">
        <f>D120*'4C2 Open-burning '!$C$9*'4C2 Open-burning '!$C$11*$C$5</f>
        <v>0.85139429704797309</v>
      </c>
      <c r="U120" s="485">
        <f>E120*'4C2 Open-burning '!$C$9*'4C2 Open-burning '!$C$11*$C$5</f>
        <v>0.23254162887415111</v>
      </c>
      <c r="V120" s="485">
        <f>F120*'4C2 Open-burning '!$C$9*'4C2 Open-burning '!$C$11*$C$5</f>
        <v>0</v>
      </c>
      <c r="W120" s="485">
        <f>G120*'4C2 Open-burning '!$C$9*'4C2 Open-burning '!$C$11*$C$5</f>
        <v>0</v>
      </c>
      <c r="X120" s="485">
        <f>H120*'4C2 Open-burning '!$C$9*'4C2 Open-burning '!$C$11*$C$5</f>
        <v>0</v>
      </c>
      <c r="Y120" s="485">
        <f>I120*'4C2 Open-burning '!$C$9*'4C2 Open-burning '!$C$11*$C$5</f>
        <v>0.90915787515586333</v>
      </c>
      <c r="Z120" s="486">
        <f t="shared" si="9"/>
        <v>2.808289162725691</v>
      </c>
      <c r="AA120" s="487">
        <f>C120*'4C2 Open-burning '!$C$10*'4C2 Open-burning '!$C$11*$C$5*C$15</f>
        <v>7.5248802613634138E-3</v>
      </c>
      <c r="AB120" s="487">
        <f>D120*'4C2 Open-burning '!$C$10*'4C2 Open-burning '!$C$11*$C$5*D$15</f>
        <v>7.8590242804428279E-3</v>
      </c>
      <c r="AC120" s="487">
        <f>E120*'4C2 Open-burning '!$C$10*'4C2 Open-burning '!$C$11*$C$5*E$15</f>
        <v>4.8297107535400612E-3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1.8882509714775626E-2</v>
      </c>
      <c r="AH120" s="488">
        <f t="shared" si="10"/>
        <v>3.9096125010121927E-2</v>
      </c>
      <c r="AI120" s="1387"/>
      <c r="AJ120" s="1386"/>
      <c r="AK120" s="1387"/>
    </row>
    <row r="121" spans="1:37" ht="15.75" thickBot="1">
      <c r="A121" s="489">
        <f>'Input data'!A150</f>
        <v>2050</v>
      </c>
      <c r="B121" s="628">
        <f>'Recycling - Case 1'!AP130</f>
        <v>3.8220466507782234E-2</v>
      </c>
      <c r="C121" s="670">
        <f>$B121*'Recycling - Case 1'!BM130*'Recycling - Case 1'!$AK130</f>
        <v>208.72376786446617</v>
      </c>
      <c r="D121" s="667">
        <f>$B121*'Recycling - Case 1'!BN130*'Recycling - Case 1'!$AK130</f>
        <v>217.99219423793713</v>
      </c>
      <c r="E121" s="667">
        <f>$B121*'Recycling - Case 1'!BO130*'Recycling - Case 1'!$AK130</f>
        <v>59.540285982305456</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232.78206208463703</v>
      </c>
      <c r="J121" s="936">
        <f t="shared" si="11"/>
        <v>719.03831016934578</v>
      </c>
      <c r="K121" s="1370">
        <f>'4C2 Open-burning '!C$14*'4C2 Open-burning '!$C$5*'4C2 Open-burning '!$C$6*'4C2 Open-burning '!$C$7*C121</f>
        <v>0</v>
      </c>
      <c r="L121" s="1370">
        <f>'4C2 Open-burning '!D$14*'4C2 Open-burning '!$C$5*'4C2 Open-burning '!$C$6*'4C2 Open-burning '!$C$7*D121</f>
        <v>0</v>
      </c>
      <c r="M121" s="1370">
        <f>'4C2 Open-burning '!E$14*'4C2 Open-burning '!$C$5*'4C2 Open-burning '!$C$6*'4C2 Open-burning '!$C$7*E121</f>
        <v>0.31452989634156608</v>
      </c>
      <c r="N121" s="1370">
        <f>'4C2 Open-burning '!F$14*'4C2 Open-burning '!$C$5*'4C2 Open-burning '!$C$6*'4C2 Open-burning '!$C$7*F121</f>
        <v>0</v>
      </c>
      <c r="O121" s="1370">
        <f>'4C2 Open-burning '!G$14*'4C2 Open-burning '!$C$5*'4C2 Open-burning '!$C$6*'4C2 Open-burning '!$C$7*G121</f>
        <v>0</v>
      </c>
      <c r="P121" s="1370">
        <f>'4C2 Open-burning '!H$14*'4C2 Open-burning '!$C$5*'4C2 Open-burning '!$C$6*'4C2 Open-burning '!$C$7*H121</f>
        <v>0</v>
      </c>
      <c r="Q121" s="1370">
        <f>'4C2 Open-burning '!I$14*'4C2 Open-burning '!$C$5*'4C2 Open-burning '!$C$6*'4C2 Open-burning '!$C$7*I121</f>
        <v>8.019807602939915</v>
      </c>
      <c r="R121" s="1379">
        <f t="shared" si="8"/>
        <v>8.3343374992814816</v>
      </c>
      <c r="S121" s="485">
        <f>C121*'4C2 Open-burning '!$C$9*'4C2 Open-burning '!$C$11*$C$5</f>
        <v>0.81402269467141797</v>
      </c>
      <c r="T121" s="485">
        <f>D121*'4C2 Open-burning '!$C$9*'4C2 Open-burning '!$C$11*$C$5</f>
        <v>0.85016955752795464</v>
      </c>
      <c r="U121" s="485">
        <f>E121*'4C2 Open-burning '!$C$9*'4C2 Open-burning '!$C$11*$C$5</f>
        <v>0.23220711533099123</v>
      </c>
      <c r="V121" s="485">
        <f>F121*'4C2 Open-burning '!$C$9*'4C2 Open-burning '!$C$11*$C$5</f>
        <v>0</v>
      </c>
      <c r="W121" s="485">
        <f>G121*'4C2 Open-burning '!$C$9*'4C2 Open-burning '!$C$11*$C$5</f>
        <v>0</v>
      </c>
      <c r="X121" s="485">
        <f>H121*'4C2 Open-burning '!$C$9*'4C2 Open-burning '!$C$11*$C$5</f>
        <v>0</v>
      </c>
      <c r="Y121" s="485">
        <f>I121*'4C2 Open-burning '!$C$9*'4C2 Open-burning '!$C$11*$C$5</f>
        <v>0.90785004213008447</v>
      </c>
      <c r="Z121" s="486">
        <f t="shared" si="9"/>
        <v>2.8042494096604482</v>
      </c>
      <c r="AA121" s="487">
        <f>C121*'4C2 Open-burning '!$C$10*'4C2 Open-burning '!$C$11*$C$5*C$15</f>
        <v>7.514055643120781E-3</v>
      </c>
      <c r="AB121" s="487">
        <f>D121*'4C2 Open-burning '!$C$10*'4C2 Open-burning '!$C$11*$C$5*D$15</f>
        <v>7.8477189925657363E-3</v>
      </c>
      <c r="AC121" s="487">
        <f>E121*'4C2 Open-burning '!$C$10*'4C2 Open-burning '!$C$11*$C$5*E$15</f>
        <v>4.8227631645667412E-3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1.8855347028855603E-2</v>
      </c>
      <c r="AH121" s="493">
        <f t="shared" si="10"/>
        <v>3.9039884829108862E-2</v>
      </c>
      <c r="AI121" s="1387"/>
      <c r="AJ121" s="1386"/>
      <c r="AK121" s="1387"/>
    </row>
    <row r="122" spans="1:37" ht="21.75" thickBot="1">
      <c r="A122" s="950" t="s">
        <v>621</v>
      </c>
      <c r="B122" s="797"/>
      <c r="C122" s="528"/>
      <c r="D122" s="938"/>
      <c r="E122" s="938"/>
      <c r="F122" s="938"/>
      <c r="G122" s="938"/>
      <c r="H122" s="938"/>
      <c r="I122" s="938"/>
      <c r="J122" s="939"/>
      <c r="K122" s="1370"/>
      <c r="L122" s="1370"/>
      <c r="M122" s="1370"/>
      <c r="N122" s="1370"/>
      <c r="O122" s="1370"/>
      <c r="P122" s="1370"/>
      <c r="Q122" s="1370"/>
      <c r="R122" s="1371"/>
      <c r="S122" s="944"/>
      <c r="T122" s="944"/>
      <c r="U122" s="944"/>
      <c r="V122" s="944"/>
      <c r="W122" s="944"/>
      <c r="X122" s="944"/>
      <c r="Y122" s="944"/>
      <c r="Z122" s="945"/>
      <c r="AA122" s="946"/>
      <c r="AB122" s="946"/>
      <c r="AC122" s="946"/>
      <c r="AD122" s="946"/>
      <c r="AE122" s="946"/>
      <c r="AF122" s="946"/>
      <c r="AG122" s="946"/>
      <c r="AH122" s="947"/>
      <c r="AI122" s="1387"/>
      <c r="AJ122" s="1386"/>
      <c r="AK122" s="1387"/>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0">
        <f>'4C2 Open-burning '!C$14*'4C2 Open-burning '!$C$5*'4C2 Open-burning '!$C$6*'4C2 Open-burning '!$C$7*C123</f>
        <v>0</v>
      </c>
      <c r="L123" s="1380">
        <f>'4C2 Open-burning '!D$14*'4C2 Open-burning '!$C$5*'4C2 Open-burning '!$C$6*'4C2 Open-burning '!$C$7*D123</f>
        <v>0</v>
      </c>
      <c r="M123" s="1380">
        <f>'4C2 Open-burning '!E$14*'4C2 Open-burning '!$C$5*'4C2 Open-burning '!$C$6*'4C2 Open-burning '!$C$7*E123</f>
        <v>1.2422577936755286</v>
      </c>
      <c r="N123" s="1380">
        <f>'4C2 Open-burning '!F$14*'4C2 Open-burning '!$C$5*'4C2 Open-burning '!$C$6*'4C2 Open-burning '!$C$7*F123</f>
        <v>0</v>
      </c>
      <c r="O123" s="1380">
        <f>'4C2 Open-burning '!G$14*'4C2 Open-burning '!$C$5*'4C2 Open-burning '!$C$6*'4C2 Open-burning '!$C$7*G123</f>
        <v>0</v>
      </c>
      <c r="P123" s="1380">
        <f>'4C2 Open-burning '!H$14*'4C2 Open-burning '!$C$5*'4C2 Open-burning '!$C$6*'4C2 Open-burning '!$C$7*H123</f>
        <v>0</v>
      </c>
      <c r="Q123" s="1380">
        <f>'4C2 Open-burning '!I$14*'4C2 Open-burning '!$C$5*'4C2 Open-burning '!$C$6*'4C2 Open-burning '!$C$7*I123</f>
        <v>31.674790264488351</v>
      </c>
      <c r="R123" s="1381">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7"/>
      <c r="AJ123" s="1386"/>
      <c r="AK123" s="1387"/>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2">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7"/>
      <c r="AJ124" s="1386"/>
      <c r="AK124" s="1387"/>
    </row>
    <row r="125" spans="1:37">
      <c r="A125" s="157">
        <f>'Input data'!A120</f>
        <v>2020</v>
      </c>
      <c r="B125" s="417">
        <f>'Recycling - Case 2'!AP100</f>
        <v>0.11522500057141312</v>
      </c>
      <c r="C125" s="527">
        <f>'Recycling - Case 2'!$AK100*'Recycling - Case 2'!BM100*'4C2 Open-burning '!$B125</f>
        <v>788.23209867683522</v>
      </c>
      <c r="D125" s="528">
        <f>'Recycling - Case 2'!$AK100*'Recycling - Case 2'!BN100*'4C2 Open-burning '!$B125</f>
        <v>823.23372425373952</v>
      </c>
      <c r="E125" s="528">
        <f>'Recycling - Case 2'!$AK100*'Recycling - Case 2'!BO100*'4C2 Open-burning '!$B125</f>
        <v>224.85012155456286</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879.08672408808172</v>
      </c>
      <c r="J125" s="744">
        <f t="shared" si="12"/>
        <v>2715.4026685732192</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1.1878022461289959</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30.286295818282589</v>
      </c>
      <c r="R125" s="1382">
        <f t="shared" si="8"/>
        <v>31.474098064411585</v>
      </c>
      <c r="S125" s="485">
        <f>C125*'4C2 Open-burning '!$C$9*'4C2 Open-burning '!$C$11*$C$5</f>
        <v>3.0741051848396572</v>
      </c>
      <c r="T125" s="485">
        <f>D125*'4C2 Open-burning '!$C$9*'4C2 Open-burning '!$C$11*$C$5</f>
        <v>3.2106115245895843</v>
      </c>
      <c r="U125" s="485">
        <f>E125*'4C2 Open-burning '!$C$9*'4C2 Open-burning '!$C$11*$C$5</f>
        <v>0.87691547406279513</v>
      </c>
      <c r="V125" s="485">
        <f>F125*'4C2 Open-burning '!$C$9*'4C2 Open-burning '!$C$11*$C$5</f>
        <v>0</v>
      </c>
      <c r="W125" s="485">
        <f>G125*'4C2 Open-burning '!$C$9*'4C2 Open-burning '!$C$11*$C$5</f>
        <v>0</v>
      </c>
      <c r="X125" s="485">
        <f>H125*'4C2 Open-burning '!$C$9*'4C2 Open-burning '!$C$11*$C$5</f>
        <v>0</v>
      </c>
      <c r="Y125" s="485">
        <f>I125*'4C2 Open-burning '!$C$9*'4C2 Open-burning '!$C$11*$C$5</f>
        <v>3.4284382239435183</v>
      </c>
      <c r="Z125" s="486">
        <f t="shared" si="9"/>
        <v>10.590070407435555</v>
      </c>
      <c r="AA125" s="487">
        <f>C125*'4C2 Open-burning '!$C$10*'4C2 Open-burning '!$C$11*$C$5*C$15</f>
        <v>2.8376355552366062E-2</v>
      </c>
      <c r="AB125" s="487">
        <f>D125*'4C2 Open-burning '!$C$10*'4C2 Open-burning '!$C$11*$C$5*D$15</f>
        <v>2.9636414073134623E-2</v>
      </c>
      <c r="AC125" s="487">
        <f>E125*'4C2 Open-burning '!$C$10*'4C2 Open-burning '!$C$11*$C$5*E$15</f>
        <v>1.8212859845919589E-2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7.1206024651134625E-2</v>
      </c>
      <c r="AH125" s="488">
        <f t="shared" si="10"/>
        <v>0.14743165412255491</v>
      </c>
      <c r="AI125" s="1387"/>
      <c r="AJ125" s="1386"/>
      <c r="AK125" s="1387"/>
    </row>
    <row r="126" spans="1:37">
      <c r="A126" s="157">
        <f>'Input data'!A121</f>
        <v>2021</v>
      </c>
      <c r="B126" s="417">
        <f>'Recycling - Case 2'!AP101</f>
        <v>0.10845092309953076</v>
      </c>
      <c r="C126" s="527">
        <f>'Recycling - Case 2'!$AK101*'Recycling - Case 2'!BM101*'4C2 Open-burning '!$B126</f>
        <v>723.96239320313782</v>
      </c>
      <c r="D126" s="528">
        <f>'Recycling - Case 2'!$AK101*'Recycling - Case 2'!BN101*'4C2 Open-burning '!$B126</f>
        <v>756.11010789427064</v>
      </c>
      <c r="E126" s="528">
        <f>'Recycling - Case 2'!$AK101*'Recycling - Case 2'!BO101*'4C2 Open-burning '!$B126</f>
        <v>206.51662420994182</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807.40904826414624</v>
      </c>
      <c r="J126" s="744">
        <f t="shared" si="12"/>
        <v>2493.9981735714964</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1.090952979716407</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27.816856530796365</v>
      </c>
      <c r="R126" s="1382">
        <f t="shared" si="8"/>
        <v>28.90780951051277</v>
      </c>
      <c r="S126" s="485">
        <f>C126*'4C2 Open-burning '!$C$9*'4C2 Open-burning '!$C$11*$C$5</f>
        <v>2.8234533334922376</v>
      </c>
      <c r="T126" s="485">
        <f>D126*'4C2 Open-burning '!$C$9*'4C2 Open-burning '!$C$11*$C$5</f>
        <v>2.9488294207876553</v>
      </c>
      <c r="U126" s="485">
        <f>E126*'4C2 Open-burning '!$C$9*'4C2 Open-burning '!$C$11*$C$5</f>
        <v>0.80541483441877315</v>
      </c>
      <c r="V126" s="485">
        <f>F126*'4C2 Open-burning '!$C$9*'4C2 Open-burning '!$C$11*$C$5</f>
        <v>0</v>
      </c>
      <c r="W126" s="485">
        <f>G126*'4C2 Open-burning '!$C$9*'4C2 Open-burning '!$C$11*$C$5</f>
        <v>0</v>
      </c>
      <c r="X126" s="485">
        <f>H126*'4C2 Open-burning '!$C$9*'4C2 Open-burning '!$C$11*$C$5</f>
        <v>0</v>
      </c>
      <c r="Y126" s="485">
        <f>I126*'4C2 Open-burning '!$C$9*'4C2 Open-burning '!$C$11*$C$5</f>
        <v>3.1488952882301704</v>
      </c>
      <c r="Z126" s="486">
        <f t="shared" si="9"/>
        <v>9.7265928769288355</v>
      </c>
      <c r="AA126" s="487">
        <f>C126*'4C2 Open-burning '!$C$10*'4C2 Open-burning '!$C$11*$C$5*C$15</f>
        <v>2.6062646155312959E-2</v>
      </c>
      <c r="AB126" s="487">
        <f>D126*'4C2 Open-burning '!$C$10*'4C2 Open-burning '!$C$11*$C$5*D$15</f>
        <v>2.7219963884193739E-2</v>
      </c>
      <c r="AC126" s="487">
        <f>E126*'4C2 Open-burning '!$C$10*'4C2 Open-burning '!$C$11*$C$5*E$15</f>
        <v>1.6727846561005285E-2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6.540013290939585E-2</v>
      </c>
      <c r="AH126" s="488">
        <f t="shared" si="10"/>
        <v>0.13541058950990784</v>
      </c>
      <c r="AI126" s="1387"/>
      <c r="AJ126" s="1386"/>
      <c r="AK126" s="1387"/>
    </row>
    <row r="127" spans="1:37">
      <c r="A127" s="157">
        <f>'Input data'!A122</f>
        <v>2022</v>
      </c>
      <c r="B127" s="417">
        <f>'Recycling - Case 2'!AP102</f>
        <v>9.5299647807961838E-2</v>
      </c>
      <c r="C127" s="527">
        <f>'Recycling - Case 2'!$AK102*'Recycling - Case 2'!BM102*'4C2 Open-burning '!$B127</f>
        <v>601.37150975804457</v>
      </c>
      <c r="D127" s="528">
        <f>'Recycling - Case 2'!$AK102*'Recycling - Case 2'!BN102*'4C2 Open-burning '!$B127</f>
        <v>628.07554839400291</v>
      </c>
      <c r="E127" s="528">
        <f>'Recycling - Case 2'!$AK102*'Recycling - Case 2'!BO102*'4C2 Open-burning '!$B127</f>
        <v>171.54649917902557</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670.68787399109203</v>
      </c>
      <c r="J127" s="744">
        <f t="shared" si="12"/>
        <v>2071.6814313221653</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0.9062183984230876</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23.106538634741099</v>
      </c>
      <c r="R127" s="1382">
        <f t="shared" si="8"/>
        <v>24.012757033164188</v>
      </c>
      <c r="S127" s="485">
        <f>C127*'4C2 Open-burning '!$C$9*'4C2 Open-burning '!$C$11*$C$5</f>
        <v>2.3453488880563733</v>
      </c>
      <c r="T127" s="485">
        <f>D127*'4C2 Open-burning '!$C$9*'4C2 Open-burning '!$C$11*$C$5</f>
        <v>2.4494946387366112</v>
      </c>
      <c r="U127" s="485">
        <f>E127*'4C2 Open-burning '!$C$9*'4C2 Open-burning '!$C$11*$C$5</f>
        <v>0.66903134679819964</v>
      </c>
      <c r="V127" s="485">
        <f>F127*'4C2 Open-burning '!$C$9*'4C2 Open-burning '!$C$11*$C$5</f>
        <v>0</v>
      </c>
      <c r="W127" s="485">
        <f>G127*'4C2 Open-burning '!$C$9*'4C2 Open-burning '!$C$11*$C$5</f>
        <v>0</v>
      </c>
      <c r="X127" s="485">
        <f>H127*'4C2 Open-burning '!$C$9*'4C2 Open-burning '!$C$11*$C$5</f>
        <v>0</v>
      </c>
      <c r="Y127" s="485">
        <f>I127*'4C2 Open-burning '!$C$9*'4C2 Open-burning '!$C$11*$C$5</f>
        <v>2.615682708565259</v>
      </c>
      <c r="Z127" s="486">
        <f t="shared" si="9"/>
        <v>8.0795575821564434</v>
      </c>
      <c r="AA127" s="487">
        <f>C127*'4C2 Open-burning '!$C$10*'4C2 Open-burning '!$C$11*$C$5*C$15</f>
        <v>2.1649374351289608E-2</v>
      </c>
      <c r="AB127" s="487">
        <f>D127*'4C2 Open-burning '!$C$10*'4C2 Open-burning '!$C$11*$C$5*D$15</f>
        <v>2.2610719742184104E-2</v>
      </c>
      <c r="AC127" s="487">
        <f>E127*'4C2 Open-burning '!$C$10*'4C2 Open-burning '!$C$11*$C$5*E$15</f>
        <v>1.3895266433501072E-2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5.4325717793278452E-2</v>
      </c>
      <c r="AH127" s="488">
        <f t="shared" si="10"/>
        <v>0.11248107832025324</v>
      </c>
      <c r="AI127" s="1387"/>
      <c r="AJ127" s="1386"/>
      <c r="AK127" s="1387"/>
    </row>
    <row r="128" spans="1:37">
      <c r="A128" s="157">
        <f>'Input data'!A123</f>
        <v>2023</v>
      </c>
      <c r="B128" s="417">
        <f>'Recycling - Case 2'!AP103</f>
        <v>9.1114445268625416E-2</v>
      </c>
      <c r="C128" s="527">
        <f>'Recycling - Case 2'!$AK103*'Recycling - Case 2'!BM103*'4C2 Open-burning '!$B128</f>
        <v>569.40571071522731</v>
      </c>
      <c r="D128" s="528">
        <f>'Recycling - Case 2'!$AK103*'Recycling - Case 2'!BN103*'4C2 Open-burning '!$B128</f>
        <v>594.6903007760244</v>
      </c>
      <c r="E128" s="528">
        <f>'Recycling - Case 2'!$AK103*'Recycling - Case 2'!BO103*'4C2 Open-burning '!$B128</f>
        <v>162.42797455609852</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635.0375755439984</v>
      </c>
      <c r="J128" s="744">
        <f t="shared" si="12"/>
        <v>1961.5615615913487</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0.85804851550902828</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21.878314552641832</v>
      </c>
      <c r="R128" s="1382">
        <f t="shared" si="8"/>
        <v>22.736363068150862</v>
      </c>
      <c r="S128" s="485">
        <f>C128*'4C2 Open-burning '!$C$9*'4C2 Open-burning '!$C$11*$C$5</f>
        <v>2.2206822717893866</v>
      </c>
      <c r="T128" s="485">
        <f>D128*'4C2 Open-burning '!$C$9*'4C2 Open-burning '!$C$11*$C$5</f>
        <v>2.3192921730264953</v>
      </c>
      <c r="U128" s="485">
        <f>E128*'4C2 Open-burning '!$C$9*'4C2 Open-burning '!$C$11*$C$5</f>
        <v>0.63346910076878415</v>
      </c>
      <c r="V128" s="485">
        <f>F128*'4C2 Open-burning '!$C$9*'4C2 Open-burning '!$C$11*$C$5</f>
        <v>0</v>
      </c>
      <c r="W128" s="485">
        <f>G128*'4C2 Open-burning '!$C$9*'4C2 Open-burning '!$C$11*$C$5</f>
        <v>0</v>
      </c>
      <c r="X128" s="485">
        <f>H128*'4C2 Open-burning '!$C$9*'4C2 Open-burning '!$C$11*$C$5</f>
        <v>0</v>
      </c>
      <c r="Y128" s="485">
        <f>I128*'4C2 Open-burning '!$C$9*'4C2 Open-burning '!$C$11*$C$5</f>
        <v>2.4766465446215933</v>
      </c>
      <c r="Z128" s="486">
        <f t="shared" si="9"/>
        <v>7.650090090206259</v>
      </c>
      <c r="AA128" s="487">
        <f>C128*'4C2 Open-burning '!$C$10*'4C2 Open-burning '!$C$11*$C$5*C$15</f>
        <v>2.0498605585748182E-2</v>
      </c>
      <c r="AB128" s="487">
        <f>D128*'4C2 Open-burning '!$C$10*'4C2 Open-burning '!$C$11*$C$5*D$15</f>
        <v>2.1408850827936879E-2</v>
      </c>
      <c r="AC128" s="487">
        <f>E128*'4C2 Open-burning '!$C$10*'4C2 Open-burning '!$C$11*$C$5*E$15</f>
        <v>1.3156665939043978E-2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5.1438043619063865E-2</v>
      </c>
      <c r="AH128" s="488">
        <f t="shared" si="10"/>
        <v>0.10650216597179291</v>
      </c>
      <c r="AI128" s="1387"/>
      <c r="AJ128" s="1386"/>
      <c r="AK128" s="1387"/>
    </row>
    <row r="129" spans="1:37">
      <c r="A129" s="157">
        <f>'Input data'!A124</f>
        <v>2024</v>
      </c>
      <c r="B129" s="417">
        <f>'Recycling - Case 2'!AP104</f>
        <v>8.676214742689109E-2</v>
      </c>
      <c r="C129" s="527">
        <f>'Recycling - Case 2'!$AK104*'Recycling - Case 2'!BM104*'4C2 Open-burning '!$B129</f>
        <v>537.01991231149896</v>
      </c>
      <c r="D129" s="528">
        <f>'Recycling - Case 2'!$AK104*'Recycling - Case 2'!BN104*'4C2 Open-burning '!$B129</f>
        <v>560.86640363001027</v>
      </c>
      <c r="E129" s="528">
        <f>'Recycling - Case 2'!$AK104*'Recycling - Case 2'!BO104*'4C2 Open-burning '!$B129</f>
        <v>153.18964143068567</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598.91886701449084</v>
      </c>
      <c r="J129" s="744">
        <f t="shared" si="12"/>
        <v>1849.9948243866857</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0.80924572740739731</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20.633952806383235</v>
      </c>
      <c r="R129" s="1382">
        <f t="shared" si="8"/>
        <v>21.443198533790632</v>
      </c>
      <c r="S129" s="485">
        <f>C129*'4C2 Open-burning '!$C$9*'4C2 Open-burning '!$C$11*$C$5</f>
        <v>2.0943776580148459</v>
      </c>
      <c r="T129" s="485">
        <f>D129*'4C2 Open-burning '!$C$9*'4C2 Open-burning '!$C$11*$C$5</f>
        <v>2.1873789741570397</v>
      </c>
      <c r="U129" s="485">
        <f>E129*'4C2 Open-burning '!$C$9*'4C2 Open-burning '!$C$11*$C$5</f>
        <v>0.59743960157967402</v>
      </c>
      <c r="V129" s="485">
        <f>F129*'4C2 Open-burning '!$C$9*'4C2 Open-burning '!$C$11*$C$5</f>
        <v>0</v>
      </c>
      <c r="W129" s="485">
        <f>G129*'4C2 Open-burning '!$C$9*'4C2 Open-burning '!$C$11*$C$5</f>
        <v>0</v>
      </c>
      <c r="X129" s="485">
        <f>H129*'4C2 Open-burning '!$C$9*'4C2 Open-burning '!$C$11*$C$5</f>
        <v>0</v>
      </c>
      <c r="Y129" s="485">
        <f>I129*'4C2 Open-burning '!$C$9*'4C2 Open-burning '!$C$11*$C$5</f>
        <v>2.3357835813565142</v>
      </c>
      <c r="Z129" s="486">
        <f t="shared" si="9"/>
        <v>7.214979815108074</v>
      </c>
      <c r="AA129" s="487">
        <f>C129*'4C2 Open-burning '!$C$10*'4C2 Open-burning '!$C$11*$C$5*C$15</f>
        <v>1.933271684321396E-2</v>
      </c>
      <c r="AB129" s="487">
        <f>D129*'4C2 Open-burning '!$C$10*'4C2 Open-burning '!$C$11*$C$5*D$15</f>
        <v>2.0191190530680369E-2</v>
      </c>
      <c r="AC129" s="487">
        <f>E129*'4C2 Open-burning '!$C$10*'4C2 Open-burning '!$C$11*$C$5*E$15</f>
        <v>1.2408360955885538E-2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4.8512428228173754E-2</v>
      </c>
      <c r="AH129" s="488">
        <f t="shared" si="10"/>
        <v>0.10044469655795363</v>
      </c>
      <c r="AI129" s="1387"/>
      <c r="AJ129" s="1386"/>
      <c r="AK129" s="1387"/>
    </row>
    <row r="130" spans="1:37">
      <c r="A130" s="157">
        <f>'Input data'!A125</f>
        <v>2025</v>
      </c>
      <c r="B130" s="417">
        <f>'Recycling - Case 2'!AP105</f>
        <v>8.2237091908608465E-2</v>
      </c>
      <c r="C130" s="527">
        <f>'Recycling - Case 2'!$AK105*'Recycling - Case 2'!BM105*'4C2 Open-burning '!$B130</f>
        <v>504.19502311173568</v>
      </c>
      <c r="D130" s="528">
        <f>'Recycling - Case 2'!$AK105*'Recycling - Case 2'!BN105*'4C2 Open-burning '!$B130</f>
        <v>526.58391776131896</v>
      </c>
      <c r="E130" s="528">
        <f>'Recycling - Case 2'!$AK105*'Recycling - Case 2'!BO105*'4C2 Open-burning '!$B130</f>
        <v>143.82605380342281</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562.31045641612377</v>
      </c>
      <c r="J130" s="744">
        <f t="shared" si="12"/>
        <v>1736.9154510926012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0.75978126486411346</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19.372719844448294</v>
      </c>
      <c r="R130" s="1382">
        <f t="shared" si="8"/>
        <v>20.132501109312408</v>
      </c>
      <c r="S130" s="485">
        <f>C130*'4C2 Open-burning '!$C$9*'4C2 Open-burning '!$C$11*$C$5</f>
        <v>1.966360590135769</v>
      </c>
      <c r="T130" s="485">
        <f>D130*'4C2 Open-burning '!$C$9*'4C2 Open-burning '!$C$11*$C$5</f>
        <v>2.0536772792691438</v>
      </c>
      <c r="U130" s="485">
        <f>E130*'4C2 Open-burning '!$C$9*'4C2 Open-burning '!$C$11*$C$5</f>
        <v>0.56092160983334893</v>
      </c>
      <c r="V130" s="485">
        <f>F130*'4C2 Open-burning '!$C$9*'4C2 Open-burning '!$C$11*$C$5</f>
        <v>0</v>
      </c>
      <c r="W130" s="485">
        <f>G130*'4C2 Open-burning '!$C$9*'4C2 Open-burning '!$C$11*$C$5</f>
        <v>0</v>
      </c>
      <c r="X130" s="485">
        <f>H130*'4C2 Open-burning '!$C$9*'4C2 Open-burning '!$C$11*$C$5</f>
        <v>0</v>
      </c>
      <c r="Y130" s="485">
        <f>I130*'4C2 Open-burning '!$C$9*'4C2 Open-burning '!$C$11*$C$5</f>
        <v>2.1930107800228824</v>
      </c>
      <c r="Z130" s="486">
        <f t="shared" si="9"/>
        <v>6.7739702592611444</v>
      </c>
      <c r="AA130" s="487">
        <f>C130*'4C2 Open-burning '!$C$10*'4C2 Open-burning '!$C$11*$C$5*C$15</f>
        <v>1.8151020832022483E-2</v>
      </c>
      <c r="AB130" s="487">
        <f>D130*'4C2 Open-burning '!$C$10*'4C2 Open-burning '!$C$11*$C$5*D$15</f>
        <v>1.8957021039407482E-2</v>
      </c>
      <c r="AC130" s="487">
        <f>E130*'4C2 Open-burning '!$C$10*'4C2 Open-burning '!$C$11*$C$5*E$15</f>
        <v>1.1649910358077246E-2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4.5547146969706021E-2</v>
      </c>
      <c r="AH130" s="488">
        <f t="shared" si="10"/>
        <v>9.4305099199213233E-2</v>
      </c>
      <c r="AI130" s="1387"/>
      <c r="AJ130" s="1386"/>
      <c r="AK130" s="1387"/>
    </row>
    <row r="131" spans="1:37">
      <c r="A131" s="157">
        <f>'Input data'!A126</f>
        <v>2026</v>
      </c>
      <c r="B131" s="417">
        <f>'Recycling - Case 2'!AP106</f>
        <v>7.7585583898705374E-2</v>
      </c>
      <c r="C131" s="527">
        <f>'Recycling - Case 2'!$AK106*'Recycling - Case 2'!BM106*'4C2 Open-burning '!$B131</f>
        <v>471.06086892615423</v>
      </c>
      <c r="D131" s="528">
        <f>'Recycling - Case 2'!$AK106*'Recycling - Case 2'!BN106*'4C2 Open-burning '!$B131</f>
        <v>491.97843392479081</v>
      </c>
      <c r="E131" s="528">
        <f>'Recycling - Case 2'!$AK106*'Recycling - Case 2'!BO106*'4C2 Open-burning '!$B131</f>
        <v>134.37424562567679</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525.35713377507989</v>
      </c>
      <c r="J131" s="744">
        <f t="shared" si="12"/>
        <v>1622.7706822517016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0.70985076491202526</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18.09960397281905</v>
      </c>
      <c r="R131" s="1382">
        <f t="shared" si="8"/>
        <v>18.809454737731077</v>
      </c>
      <c r="S131" s="485">
        <f>C131*'4C2 Open-burning '!$C$9*'4C2 Open-burning '!$C$11*$C$5</f>
        <v>1.8371373888120013</v>
      </c>
      <c r="T131" s="485">
        <f>D131*'4C2 Open-burning '!$C$9*'4C2 Open-burning '!$C$11*$C$5</f>
        <v>1.918715892306684</v>
      </c>
      <c r="U131" s="485">
        <f>E131*'4C2 Open-burning '!$C$9*'4C2 Open-burning '!$C$11*$C$5</f>
        <v>0.52405955794013948</v>
      </c>
      <c r="V131" s="485">
        <f>F131*'4C2 Open-burning '!$C$9*'4C2 Open-burning '!$C$11*$C$5</f>
        <v>0</v>
      </c>
      <c r="W131" s="485">
        <f>G131*'4C2 Open-burning '!$C$9*'4C2 Open-burning '!$C$11*$C$5</f>
        <v>0</v>
      </c>
      <c r="X131" s="485">
        <f>H131*'4C2 Open-burning '!$C$9*'4C2 Open-burning '!$C$11*$C$5</f>
        <v>0</v>
      </c>
      <c r="Y131" s="485">
        <f>I131*'4C2 Open-burning '!$C$9*'4C2 Open-burning '!$C$11*$C$5</f>
        <v>2.0488928217228115</v>
      </c>
      <c r="Z131" s="486">
        <f t="shared" si="9"/>
        <v>6.3288056607816365</v>
      </c>
      <c r="AA131" s="487">
        <f>C131*'4C2 Open-burning '!$C$10*'4C2 Open-burning '!$C$11*$C$5*C$15</f>
        <v>1.6958191281341552E-2</v>
      </c>
      <c r="AB131" s="487">
        <f>D131*'4C2 Open-burning '!$C$10*'4C2 Open-burning '!$C$11*$C$5*D$15</f>
        <v>1.771122362129247E-2</v>
      </c>
      <c r="AC131" s="487">
        <f>E131*'4C2 Open-burning '!$C$10*'4C2 Open-burning '!$C$11*$C$5*E$15</f>
        <v>1.088431389567982E-2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4.2553927835781463E-2</v>
      </c>
      <c r="AH131" s="488">
        <f t="shared" si="10"/>
        <v>8.810765663409531E-2</v>
      </c>
      <c r="AI131" s="1387"/>
      <c r="AJ131" s="1386"/>
      <c r="AK131" s="1387"/>
    </row>
    <row r="132" spans="1:37">
      <c r="A132" s="157">
        <f>'Input data'!A127</f>
        <v>2027</v>
      </c>
      <c r="B132" s="417">
        <f>'Recycling - Case 2'!AP107</f>
        <v>7.2795228271846923E-2</v>
      </c>
      <c r="C132" s="527">
        <f>'Recycling - Case 2'!$AK107*'Recycling - Case 2'!BM107*'4C2 Open-burning '!$B132</f>
        <v>437.56231496834977</v>
      </c>
      <c r="D132" s="528">
        <f>'Recycling - Case 2'!$AK107*'Recycling - Case 2'!BN107*'4C2 Open-burning '!$B132</f>
        <v>456.99236906129374</v>
      </c>
      <c r="E132" s="528">
        <f>'Recycling - Case 2'!$AK107*'Recycling - Case 2'!BO107*'4C2 Open-burning '!$B132</f>
        <v>124.81848921591089</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487.9974092600707</v>
      </c>
      <c r="J132" s="744">
        <f t="shared" si="12"/>
        <v>1507.3705825056252</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0.6593711438715395</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16.812486743827954</v>
      </c>
      <c r="R132" s="1382">
        <f t="shared" si="8"/>
        <v>17.471857887699493</v>
      </c>
      <c r="S132" s="485">
        <f>C132*'4C2 Open-burning '!$C$9*'4C2 Open-burning '!$C$11*$C$5</f>
        <v>1.706493028376564</v>
      </c>
      <c r="T132" s="485">
        <f>D132*'4C2 Open-burning '!$C$9*'4C2 Open-burning '!$C$11*$C$5</f>
        <v>1.7822702393390453</v>
      </c>
      <c r="U132" s="485">
        <f>E132*'4C2 Open-burning '!$C$9*'4C2 Open-burning '!$C$11*$C$5</f>
        <v>0.48679210794205235</v>
      </c>
      <c r="V132" s="485">
        <f>F132*'4C2 Open-burning '!$C$9*'4C2 Open-burning '!$C$11*$C$5</f>
        <v>0</v>
      </c>
      <c r="W132" s="485">
        <f>G132*'4C2 Open-burning '!$C$9*'4C2 Open-burning '!$C$11*$C$5</f>
        <v>0</v>
      </c>
      <c r="X132" s="485">
        <f>H132*'4C2 Open-burning '!$C$9*'4C2 Open-burning '!$C$11*$C$5</f>
        <v>0</v>
      </c>
      <c r="Y132" s="485">
        <f>I132*'4C2 Open-burning '!$C$9*'4C2 Open-burning '!$C$11*$C$5</f>
        <v>1.9031898961142755</v>
      </c>
      <c r="Z132" s="486">
        <f t="shared" si="9"/>
        <v>5.8787452717719368</v>
      </c>
      <c r="AA132" s="487">
        <f>C132*'4C2 Open-burning '!$C$10*'4C2 Open-burning '!$C$11*$C$5*C$15</f>
        <v>1.5752243338860588E-2</v>
      </c>
      <c r="AB132" s="487">
        <f>D132*'4C2 Open-burning '!$C$10*'4C2 Open-burning '!$C$11*$C$5*D$15</f>
        <v>1.6451725286206573E-2</v>
      </c>
      <c r="AC132" s="487">
        <f>E132*'4C2 Open-burning '!$C$10*'4C2 Open-burning '!$C$11*$C$5*E$15</f>
        <v>1.0110297626488782E-2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3.9527790150065724E-2</v>
      </c>
      <c r="AH132" s="488">
        <f t="shared" si="10"/>
        <v>8.1842056401621677E-2</v>
      </c>
      <c r="AI132" s="1387"/>
      <c r="AJ132" s="1386"/>
      <c r="AK132" s="1387"/>
    </row>
    <row r="133" spans="1:37">
      <c r="A133" s="157">
        <f>'Input data'!A128</f>
        <v>2028</v>
      </c>
      <c r="B133" s="417">
        <f>'Recycling - Case 2'!AP108</f>
        <v>6.7852271590315386E-2</v>
      </c>
      <c r="C133" s="527">
        <f>'Recycling - Case 2'!$AK108*'Recycling - Case 2'!BM108*'4C2 Open-burning '!$B133</f>
        <v>403.644118372489</v>
      </c>
      <c r="D133" s="528">
        <f>'Recycling - Case 2'!$AK108*'Recycling - Case 2'!BN108*'4C2 Open-burning '!$B133</f>
        <v>421.56802723297534</v>
      </c>
      <c r="E133" s="528">
        <f>'Recycling - Case 2'!$AK108*'Recycling - Case 2'!BO108*'4C2 Open-burning '!$B133</f>
        <v>115.14302606198315</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450.16967250273348</v>
      </c>
      <c r="J133" s="744">
        <f t="shared" si="12"/>
        <v>1390.524844170181</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0.60825915519607465</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15.509245557064173</v>
      </c>
      <c r="R133" s="1382">
        <f t="shared" si="8"/>
        <v>16.117504712260246</v>
      </c>
      <c r="S133" s="485">
        <f>C133*'4C2 Open-burning '!$C$9*'4C2 Open-burning '!$C$11*$C$5</f>
        <v>1.5742120616527069</v>
      </c>
      <c r="T133" s="485">
        <f>D133*'4C2 Open-burning '!$C$9*'4C2 Open-burning '!$C$11*$C$5</f>
        <v>1.6441153062086038</v>
      </c>
      <c r="U133" s="485">
        <f>E133*'4C2 Open-burning '!$C$9*'4C2 Open-burning '!$C$11*$C$5</f>
        <v>0.44905780164173426</v>
      </c>
      <c r="V133" s="485">
        <f>F133*'4C2 Open-burning '!$C$9*'4C2 Open-burning '!$C$11*$C$5</f>
        <v>0</v>
      </c>
      <c r="W133" s="485">
        <f>G133*'4C2 Open-burning '!$C$9*'4C2 Open-burning '!$C$11*$C$5</f>
        <v>0</v>
      </c>
      <c r="X133" s="485">
        <f>H133*'4C2 Open-burning '!$C$9*'4C2 Open-burning '!$C$11*$C$5</f>
        <v>0</v>
      </c>
      <c r="Y133" s="485">
        <f>I133*'4C2 Open-burning '!$C$9*'4C2 Open-burning '!$C$11*$C$5</f>
        <v>1.7556617227606603</v>
      </c>
      <c r="Z133" s="486">
        <f t="shared" si="9"/>
        <v>5.423046892263705</v>
      </c>
      <c r="AA133" s="487">
        <f>C133*'4C2 Open-burning '!$C$10*'4C2 Open-burning '!$C$11*$C$5*C$15</f>
        <v>1.4531188261409603E-2</v>
      </c>
      <c r="AB133" s="487">
        <f>D133*'4C2 Open-burning '!$C$10*'4C2 Open-burning '!$C$11*$C$5*D$15</f>
        <v>1.5176448980387112E-2</v>
      </c>
      <c r="AC133" s="487">
        <f>E133*'4C2 Open-burning '!$C$10*'4C2 Open-burning '!$C$11*$C$5*E$15</f>
        <v>9.3265851110206355E-3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3.646374347272141E-2</v>
      </c>
      <c r="AH133" s="488">
        <f t="shared" si="10"/>
        <v>7.5497965825538763E-2</v>
      </c>
      <c r="AI133" s="1387"/>
      <c r="AJ133" s="1386"/>
      <c r="AK133" s="1387"/>
    </row>
    <row r="134" spans="1:37">
      <c r="A134" s="157">
        <f>'Input data'!A129</f>
        <v>2029</v>
      </c>
      <c r="B134" s="417">
        <f>'Recycling - Case 2'!AP109</f>
        <v>6.2741367322737551E-2</v>
      </c>
      <c r="C134" s="527">
        <f>'Recycling - Case 2'!$AK109*'Recycling - Case 2'!BM109*'4C2 Open-burning '!$B134</f>
        <v>369.2505152584252</v>
      </c>
      <c r="D134" s="528">
        <f>'Recycling - Case 2'!$AK109*'Recycling - Case 2'!BN109*'4C2 Open-burning '!$B134</f>
        <v>385.64716835191109</v>
      </c>
      <c r="E134" s="528">
        <f>'Recycling - Case 2'!$AK109*'Recycling - Case 2'!BO109*'4C2 Open-burning '!$B134</f>
        <v>105.33194902784776</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411.81173206630382</v>
      </c>
      <c r="J134" s="744">
        <f t="shared" si="12"/>
        <v>1272.0413647044879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0.55643076721246965</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14.187737793148298</v>
      </c>
      <c r="R134" s="1382">
        <f t="shared" si="8"/>
        <v>14.744168560360768</v>
      </c>
      <c r="S134" s="485">
        <f>C134*'4C2 Open-burning '!$C$9*'4C2 Open-burning '!$C$11*$C$5</f>
        <v>1.4400770095078583</v>
      </c>
      <c r="T134" s="485">
        <f>D134*'4C2 Open-burning '!$C$9*'4C2 Open-burning '!$C$11*$C$5</f>
        <v>1.5040239565724531</v>
      </c>
      <c r="U134" s="485">
        <f>E134*'4C2 Open-burning '!$C$9*'4C2 Open-burning '!$C$11*$C$5</f>
        <v>0.41079460120860617</v>
      </c>
      <c r="V134" s="485">
        <f>F134*'4C2 Open-burning '!$C$9*'4C2 Open-burning '!$C$11*$C$5</f>
        <v>0</v>
      </c>
      <c r="W134" s="485">
        <f>G134*'4C2 Open-burning '!$C$9*'4C2 Open-burning '!$C$11*$C$5</f>
        <v>0</v>
      </c>
      <c r="X134" s="485">
        <f>H134*'4C2 Open-burning '!$C$9*'4C2 Open-burning '!$C$11*$C$5</f>
        <v>0</v>
      </c>
      <c r="Y134" s="485">
        <f>I134*'4C2 Open-burning '!$C$9*'4C2 Open-burning '!$C$11*$C$5</f>
        <v>1.6060657550585851</v>
      </c>
      <c r="Z134" s="486">
        <f t="shared" si="9"/>
        <v>4.9609613223475026</v>
      </c>
      <c r="AA134" s="487">
        <f>C134*'4C2 Open-burning '!$C$10*'4C2 Open-burning '!$C$11*$C$5*C$15</f>
        <v>1.3293018549303308E-2</v>
      </c>
      <c r="AB134" s="487">
        <f>D134*'4C2 Open-burning '!$C$10*'4C2 Open-burning '!$C$11*$C$5*D$15</f>
        <v>1.38832980606688E-2</v>
      </c>
      <c r="AC134" s="487">
        <f>E134*'4C2 Open-burning '!$C$10*'4C2 Open-burning '!$C$11*$C$5*E$15</f>
        <v>8.5318878712556667E-3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3.3356750297370605E-2</v>
      </c>
      <c r="AH134" s="488">
        <f t="shared" si="10"/>
        <v>6.9064954778598378E-2</v>
      </c>
      <c r="AI134" s="1387"/>
      <c r="AJ134" s="1386"/>
      <c r="AK134" s="1387"/>
    </row>
    <row r="135" spans="1:37">
      <c r="A135" s="157">
        <f>'Input data'!A130</f>
        <v>2030</v>
      </c>
      <c r="B135" s="417">
        <f>'Recycling - Case 2'!AP110</f>
        <v>5.7445309516483009E-2</v>
      </c>
      <c r="C135" s="527">
        <f>'Recycling - Case 2'!$AK110*'Recycling - Case 2'!BM110*'4C2 Open-burning '!$B135</f>
        <v>334.32480659664202</v>
      </c>
      <c r="D135" s="528">
        <f>'Recycling - Case 2'!$AK110*'Recycling - Case 2'!BN110*'4C2 Open-burning '!$B135</f>
        <v>349.17057565528603</v>
      </c>
      <c r="E135" s="528">
        <f>'Recycling - Case 2'!$AK110*'Recycling - Case 2'!BO110*'4C2 Open-burning '!$B135</f>
        <v>95.369084217896841</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372.86035357577953</v>
      </c>
      <c r="J135" s="744">
        <f t="shared" si="12"/>
        <v>1151.7248200456045</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0.50380053905283051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12.845784901392754</v>
      </c>
      <c r="R135" s="1382">
        <f t="shared" si="8"/>
        <v>13.349585440445585</v>
      </c>
      <c r="S135" s="485">
        <f>C135*'4C2 Open-burning '!$C$9*'4C2 Open-burning '!$C$11*$C$5</f>
        <v>1.3038667457269035</v>
      </c>
      <c r="T135" s="485">
        <f>D135*'4C2 Open-burning '!$C$9*'4C2 Open-burning '!$C$11*$C$5</f>
        <v>1.3617652450556155</v>
      </c>
      <c r="U135" s="485">
        <f>E135*'4C2 Open-burning '!$C$9*'4C2 Open-burning '!$C$11*$C$5</f>
        <v>0.37193942844979772</v>
      </c>
      <c r="V135" s="485">
        <f>F135*'4C2 Open-burning '!$C$9*'4C2 Open-burning '!$C$11*$C$5</f>
        <v>0</v>
      </c>
      <c r="W135" s="485">
        <f>G135*'4C2 Open-burning '!$C$9*'4C2 Open-burning '!$C$11*$C$5</f>
        <v>0</v>
      </c>
      <c r="X135" s="485">
        <f>H135*'4C2 Open-burning '!$C$9*'4C2 Open-burning '!$C$11*$C$5</f>
        <v>0</v>
      </c>
      <c r="Y135" s="485">
        <f>I135*'4C2 Open-burning '!$C$9*'4C2 Open-burning '!$C$11*$C$5</f>
        <v>1.4541553789455401</v>
      </c>
      <c r="Z135" s="486">
        <f t="shared" si="9"/>
        <v>4.491726798177857</v>
      </c>
      <c r="AA135" s="487">
        <f>C135*'4C2 Open-burning '!$C$10*'4C2 Open-burning '!$C$11*$C$5*C$15</f>
        <v>1.2035693037479112E-2</v>
      </c>
      <c r="AB135" s="487">
        <f>D135*'4C2 Open-burning '!$C$10*'4C2 Open-burning '!$C$11*$C$5*D$15</f>
        <v>1.2570140723590296E-2</v>
      </c>
      <c r="AC135" s="487">
        <f>E135*'4C2 Open-burning '!$C$10*'4C2 Open-burning '!$C$11*$C$5*E$15</f>
        <v>7.7248958216496431E-3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3.0201688639638145E-2</v>
      </c>
      <c r="AH135" s="488">
        <f t="shared" si="10"/>
        <v>6.2532418222357194E-2</v>
      </c>
      <c r="AI135" s="1387"/>
      <c r="AJ135" s="1386"/>
      <c r="AK135" s="1387"/>
    </row>
    <row r="136" spans="1:37">
      <c r="A136" s="157">
        <f>'Input data'!A131</f>
        <v>2031</v>
      </c>
      <c r="B136" s="417">
        <f>'Recycling - Case 2'!AP111</f>
        <v>5.156526815358331E-2</v>
      </c>
      <c r="C136" s="527">
        <f>'Recycling - Case 2'!$AK111*'Recycling - Case 2'!BM111*'4C2 Open-burning '!$B136</f>
        <v>294.64341576615396</v>
      </c>
      <c r="D136" s="528">
        <f>'Recycling - Case 2'!$AK111*'Recycling - Case 2'!BN111*'4C2 Open-burning '!$B136</f>
        <v>307.72712364186589</v>
      </c>
      <c r="E136" s="528">
        <f>'Recycling - Case 2'!$AK111*'Recycling - Case 2'!BO111*'4C2 Open-burning '!$B136</f>
        <v>84.049619346234209</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328.60513492763067</v>
      </c>
      <c r="J136" s="744">
        <f t="shared" si="12"/>
        <v>1015.0252936818847</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0.44400388114319067</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11.321104108526731</v>
      </c>
      <c r="R136" s="1382">
        <f t="shared" si="8"/>
        <v>11.765107989669922</v>
      </c>
      <c r="S136" s="485">
        <f>C136*'4C2 Open-burning '!$C$9*'4C2 Open-burning '!$C$11*$C$5</f>
        <v>1.1491093214880002</v>
      </c>
      <c r="T136" s="485">
        <f>D136*'4C2 Open-burning '!$C$9*'4C2 Open-burning '!$C$11*$C$5</f>
        <v>1.200135782203277</v>
      </c>
      <c r="U136" s="485">
        <f>E136*'4C2 Open-burning '!$C$9*'4C2 Open-burning '!$C$11*$C$5</f>
        <v>0.32779351545031338</v>
      </c>
      <c r="V136" s="485">
        <f>F136*'4C2 Open-burning '!$C$9*'4C2 Open-burning '!$C$11*$C$5</f>
        <v>0</v>
      </c>
      <c r="W136" s="485">
        <f>G136*'4C2 Open-burning '!$C$9*'4C2 Open-burning '!$C$11*$C$5</f>
        <v>0</v>
      </c>
      <c r="X136" s="485">
        <f>H136*'4C2 Open-burning '!$C$9*'4C2 Open-burning '!$C$11*$C$5</f>
        <v>0</v>
      </c>
      <c r="Y136" s="485">
        <f>I136*'4C2 Open-burning '!$C$9*'4C2 Open-burning '!$C$11*$C$5</f>
        <v>1.2815600262177596</v>
      </c>
      <c r="Z136" s="486">
        <f t="shared" si="9"/>
        <v>3.9585986453593502</v>
      </c>
      <c r="AA136" s="487">
        <f>C136*'4C2 Open-burning '!$C$10*'4C2 Open-burning '!$C$11*$C$5*C$15</f>
        <v>1.0607162967581543E-2</v>
      </c>
      <c r="AB136" s="487">
        <f>D136*'4C2 Open-burning '!$C$10*'4C2 Open-burning '!$C$11*$C$5*D$15</f>
        <v>1.1078176451107175E-2</v>
      </c>
      <c r="AC136" s="487">
        <f>E136*'4C2 Open-burning '!$C$10*'4C2 Open-burning '!$C$11*$C$5*E$15</f>
        <v>6.8080191670449701E-3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2.661701592913808E-2</v>
      </c>
      <c r="AH136" s="488">
        <f t="shared" si="10"/>
        <v>5.5110374514871767E-2</v>
      </c>
      <c r="AI136" s="1387"/>
      <c r="AJ136" s="1386"/>
      <c r="AK136" s="1387"/>
    </row>
    <row r="137" spans="1:37">
      <c r="A137" s="157">
        <f>'Input data'!A132</f>
        <v>2032</v>
      </c>
      <c r="B137" s="417">
        <f>'Recycling - Case 2'!AP112</f>
        <v>4.5524824325504684E-2</v>
      </c>
      <c r="C137" s="527">
        <f>'Recycling - Case 2'!$AK112*'Recycling - Case 2'!BM112*'4C2 Open-burning '!$B137</f>
        <v>255.29593422838869</v>
      </c>
      <c r="D137" s="528">
        <f>'Recycling - Case 2'!$AK112*'Recycling - Case 2'!BN112*'4C2 Open-burning '!$B137</f>
        <v>266.63240823923911</v>
      </c>
      <c r="E137" s="528">
        <f>'Recycling - Case 2'!$AK112*'Recycling - Case 2'!BO112*'4C2 Open-burning '!$B137</f>
        <v>72.825405029811506</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284.72231322547646</v>
      </c>
      <c r="J137" s="744">
        <f t="shared" si="12"/>
        <v>879.47606072291569</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0.38471039762668346</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9.8092531352441146</v>
      </c>
      <c r="R137" s="1382">
        <f t="shared" si="8"/>
        <v>10.193963532870798</v>
      </c>
      <c r="S137" s="485">
        <f>C137*'4C2 Open-burning '!$C$9*'4C2 Open-burning '!$C$11*$C$5</f>
        <v>0.9956541434907159</v>
      </c>
      <c r="T137" s="485">
        <f>D137*'4C2 Open-burning '!$C$9*'4C2 Open-burning '!$C$11*$C$5</f>
        <v>1.0398663921330324</v>
      </c>
      <c r="U137" s="485">
        <f>E137*'4C2 Open-burning '!$C$9*'4C2 Open-burning '!$C$11*$C$5</f>
        <v>0.28401907961626482</v>
      </c>
      <c r="V137" s="485">
        <f>F137*'4C2 Open-burning '!$C$9*'4C2 Open-burning '!$C$11*$C$5</f>
        <v>0</v>
      </c>
      <c r="W137" s="485">
        <f>G137*'4C2 Open-burning '!$C$9*'4C2 Open-burning '!$C$11*$C$5</f>
        <v>0</v>
      </c>
      <c r="X137" s="485">
        <f>H137*'4C2 Open-burning '!$C$9*'4C2 Open-burning '!$C$11*$C$5</f>
        <v>0</v>
      </c>
      <c r="Y137" s="485">
        <f>I137*'4C2 Open-burning '!$C$9*'4C2 Open-burning '!$C$11*$C$5</f>
        <v>1.1104170215793581</v>
      </c>
      <c r="Z137" s="486">
        <f t="shared" si="9"/>
        <v>3.4299566368193712</v>
      </c>
      <c r="AA137" s="487">
        <f>C137*'4C2 Open-burning '!$C$10*'4C2 Open-burning '!$C$11*$C$5*C$15</f>
        <v>9.1906536322219935E-3</v>
      </c>
      <c r="AB137" s="487">
        <f>D137*'4C2 Open-burning '!$C$10*'4C2 Open-burning '!$C$11*$C$5*D$15</f>
        <v>9.5987666966126095E-3</v>
      </c>
      <c r="AC137" s="487">
        <f>E137*'4C2 Open-burning '!$C$10*'4C2 Open-burning '!$C$11*$C$5*E$15</f>
        <v>5.8988578074147318E-3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2.3062507371263589E-2</v>
      </c>
      <c r="AH137" s="488">
        <f t="shared" si="10"/>
        <v>4.7750785507512924E-2</v>
      </c>
      <c r="AI137" s="1387"/>
      <c r="AJ137" s="1386"/>
      <c r="AK137" s="1387"/>
    </row>
    <row r="138" spans="1:37">
      <c r="A138" s="157">
        <f>'Input data'!A133</f>
        <v>2033</v>
      </c>
      <c r="B138" s="417">
        <f>'Recycling - Case 2'!AP113</f>
        <v>4.5137878508869557E-2</v>
      </c>
      <c r="C138" s="527">
        <f>'Recycling - Case 2'!$AK113*'Recycling - Case 2'!BM113*'4C2 Open-burning '!$B138</f>
        <v>254.42384291727336</v>
      </c>
      <c r="D138" s="528">
        <f>'Recycling - Case 2'!$AK113*'Recycling - Case 2'!BN113*'4C2 Open-burning '!$B138</f>
        <v>265.7215915151499</v>
      </c>
      <c r="E138" s="528">
        <f>'Recycling - Case 2'!$AK113*'Recycling - Case 2'!BO113*'4C2 Open-burning '!$B138</f>
        <v>72.57663333218575</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283.74970135762567</v>
      </c>
      <c r="J138" s="744">
        <f t="shared" si="12"/>
        <v>876.47176912223472</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0.38339622630593773</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9.7757447111729192</v>
      </c>
      <c r="R138" s="1382">
        <f t="shared" si="8"/>
        <v>10.159140937478856</v>
      </c>
      <c r="S138" s="485">
        <f>C138*'4C2 Open-burning '!$C$9*'4C2 Open-burning '!$C$11*$C$5</f>
        <v>0.992252987377366</v>
      </c>
      <c r="T138" s="485">
        <f>D138*'4C2 Open-burning '!$C$9*'4C2 Open-burning '!$C$11*$C$5</f>
        <v>1.0363142069090845</v>
      </c>
      <c r="U138" s="485">
        <f>E138*'4C2 Open-burning '!$C$9*'4C2 Open-burning '!$C$11*$C$5</f>
        <v>0.28304886999552442</v>
      </c>
      <c r="V138" s="485">
        <f>F138*'4C2 Open-burning '!$C$9*'4C2 Open-burning '!$C$11*$C$5</f>
        <v>0</v>
      </c>
      <c r="W138" s="485">
        <f>G138*'4C2 Open-burning '!$C$9*'4C2 Open-burning '!$C$11*$C$5</f>
        <v>0</v>
      </c>
      <c r="X138" s="485">
        <f>H138*'4C2 Open-burning '!$C$9*'4C2 Open-burning '!$C$11*$C$5</f>
        <v>0</v>
      </c>
      <c r="Y138" s="485">
        <f>I138*'4C2 Open-burning '!$C$9*'4C2 Open-burning '!$C$11*$C$5</f>
        <v>1.10662383529474</v>
      </c>
      <c r="Z138" s="486">
        <f t="shared" si="9"/>
        <v>3.4182398995767151</v>
      </c>
      <c r="AA138" s="487">
        <f>C138*'4C2 Open-burning '!$C$10*'4C2 Open-burning '!$C$11*$C$5*C$15</f>
        <v>9.1592583450218409E-3</v>
      </c>
      <c r="AB138" s="487">
        <f>D138*'4C2 Open-burning '!$C$10*'4C2 Open-burning '!$C$11*$C$5*D$15</f>
        <v>9.5659772945453966E-3</v>
      </c>
      <c r="AC138" s="487">
        <f>E138*'4C2 Open-burning '!$C$10*'4C2 Open-burning '!$C$11*$C$5*E$15</f>
        <v>5.8787072999070458E-3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2.2983725809967673E-2</v>
      </c>
      <c r="AH138" s="488">
        <f t="shared" si="10"/>
        <v>4.758766874944196E-2</v>
      </c>
      <c r="AI138" s="1387"/>
      <c r="AJ138" s="1386"/>
      <c r="AK138" s="1387"/>
    </row>
    <row r="139" spans="1:37">
      <c r="A139" s="157">
        <f>'Input data'!A134</f>
        <v>2034</v>
      </c>
      <c r="B139" s="417">
        <f>'Recycling - Case 2'!AP114</f>
        <v>4.4767030626353253E-2</v>
      </c>
      <c r="C139" s="527">
        <f>'Recycling - Case 2'!$AK114*'Recycling - Case 2'!BM114*'4C2 Open-burning '!$B139</f>
        <v>253.59362636818025</v>
      </c>
      <c r="D139" s="528">
        <f>'Recycling - Case 2'!$AK114*'Recycling - Case 2'!BN114*'4C2 Open-burning '!$B139</f>
        <v>264.8545090114124</v>
      </c>
      <c r="E139" s="528">
        <f>'Recycling - Case 2'!$AK114*'Recycling - Case 2'!BO114*'4C2 Open-burning '!$B139</f>
        <v>72.339806777807212</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282.82379089590876</v>
      </c>
      <c r="J139" s="744">
        <f t="shared" si="12"/>
        <v>873.61173305330863</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0.38214515687671546</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9.7438452439458469</v>
      </c>
      <c r="R139" s="1382">
        <f t="shared" si="8"/>
        <v>10.125990400822563</v>
      </c>
      <c r="S139" s="485">
        <f>C139*'4C2 Open-burning '!$C$9*'4C2 Open-burning '!$C$11*$C$5</f>
        <v>0.98901514283590286</v>
      </c>
      <c r="T139" s="485">
        <f>D139*'4C2 Open-burning '!$C$9*'4C2 Open-burning '!$C$11*$C$5</f>
        <v>1.0329325851445081</v>
      </c>
      <c r="U139" s="485">
        <f>E139*'4C2 Open-burning '!$C$9*'4C2 Open-burning '!$C$11*$C$5</f>
        <v>0.28212524643344811</v>
      </c>
      <c r="V139" s="485">
        <f>F139*'4C2 Open-burning '!$C$9*'4C2 Open-burning '!$C$11*$C$5</f>
        <v>0</v>
      </c>
      <c r="W139" s="485">
        <f>G139*'4C2 Open-burning '!$C$9*'4C2 Open-burning '!$C$11*$C$5</f>
        <v>0</v>
      </c>
      <c r="X139" s="485">
        <f>H139*'4C2 Open-burning '!$C$9*'4C2 Open-burning '!$C$11*$C$5</f>
        <v>0</v>
      </c>
      <c r="Y139" s="485">
        <f>I139*'4C2 Open-burning '!$C$9*'4C2 Open-burning '!$C$11*$C$5</f>
        <v>1.1030127844940441</v>
      </c>
      <c r="Z139" s="486">
        <f t="shared" si="9"/>
        <v>3.4070857589079031</v>
      </c>
      <c r="AA139" s="487">
        <f>C139*'4C2 Open-burning '!$C$10*'4C2 Open-burning '!$C$11*$C$5*C$15</f>
        <v>9.1293705492544886E-3</v>
      </c>
      <c r="AB139" s="487">
        <f>D139*'4C2 Open-burning '!$C$10*'4C2 Open-burning '!$C$11*$C$5*D$15</f>
        <v>9.5347623244108476E-3</v>
      </c>
      <c r="AC139" s="487">
        <f>E139*'4C2 Open-burning '!$C$10*'4C2 Open-burning '!$C$11*$C$5*E$15</f>
        <v>5.8595243490023839E-3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2.2908727062568607E-2</v>
      </c>
      <c r="AH139" s="488">
        <f t="shared" si="10"/>
        <v>4.7432384285236329E-2</v>
      </c>
      <c r="AI139" s="1387"/>
      <c r="AJ139" s="1386"/>
      <c r="AK139" s="1387"/>
    </row>
    <row r="140" spans="1:37">
      <c r="A140" s="157">
        <f>'Input data'!A135</f>
        <v>2035</v>
      </c>
      <c r="B140" s="417">
        <f>'Recycling - Case 2'!AP115</f>
        <v>4.4411850240896888E-2</v>
      </c>
      <c r="C140" s="527">
        <f>'Recycling - Case 2'!$AK115*'Recycling - Case 2'!BM115*'4C2 Open-burning '!$B140</f>
        <v>252.80363498430231</v>
      </c>
      <c r="D140" s="528">
        <f>'Recycling - Case 2'!$AK115*'Recycling - Case 2'!BN115*'4C2 Open-burning '!$B140</f>
        <v>264.02943788049811</v>
      </c>
      <c r="E140" s="528">
        <f>'Recycling - Case 2'!$AK115*'Recycling - Case 2'!BO115*'4C2 Open-burning '!$B140</f>
        <v>72.114454804714271</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281.94274210472548</v>
      </c>
      <c r="J140" s="744">
        <f t="shared" si="12"/>
        <v>870.8902697742401</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0.38095470352957578</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9.7134913509920011</v>
      </c>
      <c r="R140" s="1382">
        <f t="shared" si="8"/>
        <v>10.094446054521576</v>
      </c>
      <c r="S140" s="485">
        <f>C140*'4C2 Open-burning '!$C$9*'4C2 Open-burning '!$C$11*$C$5</f>
        <v>0.98593417643877879</v>
      </c>
      <c r="T140" s="485">
        <f>D140*'4C2 Open-burning '!$C$9*'4C2 Open-burning '!$C$11*$C$5</f>
        <v>1.0297148077339426</v>
      </c>
      <c r="U140" s="485">
        <f>E140*'4C2 Open-burning '!$C$9*'4C2 Open-burning '!$C$11*$C$5</f>
        <v>0.28124637373838562</v>
      </c>
      <c r="V140" s="485">
        <f>F140*'4C2 Open-burning '!$C$9*'4C2 Open-burning '!$C$11*$C$5</f>
        <v>0</v>
      </c>
      <c r="W140" s="485">
        <f>G140*'4C2 Open-burning '!$C$9*'4C2 Open-burning '!$C$11*$C$5</f>
        <v>0</v>
      </c>
      <c r="X140" s="485">
        <f>H140*'4C2 Open-burning '!$C$9*'4C2 Open-burning '!$C$11*$C$5</f>
        <v>0</v>
      </c>
      <c r="Y140" s="485">
        <f>I140*'4C2 Open-burning '!$C$9*'4C2 Open-burning '!$C$11*$C$5</f>
        <v>1.0995766942084293</v>
      </c>
      <c r="Z140" s="486">
        <f t="shared" si="9"/>
        <v>3.3964720521195364</v>
      </c>
      <c r="AA140" s="487">
        <f>C140*'4C2 Open-burning '!$C$10*'4C2 Open-burning '!$C$11*$C$5*C$15</f>
        <v>9.1009308594348828E-3</v>
      </c>
      <c r="AB140" s="487">
        <f>D140*'4C2 Open-burning '!$C$10*'4C2 Open-burning '!$C$11*$C$5*D$15</f>
        <v>9.505059763697931E-3</v>
      </c>
      <c r="AC140" s="487">
        <f>E140*'4C2 Open-burning '!$C$10*'4C2 Open-burning '!$C$11*$C$5*E$15</f>
        <v>5.8412708391818551E-3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2.2837362110482762E-2</v>
      </c>
      <c r="AH140" s="488">
        <f t="shared" si="10"/>
        <v>4.7284623572797432E-2</v>
      </c>
      <c r="AI140" s="1387"/>
      <c r="AJ140" s="1386"/>
      <c r="AK140" s="1387"/>
    </row>
    <row r="141" spans="1:37">
      <c r="A141" s="157">
        <f>'Input data'!A136</f>
        <v>2036</v>
      </c>
      <c r="B141" s="417">
        <f>'Recycling - Case 2'!AP116</f>
        <v>4.4069397753259403E-2</v>
      </c>
      <c r="C141" s="527">
        <f>'Recycling - Case 2'!$AK116*'Recycling - Case 2'!BM116*'4C2 Open-burning '!$B141</f>
        <v>252.04673971184587</v>
      </c>
      <c r="D141" s="528">
        <f>'Recycling - Case 2'!$AK116*'Recycling - Case 2'!BN116*'4C2 Open-burning '!$B141</f>
        <v>263.2389325013587</v>
      </c>
      <c r="E141" s="528">
        <f>'Recycling - Case 2'!$AK116*'Recycling - Case 2'!BO116*'4C2 Open-burning '!$B141</f>
        <v>71.898543787766855</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281.0986042084657</v>
      </c>
      <c r="J141" s="744">
        <f t="shared" si="12"/>
        <v>868.2828202094372</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0.37981412335500869</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9.6844091121900586</v>
      </c>
      <c r="R141" s="1382">
        <f t="shared" si="8"/>
        <v>10.064223235545068</v>
      </c>
      <c r="S141" s="485">
        <f>C141*'4C2 Open-burning '!$C$9*'4C2 Open-burning '!$C$11*$C$5</f>
        <v>0.98298228487619876</v>
      </c>
      <c r="T141" s="485">
        <f>D141*'4C2 Open-burning '!$C$9*'4C2 Open-burning '!$C$11*$C$5</f>
        <v>1.0266318367552989</v>
      </c>
      <c r="U141" s="485">
        <f>E141*'4C2 Open-burning '!$C$9*'4C2 Open-burning '!$C$11*$C$5</f>
        <v>0.28040432077229072</v>
      </c>
      <c r="V141" s="485">
        <f>F141*'4C2 Open-burning '!$C$9*'4C2 Open-burning '!$C$11*$C$5</f>
        <v>0</v>
      </c>
      <c r="W141" s="485">
        <f>G141*'4C2 Open-burning '!$C$9*'4C2 Open-burning '!$C$11*$C$5</f>
        <v>0</v>
      </c>
      <c r="X141" s="485">
        <f>H141*'4C2 Open-burning '!$C$9*'4C2 Open-burning '!$C$11*$C$5</f>
        <v>0</v>
      </c>
      <c r="Y141" s="485">
        <f>I141*'4C2 Open-burning '!$C$9*'4C2 Open-burning '!$C$11*$C$5</f>
        <v>1.0962845564130161</v>
      </c>
      <c r="Z141" s="486">
        <f t="shared" si="9"/>
        <v>3.386302998816805</v>
      </c>
      <c r="AA141" s="487">
        <f>C141*'4C2 Open-burning '!$C$10*'4C2 Open-burning '!$C$11*$C$5*C$15</f>
        <v>9.073682629626453E-3</v>
      </c>
      <c r="AB141" s="487">
        <f>D141*'4C2 Open-burning '!$C$10*'4C2 Open-burning '!$C$11*$C$5*D$15</f>
        <v>9.476601570048912E-3</v>
      </c>
      <c r="AC141" s="487">
        <f>E141*'4C2 Open-burning '!$C$10*'4C2 Open-burning '!$C$11*$C$5*E$15</f>
        <v>5.8237820468091143E-3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2.2768986940885718E-2</v>
      </c>
      <c r="AH141" s="488">
        <f t="shared" si="10"/>
        <v>4.71430531873702E-2</v>
      </c>
      <c r="AI141" s="1387"/>
      <c r="AJ141" s="1386"/>
      <c r="AK141" s="1387"/>
    </row>
    <row r="142" spans="1:37">
      <c r="A142" s="157">
        <f>'Input data'!A137</f>
        <v>2037</v>
      </c>
      <c r="B142" s="417">
        <f>'Recycling - Case 2'!AP117</f>
        <v>4.3739360020510688E-2</v>
      </c>
      <c r="C142" s="527">
        <f>'Recycling - Case 2'!$AK117*'Recycling - Case 2'!BM117*'4C2 Open-burning '!$B142</f>
        <v>251.32174376960648</v>
      </c>
      <c r="D142" s="528">
        <f>'Recycling - Case 2'!$AK117*'Recycling - Case 2'!BN117*'4C2 Open-burning '!$B142</f>
        <v>262.48174294944823</v>
      </c>
      <c r="E142" s="528">
        <f>'Recycling - Case 2'!$AK117*'Recycling - Case 2'!BO117*'4C2 Open-burning '!$B142</f>
        <v>71.691732334626678</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280.29004248037791</v>
      </c>
      <c r="J142" s="744">
        <f t="shared" si="12"/>
        <v>865.78526153405926</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0.37872161290019229</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9.6565525435339783</v>
      </c>
      <c r="R142" s="1382">
        <f t="shared" si="8"/>
        <v>10.03527415643417</v>
      </c>
      <c r="S142" s="485">
        <f>C142*'4C2 Open-burning '!$C$9*'4C2 Open-burning '!$C$11*$C$5</f>
        <v>0.9801548007014651</v>
      </c>
      <c r="T142" s="485">
        <f>D142*'4C2 Open-burning '!$C$9*'4C2 Open-burning '!$C$11*$C$5</f>
        <v>1.0236787975028481</v>
      </c>
      <c r="U142" s="485">
        <f>E142*'4C2 Open-burning '!$C$9*'4C2 Open-burning '!$C$11*$C$5</f>
        <v>0.279597756105044</v>
      </c>
      <c r="V142" s="485">
        <f>F142*'4C2 Open-burning '!$C$9*'4C2 Open-burning '!$C$11*$C$5</f>
        <v>0</v>
      </c>
      <c r="W142" s="485">
        <f>G142*'4C2 Open-burning '!$C$9*'4C2 Open-burning '!$C$11*$C$5</f>
        <v>0</v>
      </c>
      <c r="X142" s="485">
        <f>H142*'4C2 Open-burning '!$C$9*'4C2 Open-burning '!$C$11*$C$5</f>
        <v>0</v>
      </c>
      <c r="Y142" s="485">
        <f>I142*'4C2 Open-burning '!$C$9*'4C2 Open-burning '!$C$11*$C$5</f>
        <v>1.0931311656734739</v>
      </c>
      <c r="Z142" s="486">
        <f t="shared" si="9"/>
        <v>3.3765625199828309</v>
      </c>
      <c r="AA142" s="487">
        <f>C142*'4C2 Open-burning '!$C$10*'4C2 Open-burning '!$C$11*$C$5*C$15</f>
        <v>9.0475827757058348E-3</v>
      </c>
      <c r="AB142" s="487">
        <f>D142*'4C2 Open-burning '!$C$10*'4C2 Open-burning '!$C$11*$C$5*D$15</f>
        <v>9.4493427461801362E-3</v>
      </c>
      <c r="AC142" s="487">
        <f>E142*'4C2 Open-burning '!$C$10*'4C2 Open-burning '!$C$11*$C$5*E$15</f>
        <v>5.8070303191047603E-3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2.2703493440910605E-2</v>
      </c>
      <c r="AH142" s="488">
        <f t="shared" si="10"/>
        <v>4.7007449281901335E-2</v>
      </c>
      <c r="AI142" s="1387"/>
      <c r="AJ142" s="1386"/>
      <c r="AK142" s="1387"/>
    </row>
    <row r="143" spans="1:37">
      <c r="A143" s="157">
        <f>'Input data'!A138</f>
        <v>2038</v>
      </c>
      <c r="B143" s="417">
        <f>'Recycling - Case 2'!AP118</f>
        <v>4.3421440993926849E-2</v>
      </c>
      <c r="C143" s="527">
        <f>'Recycling - Case 2'!$AK118*'Recycling - Case 2'!BM118*'4C2 Open-burning '!$B143</f>
        <v>250.62751976187184</v>
      </c>
      <c r="D143" s="528">
        <f>'Recycling - Case 2'!$AK118*'Recycling - Case 2'!BN118*'4C2 Open-burning '!$B143</f>
        <v>261.75669176679139</v>
      </c>
      <c r="E143" s="528">
        <f>'Recycling - Case 2'!$AK118*'Recycling - Case 2'!BO118*'4C2 Open-burning '!$B143</f>
        <v>71.493698845775796</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279.51579957683822</v>
      </c>
      <c r="J143" s="744">
        <f t="shared" si="12"/>
        <v>863.39370995127729</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0.37767547327064904</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9.6298783270212294</v>
      </c>
      <c r="R143" s="1382">
        <f t="shared" si="8"/>
        <v>10.007553800291879</v>
      </c>
      <c r="S143" s="485">
        <f>C143*'4C2 Open-burning '!$C$9*'4C2 Open-burning '!$C$11*$C$5</f>
        <v>0.9774473270713</v>
      </c>
      <c r="T143" s="485">
        <f>D143*'4C2 Open-burning '!$C$9*'4C2 Open-burning '!$C$11*$C$5</f>
        <v>1.0208510978904863</v>
      </c>
      <c r="U143" s="485">
        <f>E143*'4C2 Open-burning '!$C$9*'4C2 Open-burning '!$C$11*$C$5</f>
        <v>0.27882542549852563</v>
      </c>
      <c r="V143" s="485">
        <f>F143*'4C2 Open-burning '!$C$9*'4C2 Open-burning '!$C$11*$C$5</f>
        <v>0</v>
      </c>
      <c r="W143" s="485">
        <f>G143*'4C2 Open-burning '!$C$9*'4C2 Open-burning '!$C$11*$C$5</f>
        <v>0</v>
      </c>
      <c r="X143" s="485">
        <f>H143*'4C2 Open-burning '!$C$9*'4C2 Open-burning '!$C$11*$C$5</f>
        <v>0</v>
      </c>
      <c r="Y143" s="485">
        <f>I143*'4C2 Open-burning '!$C$9*'4C2 Open-burning '!$C$11*$C$5</f>
        <v>1.0901116183496689</v>
      </c>
      <c r="Z143" s="486">
        <f t="shared" si="9"/>
        <v>3.367235468809981</v>
      </c>
      <c r="AA143" s="487">
        <f>C143*'4C2 Open-burning '!$C$10*'4C2 Open-burning '!$C$11*$C$5*C$15</f>
        <v>9.0225907114273862E-3</v>
      </c>
      <c r="AB143" s="487">
        <f>D143*'4C2 Open-burning '!$C$10*'4C2 Open-burning '!$C$11*$C$5*D$15</f>
        <v>9.4232409036044892E-3</v>
      </c>
      <c r="AC143" s="487">
        <f>E143*'4C2 Open-burning '!$C$10*'4C2 Open-burning '!$C$11*$C$5*E$15</f>
        <v>5.7909896065078395E-3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2.2640779765723894E-2</v>
      </c>
      <c r="AH143" s="488">
        <f t="shared" si="10"/>
        <v>4.687760098726361E-2</v>
      </c>
      <c r="AI143" s="1387"/>
      <c r="AJ143" s="1386"/>
      <c r="AK143" s="1387"/>
    </row>
    <row r="144" spans="1:37">
      <c r="A144" s="157">
        <f>'Input data'!A139</f>
        <v>2039</v>
      </c>
      <c r="B144" s="417">
        <f>'Recycling - Case 2'!AP119</f>
        <v>4.3115360724630375E-2</v>
      </c>
      <c r="C144" s="527">
        <f>'Recycling - Case 2'!$AK119*'Recycling - Case 2'!BM119*'4C2 Open-burning '!$B144</f>
        <v>249.96300544814338</v>
      </c>
      <c r="D144" s="528">
        <f>'Recycling - Case 2'!$AK119*'Recycling - Case 2'!BN119*'4C2 Open-burning '!$B144</f>
        <v>261.0626695438587</v>
      </c>
      <c r="E144" s="528">
        <f>'Recycling - Case 2'!$AK119*'Recycling - Case 2'!BO119*'4C2 Open-burning '!$B144</f>
        <v>71.304140307792622</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278.77469081947379</v>
      </c>
      <c r="J144" s="744">
        <f t="shared" si="12"/>
        <v>861.10450611926854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0.3766741037555576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9.6043456481125098</v>
      </c>
      <c r="R144" s="1382">
        <f t="shared" si="8"/>
        <v>9.9810197518680681</v>
      </c>
      <c r="S144" s="485">
        <f>C144*'4C2 Open-burning '!$C$9*'4C2 Open-burning '!$C$11*$C$5</f>
        <v>0.97485572124775921</v>
      </c>
      <c r="T144" s="485">
        <f>D144*'4C2 Open-burning '!$C$9*'4C2 Open-burning '!$C$11*$C$5</f>
        <v>1.0181444112210489</v>
      </c>
      <c r="U144" s="485">
        <f>E144*'4C2 Open-burning '!$C$9*'4C2 Open-burning '!$C$11*$C$5</f>
        <v>0.27808614720039121</v>
      </c>
      <c r="V144" s="485">
        <f>F144*'4C2 Open-burning '!$C$9*'4C2 Open-burning '!$C$11*$C$5</f>
        <v>0</v>
      </c>
      <c r="W144" s="485">
        <f>G144*'4C2 Open-burning '!$C$9*'4C2 Open-burning '!$C$11*$C$5</f>
        <v>0</v>
      </c>
      <c r="X144" s="485">
        <f>H144*'4C2 Open-burning '!$C$9*'4C2 Open-burning '!$C$11*$C$5</f>
        <v>0</v>
      </c>
      <c r="Y144" s="485">
        <f>I144*'4C2 Open-burning '!$C$9*'4C2 Open-burning '!$C$11*$C$5</f>
        <v>1.0872212941959478</v>
      </c>
      <c r="Z144" s="486">
        <f t="shared" si="9"/>
        <v>3.3583075738651473</v>
      </c>
      <c r="AA144" s="487">
        <f>C144*'4C2 Open-burning '!$C$10*'4C2 Open-burning '!$C$11*$C$5*C$15</f>
        <v>8.9986681961331614E-3</v>
      </c>
      <c r="AB144" s="487">
        <f>D144*'4C2 Open-burning '!$C$10*'4C2 Open-burning '!$C$11*$C$5*D$15</f>
        <v>9.3982561035789135E-3</v>
      </c>
      <c r="AC144" s="487">
        <f>E144*'4C2 Open-burning '!$C$10*'4C2 Open-burning '!$C$11*$C$5*E$15</f>
        <v>5.7756353649312019E-3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2.2580749956377377E-2</v>
      </c>
      <c r="AH144" s="488">
        <f t="shared" si="10"/>
        <v>4.6753309621020658E-2</v>
      </c>
      <c r="AI144" s="1387"/>
      <c r="AJ144" s="1386"/>
      <c r="AK144" s="1387"/>
    </row>
    <row r="145" spans="1:39">
      <c r="A145" s="157">
        <f>'Input data'!A140</f>
        <v>2040</v>
      </c>
      <c r="B145" s="417">
        <f>'Recycling - Case 2'!AP120</f>
        <v>4.2820854448557405E-2</v>
      </c>
      <c r="C145" s="527">
        <f>'Recycling - Case 2'!$AK120*'Recycling - Case 2'!BM120*'4C2 Open-burning '!$B145</f>
        <v>249.32719984336103</v>
      </c>
      <c r="D145" s="528">
        <f>'Recycling - Case 2'!$AK120*'Recycling - Case 2'!BN120*'4C2 Open-burning '!$B145</f>
        <v>260.3986308466209</v>
      </c>
      <c r="E145" s="528">
        <f>'Recycling - Case 2'!$AK120*'Recycling - Case 2'!BO120*'4C2 Open-burning '!$B145</f>
        <v>71.12277118090681</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278.06559984588466</v>
      </c>
      <c r="J145" s="744">
        <f t="shared" si="12"/>
        <v>858.91420171677339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0.37571599595110555</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9.5799160458904176</v>
      </c>
      <c r="R145" s="1382">
        <f t="shared" si="8"/>
        <v>9.9556320418415236</v>
      </c>
      <c r="S145" s="485">
        <f>C145*'4C2 Open-burning '!$C$9*'4C2 Open-burning '!$C$11*$C$5</f>
        <v>0.97237607938910808</v>
      </c>
      <c r="T145" s="485">
        <f>D145*'4C2 Open-burning '!$C$9*'4C2 Open-burning '!$C$11*$C$5</f>
        <v>1.0155546603018215</v>
      </c>
      <c r="U145" s="485">
        <f>E145*'4C2 Open-burning '!$C$9*'4C2 Open-burning '!$C$11*$C$5</f>
        <v>0.27737880760553651</v>
      </c>
      <c r="V145" s="485">
        <f>F145*'4C2 Open-burning '!$C$9*'4C2 Open-burning '!$C$11*$C$5</f>
        <v>0</v>
      </c>
      <c r="W145" s="485">
        <f>G145*'4C2 Open-burning '!$C$9*'4C2 Open-burning '!$C$11*$C$5</f>
        <v>0</v>
      </c>
      <c r="X145" s="485">
        <f>H145*'4C2 Open-burning '!$C$9*'4C2 Open-burning '!$C$11*$C$5</f>
        <v>0</v>
      </c>
      <c r="Y145" s="485">
        <f>I145*'4C2 Open-burning '!$C$9*'4C2 Open-burning '!$C$11*$C$5</f>
        <v>1.0844558393989501</v>
      </c>
      <c r="Z145" s="486">
        <f t="shared" si="9"/>
        <v>3.3497653866954162</v>
      </c>
      <c r="AA145" s="487">
        <f>C145*'4C2 Open-burning '!$C$10*'4C2 Open-burning '!$C$11*$C$5*C$15</f>
        <v>8.9757791943609957E-3</v>
      </c>
      <c r="AB145" s="487">
        <f>D145*'4C2 Open-burning '!$C$10*'4C2 Open-burning '!$C$11*$C$5*D$15</f>
        <v>9.3743507104783533E-3</v>
      </c>
      <c r="AC145" s="487">
        <f>E145*'4C2 Open-burning '!$C$10*'4C2 Open-burning '!$C$11*$C$5*E$15</f>
        <v>5.7609444656534512E-3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2.2523313587516657E-2</v>
      </c>
      <c r="AH145" s="488">
        <f t="shared" si="10"/>
        <v>4.6634387958009456E-2</v>
      </c>
      <c r="AI145" s="1387"/>
      <c r="AJ145" s="1386"/>
      <c r="AK145" s="1387"/>
    </row>
    <row r="146" spans="1:39">
      <c r="A146" s="157">
        <f>'Input data'!A141</f>
        <v>2041</v>
      </c>
      <c r="B146" s="417">
        <f>'Recycling - Case 2'!AP121</f>
        <v>4.2536993118832994E-2</v>
      </c>
      <c r="C146" s="527">
        <f>'Recycling - Case 2'!$AK121*'Recycling - Case 2'!BM121*'4C2 Open-burning '!$B146</f>
        <v>248.7177064132398</v>
      </c>
      <c r="D146" s="528">
        <f>'Recycling - Case 2'!$AK121*'Recycling - Case 2'!BN121*'4C2 Open-burning '!$B146</f>
        <v>259.76207272214316</v>
      </c>
      <c r="E146" s="528">
        <f>'Recycling - Case 2'!$AK121*'Recycling - Case 2'!BO121*'4C2 Open-burning '!$B146</f>
        <v>70.948907832688036</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277.38585388814215</v>
      </c>
      <c r="J146" s="744">
        <f t="shared" si="12"/>
        <v>856.81454085621317</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0.37479753847327113</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9.5564974381542722</v>
      </c>
      <c r="R146" s="1382">
        <f t="shared" si="8"/>
        <v>9.9312949766275427</v>
      </c>
      <c r="S146" s="485">
        <f>C146*'4C2 Open-burning '!$C$9*'4C2 Open-burning '!$C$11*$C$5</f>
        <v>0.96999905501163519</v>
      </c>
      <c r="T146" s="485">
        <f>D146*'4C2 Open-burning '!$C$9*'4C2 Open-burning '!$C$11*$C$5</f>
        <v>1.0130720836163583</v>
      </c>
      <c r="U146" s="485">
        <f>E146*'4C2 Open-burning '!$C$9*'4C2 Open-burning '!$C$11*$C$5</f>
        <v>0.27670074054748334</v>
      </c>
      <c r="V146" s="485">
        <f>F146*'4C2 Open-burning '!$C$9*'4C2 Open-burning '!$C$11*$C$5</f>
        <v>0</v>
      </c>
      <c r="W146" s="485">
        <f>G146*'4C2 Open-burning '!$C$9*'4C2 Open-burning '!$C$11*$C$5</f>
        <v>0</v>
      </c>
      <c r="X146" s="485">
        <f>H146*'4C2 Open-burning '!$C$9*'4C2 Open-burning '!$C$11*$C$5</f>
        <v>0</v>
      </c>
      <c r="Y146" s="485">
        <f>I146*'4C2 Open-burning '!$C$9*'4C2 Open-burning '!$C$11*$C$5</f>
        <v>1.0818048301637542</v>
      </c>
      <c r="Z146" s="486">
        <f t="shared" si="9"/>
        <v>3.3415767093392308</v>
      </c>
      <c r="AA146" s="487">
        <f>C146*'4C2 Open-burning '!$C$10*'4C2 Open-burning '!$C$11*$C$5*C$15</f>
        <v>8.9538374308766305E-3</v>
      </c>
      <c r="AB146" s="487">
        <f>D146*'4C2 Open-burning '!$C$10*'4C2 Open-burning '!$C$11*$C$5*D$15</f>
        <v>9.3514346179971522E-3</v>
      </c>
      <c r="AC146" s="487">
        <f>E146*'4C2 Open-burning '!$C$10*'4C2 Open-burning '!$C$11*$C$5*E$15</f>
        <v>5.7468615344477298E-3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2.2468254164939513E-2</v>
      </c>
      <c r="AH146" s="488">
        <f t="shared" si="10"/>
        <v>4.6520387748261026E-2</v>
      </c>
      <c r="AI146" s="1387"/>
      <c r="AJ146" s="1386"/>
      <c r="AK146" s="1387"/>
    </row>
    <row r="147" spans="1:39">
      <c r="A147" s="157">
        <f>'Input data'!A142</f>
        <v>2042</v>
      </c>
      <c r="B147" s="417">
        <f>'Recycling - Case 2'!AP122</f>
        <v>4.2263554593502534E-2</v>
      </c>
      <c r="C147" s="527">
        <f>'Recycling - Case 2'!$AK122*'Recycling - Case 2'!BM122*'4C2 Open-burning '!$B147</f>
        <v>248.13369011039472</v>
      </c>
      <c r="D147" s="528">
        <f>'Recycling - Case 2'!$AK122*'Recycling - Case 2'!BN122*'4C2 Open-burning '!$B147</f>
        <v>259.15212304257147</v>
      </c>
      <c r="E147" s="528">
        <f>'Recycling - Case 2'!$AK122*'Recycling - Case 2'!BO122*'4C2 Open-burning '!$B147</f>
        <v>70.782312058543596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276.73452164812812</v>
      </c>
      <c r="J147" s="744">
        <f t="shared" si="12"/>
        <v>854.80264685963789</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0.37391747297294475</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9.5340577398213089</v>
      </c>
      <c r="R147" s="1382">
        <f t="shared" si="8"/>
        <v>9.9079752127942537</v>
      </c>
      <c r="S147" s="485">
        <f>C147*'4C2 Open-burning '!$C$9*'4C2 Open-burning '!$C$11*$C$5</f>
        <v>0.96772139143053937</v>
      </c>
      <c r="T147" s="485">
        <f>D147*'4C2 Open-burning '!$C$9*'4C2 Open-burning '!$C$11*$C$5</f>
        <v>1.0106932798660286</v>
      </c>
      <c r="U147" s="485">
        <f>E147*'4C2 Open-burning '!$C$9*'4C2 Open-burning '!$C$11*$C$5</f>
        <v>0.27605101702832002</v>
      </c>
      <c r="V147" s="485">
        <f>F147*'4C2 Open-burning '!$C$9*'4C2 Open-burning '!$C$11*$C$5</f>
        <v>0</v>
      </c>
      <c r="W147" s="485">
        <f>G147*'4C2 Open-burning '!$C$9*'4C2 Open-burning '!$C$11*$C$5</f>
        <v>0</v>
      </c>
      <c r="X147" s="485">
        <f>H147*'4C2 Open-burning '!$C$9*'4C2 Open-burning '!$C$11*$C$5</f>
        <v>0</v>
      </c>
      <c r="Y147" s="485">
        <f>I147*'4C2 Open-burning '!$C$9*'4C2 Open-burning '!$C$11*$C$5</f>
        <v>1.0792646344276995</v>
      </c>
      <c r="Z147" s="486">
        <f t="shared" si="9"/>
        <v>3.3337303227525874</v>
      </c>
      <c r="AA147" s="487">
        <f>C147*'4C2 Open-burning '!$C$10*'4C2 Open-burning '!$C$11*$C$5*C$15</f>
        <v>8.93281284397421E-3</v>
      </c>
      <c r="AB147" s="487">
        <f>D147*'4C2 Open-burning '!$C$10*'4C2 Open-burning '!$C$11*$C$5*D$15</f>
        <v>9.3294764295325724E-3</v>
      </c>
      <c r="AC147" s="487">
        <f>E147*'4C2 Open-burning '!$C$10*'4C2 Open-burning '!$C$11*$C$5*E$15</f>
        <v>5.7333672767420317E-3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2.2415496253498379E-2</v>
      </c>
      <c r="AH147" s="488">
        <f t="shared" si="10"/>
        <v>4.6411152803747191E-2</v>
      </c>
      <c r="AI147" s="1387"/>
      <c r="AJ147" s="1386"/>
      <c r="AK147" s="1387"/>
    </row>
    <row r="148" spans="1:39">
      <c r="A148" s="157">
        <f>'Input data'!A143</f>
        <v>2043</v>
      </c>
      <c r="B148" s="417">
        <f>'Recycling - Case 2'!AP123</f>
        <v>4.200032825319204E-2</v>
      </c>
      <c r="C148" s="527">
        <f>'Recycling - Case 2'!$AK123*'Recycling - Case 2'!BM123*'4C2 Open-burning '!$B148</f>
        <v>247.57436204091647</v>
      </c>
      <c r="D148" s="528">
        <f>'Recycling - Case 2'!$AK123*'Recycling - Case 2'!BN123*'4C2 Open-burning '!$B148</f>
        <v>258.56795788298308</v>
      </c>
      <c r="E148" s="528">
        <f>'Recycling - Case 2'!$AK123*'Recycling - Case 2'!BO123*'4C2 Open-burning '!$B148</f>
        <v>70.622758819564638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276.11072330102508</v>
      </c>
      <c r="J148" s="744">
        <f t="shared" si="12"/>
        <v>852.87580204448932</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0.37307461065058495</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9.5125666391669146</v>
      </c>
      <c r="R148" s="1382">
        <f t="shared" si="8"/>
        <v>9.8856412498174997</v>
      </c>
      <c r="S148" s="485">
        <f>C148*'4C2 Open-burning '!$C$9*'4C2 Open-burning '!$C$11*$C$5</f>
        <v>0.96554001195957406</v>
      </c>
      <c r="T148" s="485">
        <f>D148*'4C2 Open-burning '!$C$9*'4C2 Open-burning '!$C$11*$C$5</f>
        <v>1.0084150357436339</v>
      </c>
      <c r="U148" s="485">
        <f>E148*'4C2 Open-burning '!$C$9*'4C2 Open-burning '!$C$11*$C$5</f>
        <v>0.27542875939630207</v>
      </c>
      <c r="V148" s="485">
        <f>F148*'4C2 Open-burning '!$C$9*'4C2 Open-burning '!$C$11*$C$5</f>
        <v>0</v>
      </c>
      <c r="W148" s="485">
        <f>G148*'4C2 Open-burning '!$C$9*'4C2 Open-burning '!$C$11*$C$5</f>
        <v>0</v>
      </c>
      <c r="X148" s="485">
        <f>H148*'4C2 Open-burning '!$C$9*'4C2 Open-burning '!$C$11*$C$5</f>
        <v>0</v>
      </c>
      <c r="Y148" s="485">
        <f>I148*'4C2 Open-burning '!$C$9*'4C2 Open-burning '!$C$11*$C$5</f>
        <v>1.0768318208739978</v>
      </c>
      <c r="Z148" s="486">
        <f t="shared" si="9"/>
        <v>3.3262156279735073</v>
      </c>
      <c r="AA148" s="487">
        <f>C148*'4C2 Open-burning '!$C$10*'4C2 Open-burning '!$C$11*$C$5*C$15</f>
        <v>8.9126770334729925E-3</v>
      </c>
      <c r="AB148" s="487">
        <f>D148*'4C2 Open-burning '!$C$10*'4C2 Open-burning '!$C$11*$C$5*D$15</f>
        <v>9.3084464837873901E-3</v>
      </c>
      <c r="AC148" s="487">
        <f>E148*'4C2 Open-burning '!$C$10*'4C2 Open-burning '!$C$11*$C$5*E$15</f>
        <v>5.7204434643847359E-3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2.236496858738303E-2</v>
      </c>
      <c r="AH148" s="488">
        <f t="shared" si="10"/>
        <v>4.6306535569028147E-2</v>
      </c>
      <c r="AI148" s="1387"/>
      <c r="AJ148" s="1386"/>
      <c r="AK148" s="1387"/>
    </row>
    <row r="149" spans="1:39">
      <c r="A149" s="157">
        <f>'Input data'!A144</f>
        <v>2044</v>
      </c>
      <c r="B149" s="417">
        <f>'Recycling - Case 2'!AP124</f>
        <v>4.1747114415091345E-2</v>
      </c>
      <c r="C149" s="527">
        <f>'Recycling - Case 2'!$AK124*'Recycling - Case 2'!BM124*'4C2 Open-burning '!$B149</f>
        <v>247.0389769503204</v>
      </c>
      <c r="D149" s="528">
        <f>'Recycling - Case 2'!$AK124*'Recycling - Case 2'!BN124*'4C2 Open-burning '!$B149</f>
        <v>258.00879889569853</v>
      </c>
      <c r="E149" s="528">
        <f>'Recycling - Case 2'!$AK124*'Recycling - Case 2'!BO124*'4C2 Open-burning '!$B149</f>
        <v>70.470035525371102</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275.51362769148608</v>
      </c>
      <c r="J149" s="744">
        <f t="shared" si="12"/>
        <v>851.03143906287619</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0.37226782846774642</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9.4919955012270769</v>
      </c>
      <c r="R149" s="1382">
        <f t="shared" si="8"/>
        <v>9.8642633296948237</v>
      </c>
      <c r="S149" s="485">
        <f>C149*'4C2 Open-burning '!$C$9*'4C2 Open-burning '!$C$11*$C$5</f>
        <v>0.96345201010624959</v>
      </c>
      <c r="T149" s="485">
        <f>D149*'4C2 Open-burning '!$C$9*'4C2 Open-burning '!$C$11*$C$5</f>
        <v>1.0062343156932241</v>
      </c>
      <c r="U149" s="485">
        <f>E149*'4C2 Open-burning '!$C$9*'4C2 Open-burning '!$C$11*$C$5</f>
        <v>0.27483313854894731</v>
      </c>
      <c r="V149" s="485">
        <f>F149*'4C2 Open-burning '!$C$9*'4C2 Open-burning '!$C$11*$C$5</f>
        <v>0</v>
      </c>
      <c r="W149" s="485">
        <f>G149*'4C2 Open-burning '!$C$9*'4C2 Open-burning '!$C$11*$C$5</f>
        <v>0</v>
      </c>
      <c r="X149" s="485">
        <f>H149*'4C2 Open-burning '!$C$9*'4C2 Open-burning '!$C$11*$C$5</f>
        <v>0</v>
      </c>
      <c r="Y149" s="485">
        <f>I149*'4C2 Open-burning '!$C$9*'4C2 Open-burning '!$C$11*$C$5</f>
        <v>1.0745031479967955</v>
      </c>
      <c r="Z149" s="486">
        <f t="shared" si="9"/>
        <v>3.3190226123452167</v>
      </c>
      <c r="AA149" s="487">
        <f>C149*'4C2 Open-burning '!$C$10*'4C2 Open-burning '!$C$11*$C$5*C$15</f>
        <v>8.8934031702115335E-3</v>
      </c>
      <c r="AB149" s="487">
        <f>D149*'4C2 Open-burning '!$C$10*'4C2 Open-burning '!$C$11*$C$5*D$15</f>
        <v>9.2883167602451477E-3</v>
      </c>
      <c r="AC149" s="487">
        <f>E149*'4C2 Open-burning '!$C$10*'4C2 Open-burning '!$C$11*$C$5*E$15</f>
        <v>5.7080728775550597E-3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2.2316603843010371E-2</v>
      </c>
      <c r="AH149" s="488">
        <f t="shared" si="10"/>
        <v>4.6206396651022108E-2</v>
      </c>
      <c r="AI149" s="1387"/>
      <c r="AJ149" s="1386"/>
      <c r="AK149" s="1387"/>
    </row>
    <row r="150" spans="1:39">
      <c r="A150" s="157">
        <f>'Input data'!A145</f>
        <v>2045</v>
      </c>
      <c r="B150" s="417">
        <f>'Recycling - Case 2'!AP125</f>
        <v>4.1503723790861022E-2</v>
      </c>
      <c r="C150" s="527">
        <f>'Recycling - Case 2'!$AK125*'Recycling - Case 2'!BM125*'4C2 Open-burning '!$B150</f>
        <v>246.52683089292381</v>
      </c>
      <c r="D150" s="528">
        <f>'Recycling - Case 2'!$AK125*'Recycling - Case 2'!BN125*'4C2 Open-burning '!$B150</f>
        <v>257.47391087616694</v>
      </c>
      <c r="E150" s="528">
        <f>'Recycling - Case 2'!$AK125*'Recycling - Case 2'!BO125*'4C2 Open-burning '!$B150</f>
        <v>70.323941369281002</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274.94244973437526</v>
      </c>
      <c r="J150" s="744">
        <f t="shared" si="12"/>
        <v>849.26713287274697</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0.37149606563501858</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9.4723172782486955</v>
      </c>
      <c r="R150" s="1382">
        <f t="shared" si="8"/>
        <v>9.8438133438837134</v>
      </c>
      <c r="S150" s="485">
        <f>C150*'4C2 Open-burning '!$C$9*'4C2 Open-burning '!$C$11*$C$5</f>
        <v>0.96145464048240281</v>
      </c>
      <c r="T150" s="485">
        <f>D150*'4C2 Open-burning '!$C$9*'4C2 Open-burning '!$C$11*$C$5</f>
        <v>1.0041482524170511</v>
      </c>
      <c r="U150" s="485">
        <f>E150*'4C2 Open-burning '!$C$9*'4C2 Open-burning '!$C$11*$C$5</f>
        <v>0.27426337134019585</v>
      </c>
      <c r="V150" s="485">
        <f>F150*'4C2 Open-burning '!$C$9*'4C2 Open-burning '!$C$11*$C$5</f>
        <v>0</v>
      </c>
      <c r="W150" s="485">
        <f>G150*'4C2 Open-burning '!$C$9*'4C2 Open-burning '!$C$11*$C$5</f>
        <v>0</v>
      </c>
      <c r="X150" s="485">
        <f>H150*'4C2 Open-burning '!$C$9*'4C2 Open-burning '!$C$11*$C$5</f>
        <v>0</v>
      </c>
      <c r="Y150" s="485">
        <f>I150*'4C2 Open-burning '!$C$9*'4C2 Open-burning '!$C$11*$C$5</f>
        <v>1.0722755539640634</v>
      </c>
      <c r="Z150" s="486">
        <f t="shared" si="9"/>
        <v>3.3121418182037132</v>
      </c>
      <c r="AA150" s="487">
        <f>C150*'4C2 Open-burning '!$C$10*'4C2 Open-burning '!$C$11*$C$5*C$15</f>
        <v>8.8749659121452572E-3</v>
      </c>
      <c r="AB150" s="487">
        <f>D150*'4C2 Open-burning '!$C$10*'4C2 Open-burning '!$C$11*$C$5*D$15</f>
        <v>9.2690607915420081E-3</v>
      </c>
      <c r="AC150" s="487">
        <f>E150*'4C2 Open-burning '!$C$10*'4C2 Open-burning '!$C$11*$C$5*E$15</f>
        <v>5.6962392509117615E-3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2.2270338428484394E-2</v>
      </c>
      <c r="AH150" s="488">
        <f t="shared" si="10"/>
        <v>4.6110604383083426E-2</v>
      </c>
      <c r="AI150" s="1387"/>
      <c r="AJ150" s="1386"/>
      <c r="AK150" s="1387"/>
    </row>
    <row r="151" spans="1:39">
      <c r="A151" s="157">
        <f>'Input data'!A146</f>
        <v>2046</v>
      </c>
      <c r="B151" s="417">
        <f>'Recycling - Case 2'!AP126</f>
        <v>4.126929528396954E-2</v>
      </c>
      <c r="C151" s="527">
        <f>'Recycling - Case 2'!$AK126*'Recycling - Case 2'!BM126*'4C2 Open-burning '!$B151</f>
        <v>246.03583455135771</v>
      </c>
      <c r="D151" s="528">
        <f>'Recycling - Case 2'!$AK126*'Recycling - Case 2'!BN126*'4C2 Open-burning '!$B151</f>
        <v>256.96111173040657</v>
      </c>
      <c r="E151" s="528">
        <f>'Recycling - Case 2'!$AK126*'Recycling - Case 2'!BO126*'4C2 Open-burning '!$B151</f>
        <v>70.183880355184641</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274.39485928966855</v>
      </c>
      <c r="J151" s="744">
        <f t="shared" si="12"/>
        <v>847.57568592661755</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0.37075617371951258</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9.4534516922476595</v>
      </c>
      <c r="R151" s="1382">
        <f t="shared" si="8"/>
        <v>9.8242078659671712</v>
      </c>
      <c r="S151" s="485">
        <f>C151*'4C2 Open-burning '!$C$9*'4C2 Open-burning '!$C$11*$C$5</f>
        <v>0.95953975475029496</v>
      </c>
      <c r="T151" s="485">
        <f>D151*'4C2 Open-burning '!$C$9*'4C2 Open-burning '!$C$11*$C$5</f>
        <v>1.0021483357485856</v>
      </c>
      <c r="U151" s="485">
        <f>E151*'4C2 Open-burning '!$C$9*'4C2 Open-burning '!$C$11*$C$5</f>
        <v>0.27371713338522008</v>
      </c>
      <c r="V151" s="485">
        <f>F151*'4C2 Open-burning '!$C$9*'4C2 Open-burning '!$C$11*$C$5</f>
        <v>0</v>
      </c>
      <c r="W151" s="485">
        <f>G151*'4C2 Open-burning '!$C$9*'4C2 Open-burning '!$C$11*$C$5</f>
        <v>0</v>
      </c>
      <c r="X151" s="485">
        <f>H151*'4C2 Open-burning '!$C$9*'4C2 Open-burning '!$C$11*$C$5</f>
        <v>0</v>
      </c>
      <c r="Y151" s="485">
        <f>I151*'4C2 Open-burning '!$C$9*'4C2 Open-burning '!$C$11*$C$5</f>
        <v>1.0701399512297072</v>
      </c>
      <c r="Z151" s="486">
        <f t="shared" si="9"/>
        <v>3.3055451751138079</v>
      </c>
      <c r="AA151" s="487">
        <f>C151*'4C2 Open-burning '!$C$10*'4C2 Open-burning '!$C$11*$C$5*C$15</f>
        <v>8.857290043848878E-3</v>
      </c>
      <c r="AB151" s="487">
        <f>D151*'4C2 Open-burning '!$C$10*'4C2 Open-burning '!$C$11*$C$5*D$15</f>
        <v>9.2506000222946343E-3</v>
      </c>
      <c r="AC151" s="487">
        <f>E151*'4C2 Open-burning '!$C$10*'4C2 Open-burning '!$C$11*$C$5*E$15</f>
        <v>5.684894308769956E-3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2.222598360246315E-2</v>
      </c>
      <c r="AH151" s="488">
        <f t="shared" si="10"/>
        <v>4.6018767977376619E-2</v>
      </c>
      <c r="AI151" s="1387"/>
      <c r="AJ151" s="1386"/>
      <c r="AK151" s="1387"/>
    </row>
    <row r="152" spans="1:39">
      <c r="A152" s="157">
        <f>'Input data'!A147</f>
        <v>2047</v>
      </c>
      <c r="B152" s="417">
        <f>'Recycling - Case 2'!AP127</f>
        <v>4.1043671168165985E-2</v>
      </c>
      <c r="C152" s="527">
        <f>'Recycling - Case 2'!$AK127*'Recycling - Case 2'!BM127*'4C2 Open-burning '!$B152</f>
        <v>245.56540459284284</v>
      </c>
      <c r="D152" s="528">
        <f>'Recycling - Case 2'!$AK127*'Recycling - Case 2'!BN127*'4C2 Open-burning '!$B152</f>
        <v>256.46979222261331</v>
      </c>
      <c r="E152" s="528">
        <f>'Recycling - Case 2'!$AK127*'Recycling - Case 2'!BO127*'4C2 Open-burning '!$B152</f>
        <v>70.049686082288957</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273.87020578743494</v>
      </c>
      <c r="J152" s="744">
        <f t="shared" si="12"/>
        <v>845.95508868518004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0.37004727368574292</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9.4353763297887081</v>
      </c>
      <c r="R152" s="1382">
        <f t="shared" si="8"/>
        <v>9.8054236034744502</v>
      </c>
      <c r="S152" s="485">
        <f>C152*'4C2 Open-burning '!$C$9*'4C2 Open-burning '!$C$11*$C$5</f>
        <v>0.95770507791208692</v>
      </c>
      <c r="T152" s="485">
        <f>D152*'4C2 Open-burning '!$C$9*'4C2 Open-burning '!$C$11*$C$5</f>
        <v>1.0002321896681918</v>
      </c>
      <c r="U152" s="485">
        <f>E152*'4C2 Open-burning '!$C$9*'4C2 Open-burning '!$C$11*$C$5</f>
        <v>0.2731937757209269</v>
      </c>
      <c r="V152" s="485">
        <f>F152*'4C2 Open-burning '!$C$9*'4C2 Open-burning '!$C$11*$C$5</f>
        <v>0</v>
      </c>
      <c r="W152" s="485">
        <f>G152*'4C2 Open-burning '!$C$9*'4C2 Open-burning '!$C$11*$C$5</f>
        <v>0</v>
      </c>
      <c r="X152" s="485">
        <f>H152*'4C2 Open-burning '!$C$9*'4C2 Open-burning '!$C$11*$C$5</f>
        <v>0</v>
      </c>
      <c r="Y152" s="485">
        <f>I152*'4C2 Open-burning '!$C$9*'4C2 Open-burning '!$C$11*$C$5</f>
        <v>1.0680938025709961</v>
      </c>
      <c r="Z152" s="486">
        <f t="shared" si="9"/>
        <v>3.2992248458722018</v>
      </c>
      <c r="AA152" s="487">
        <f>C152*'4C2 Open-burning '!$C$10*'4C2 Open-burning '!$C$11*$C$5*C$15</f>
        <v>8.8403545653423423E-3</v>
      </c>
      <c r="AB152" s="487">
        <f>D152*'4C2 Open-burning '!$C$10*'4C2 Open-burning '!$C$11*$C$5*D$15</f>
        <v>9.2329125200140798E-3</v>
      </c>
      <c r="AC152" s="487">
        <f>E152*'4C2 Open-burning '!$C$10*'4C2 Open-burning '!$C$11*$C$5*E$15</f>
        <v>5.6740245726654053E-3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2.218348666878223E-2</v>
      </c>
      <c r="AH152" s="488">
        <f t="shared" si="10"/>
        <v>4.5930778326804055E-2</v>
      </c>
      <c r="AI152" s="1387"/>
      <c r="AJ152" s="1386"/>
      <c r="AK152" s="1387"/>
    </row>
    <row r="153" spans="1:39">
      <c r="A153" s="157">
        <f>'Input data'!A148</f>
        <v>2048</v>
      </c>
      <c r="B153" s="417">
        <f>'Recycling - Case 2'!AP128</f>
        <v>4.0826701603879002E-2</v>
      </c>
      <c r="C153" s="527">
        <f>'Recycling - Case 2'!$AK128*'Recycling - Case 2'!BM128*'4C2 Open-burning '!$B153</f>
        <v>245.11498876208816</v>
      </c>
      <c r="D153" s="528">
        <f>'Recycling - Case 2'!$AK128*'Recycling - Case 2'!BN128*'4C2 Open-burning '!$B153</f>
        <v>255.99937557447444</v>
      </c>
      <c r="E153" s="528">
        <f>'Recycling - Case 2'!$AK128*'Recycling - Case 2'!BO128*'4C2 Open-burning '!$B153</f>
        <v>69.921201014927078</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273.36787331734115</v>
      </c>
      <c r="J153" s="744">
        <f t="shared" si="12"/>
        <v>844.40343866883086</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0.36936853332949438</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9.4180699715290359</v>
      </c>
      <c r="R153" s="1382">
        <f t="shared" ref="R153:R155" si="13">SUM(K153:Q153)</f>
        <v>9.78743850485853</v>
      </c>
      <c r="S153" s="485">
        <f>C153*'4C2 Open-burning '!$C$9*'4C2 Open-burning '!$C$11*$C$5</f>
        <v>0.95594845617214375</v>
      </c>
      <c r="T153" s="485">
        <f>D153*'4C2 Open-burning '!$C$9*'4C2 Open-burning '!$C$11*$C$5</f>
        <v>0.99839756474045016</v>
      </c>
      <c r="U153" s="485">
        <f>E153*'4C2 Open-burning '!$C$9*'4C2 Open-burning '!$C$11*$C$5</f>
        <v>0.27269268395821555</v>
      </c>
      <c r="V153" s="485">
        <f>F153*'4C2 Open-burning '!$C$9*'4C2 Open-burning '!$C$11*$C$5</f>
        <v>0</v>
      </c>
      <c r="W153" s="485">
        <f>G153*'4C2 Open-burning '!$C$9*'4C2 Open-burning '!$C$11*$C$5</f>
        <v>0</v>
      </c>
      <c r="X153" s="485">
        <f>H153*'4C2 Open-burning '!$C$9*'4C2 Open-burning '!$C$11*$C$5</f>
        <v>0</v>
      </c>
      <c r="Y153" s="485">
        <f>I153*'4C2 Open-burning '!$C$9*'4C2 Open-burning '!$C$11*$C$5</f>
        <v>1.0661347059376303</v>
      </c>
      <c r="Z153" s="486">
        <f t="shared" ref="Z153:Z155" si="14">SUM(S153:Y153)</f>
        <v>3.2931734108084401</v>
      </c>
      <c r="AA153" s="487">
        <f>C153*'4C2 Open-burning '!$C$10*'4C2 Open-burning '!$C$11*$C$5*C$15</f>
        <v>8.8241395954351733E-3</v>
      </c>
      <c r="AB153" s="487">
        <f>D153*'4C2 Open-burning '!$C$10*'4C2 Open-burning '!$C$11*$C$5*D$15</f>
        <v>9.21597752068108E-3</v>
      </c>
      <c r="AC153" s="487">
        <f>E153*'4C2 Open-burning '!$C$10*'4C2 Open-burning '!$C$11*$C$5*E$15</f>
        <v>5.663617282209093E-3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2.2142797738704634E-2</v>
      </c>
      <c r="AH153" s="488">
        <f t="shared" ref="AH153:AH155" si="15">SUM(AA153:AG153)</f>
        <v>4.584653213702998E-2</v>
      </c>
      <c r="AI153" s="1387"/>
      <c r="AJ153" s="1386"/>
      <c r="AK153" s="1387"/>
    </row>
    <row r="154" spans="1:39">
      <c r="A154" s="157">
        <f>'Input data'!A149</f>
        <v>2049</v>
      </c>
      <c r="B154" s="417">
        <f>'Recycling - Case 2'!AP129</f>
        <v>4.0618244292031702E-2</v>
      </c>
      <c r="C154" s="527">
        <f>'Recycling - Case 2'!$AK129*'Recycling - Case 2'!BM129*'4C2 Open-burning '!$B154</f>
        <v>244.68406438198275</v>
      </c>
      <c r="D154" s="528">
        <f>'Recycling - Case 2'!$AK129*'Recycling - Case 2'!BN129*'4C2 Open-burning '!$B154</f>
        <v>255.54931589928307</v>
      </c>
      <c r="E154" s="528">
        <f>'Recycling - Case 2'!$AK129*'Recycling - Case 2'!BO129*'4C2 Open-burning '!$B154</f>
        <v>69.7982760548675</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272.88727895652727</v>
      </c>
      <c r="J154" s="744">
        <f t="shared" si="12"/>
        <v>842.91893529266054</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0.36871916501848523</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9.4015125346102764</v>
      </c>
      <c r="R154" s="1382">
        <f t="shared" si="13"/>
        <v>9.770231699628761</v>
      </c>
      <c r="S154" s="485">
        <f>C154*'4C2 Open-burning '!$C$9*'4C2 Open-burning '!$C$11*$C$5</f>
        <v>0.95426785108973256</v>
      </c>
      <c r="T154" s="485">
        <f>D154*'4C2 Open-burning '!$C$9*'4C2 Open-burning '!$C$11*$C$5</f>
        <v>0.99664233200720398</v>
      </c>
      <c r="U154" s="485">
        <f>E154*'4C2 Open-burning '!$C$9*'4C2 Open-burning '!$C$11*$C$5</f>
        <v>0.2722132766139832</v>
      </c>
      <c r="V154" s="485">
        <f>F154*'4C2 Open-burning '!$C$9*'4C2 Open-burning '!$C$11*$C$5</f>
        <v>0</v>
      </c>
      <c r="W154" s="485">
        <f>G154*'4C2 Open-burning '!$C$9*'4C2 Open-burning '!$C$11*$C$5</f>
        <v>0</v>
      </c>
      <c r="X154" s="485">
        <f>H154*'4C2 Open-burning '!$C$9*'4C2 Open-burning '!$C$11*$C$5</f>
        <v>0</v>
      </c>
      <c r="Y154" s="485">
        <f>I154*'4C2 Open-burning '!$C$9*'4C2 Open-burning '!$C$11*$C$5</f>
        <v>1.0642603879304562</v>
      </c>
      <c r="Z154" s="486">
        <f t="shared" si="14"/>
        <v>3.2873838476413759</v>
      </c>
      <c r="AA154" s="487">
        <f>C154*'4C2 Open-burning '!$C$10*'4C2 Open-burning '!$C$11*$C$5*C$15</f>
        <v>8.808626317751379E-3</v>
      </c>
      <c r="AB154" s="487">
        <f>D154*'4C2 Open-burning '!$C$10*'4C2 Open-burning '!$C$11*$C$5*D$15</f>
        <v>9.1997753723741891E-3</v>
      </c>
      <c r="AC154" s="487">
        <f>E154*'4C2 Open-burning '!$C$10*'4C2 Open-burning '!$C$11*$C$5*E$15</f>
        <v>5.6536603604442669E-3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2.2103869595478706E-2</v>
      </c>
      <c r="AH154" s="488">
        <f t="shared" si="15"/>
        <v>4.5765931646048544E-2</v>
      </c>
      <c r="AI154" s="1387"/>
      <c r="AJ154" s="1386"/>
      <c r="AK154" s="1387"/>
    </row>
    <row r="155" spans="1:39" ht="15.75" thickBot="1">
      <c r="A155" s="157">
        <f>'Input data'!A150</f>
        <v>2050</v>
      </c>
      <c r="B155" s="417">
        <f>'Recycling - Case 2'!AP130</f>
        <v>4.0418164152386728E-2</v>
      </c>
      <c r="C155" s="670">
        <f>'Recycling - Case 2'!$AK130*'Recycling - Case 2'!BM130*'4C2 Open-burning '!$B155</f>
        <v>244.27213695730981</v>
      </c>
      <c r="D155" s="667">
        <f>'Recycling - Case 2'!$AK130*'Recycling - Case 2'!BN130*'4C2 Open-burning '!$B155</f>
        <v>255.11909674364986</v>
      </c>
      <c r="E155" s="667">
        <f>'Recycling - Case 2'!$AK130*'Recycling - Case 2'!BO130*'4C2 Open-burning '!$B155</f>
        <v>69.680770143011287</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272.42787121237984</v>
      </c>
      <c r="J155" s="936">
        <f t="shared" si="12"/>
        <v>841.49987505635079</v>
      </c>
      <c r="K155" s="1383">
        <f>'4C2 Open-burning '!C$14*'4C2 Open-burning '!$C$5*'4C2 Open-burning '!$C$6*'4C2 Open-burning '!$C$7*C155</f>
        <v>0</v>
      </c>
      <c r="L155" s="1383">
        <f>'4C2 Open-burning '!D$14*'4C2 Open-burning '!$C$5*'4C2 Open-burning '!$C$6*'4C2 Open-burning '!$C$7*D155</f>
        <v>0</v>
      </c>
      <c r="M155" s="1383">
        <f>'4C2 Open-burning '!E$14*'4C2 Open-burning '!$C$5*'4C2 Open-burning '!$C$6*'4C2 Open-burning '!$C$7*E155</f>
        <v>0.36809842358827716</v>
      </c>
      <c r="N155" s="1383">
        <f>'4C2 Open-burning '!F$14*'4C2 Open-burning '!$C$5*'4C2 Open-burning '!$C$6*'4C2 Open-burning '!$C$7*F155</f>
        <v>0</v>
      </c>
      <c r="O155" s="1383">
        <f>'4C2 Open-burning '!G$14*'4C2 Open-burning '!$C$5*'4C2 Open-burning '!$C$6*'4C2 Open-burning '!$C$7*G155</f>
        <v>0</v>
      </c>
      <c r="P155" s="1383">
        <f>'4C2 Open-burning '!H$14*'4C2 Open-burning '!$C$5*'4C2 Open-burning '!$C$6*'4C2 Open-burning '!$C$7*H155</f>
        <v>0</v>
      </c>
      <c r="Q155" s="1383">
        <f>'4C2 Open-burning '!I$14*'4C2 Open-burning '!$C$5*'4C2 Open-burning '!$C$6*'4C2 Open-burning '!$C$7*I155</f>
        <v>9.3856850190089087</v>
      </c>
      <c r="R155" s="1384">
        <f t="shared" si="13"/>
        <v>9.7537834425971859</v>
      </c>
      <c r="S155" s="485">
        <f>C155*'4C2 Open-burning '!$C$9*'4C2 Open-burning '!$C$11*$C$5</f>
        <v>0.95266133413350818</v>
      </c>
      <c r="T155" s="485">
        <f>D155*'4C2 Open-burning '!$C$9*'4C2 Open-burning '!$C$11*$C$5</f>
        <v>0.99496447730023441</v>
      </c>
      <c r="U155" s="485">
        <f>E155*'4C2 Open-burning '!$C$9*'4C2 Open-burning '!$C$11*$C$5</f>
        <v>0.27175500355774401</v>
      </c>
      <c r="V155" s="485">
        <f>F155*'4C2 Open-burning '!$C$9*'4C2 Open-burning '!$C$11*$C$5</f>
        <v>0</v>
      </c>
      <c r="W155" s="485">
        <f>G155*'4C2 Open-burning '!$C$9*'4C2 Open-burning '!$C$11*$C$5</f>
        <v>0</v>
      </c>
      <c r="X155" s="485">
        <f>H155*'4C2 Open-burning '!$C$9*'4C2 Open-burning '!$C$11*$C$5</f>
        <v>0</v>
      </c>
      <c r="Y155" s="485">
        <f>I155*'4C2 Open-burning '!$C$9*'4C2 Open-burning '!$C$11*$C$5</f>
        <v>1.0624686977282813</v>
      </c>
      <c r="Z155" s="486">
        <f t="shared" si="14"/>
        <v>3.2818495127197678</v>
      </c>
      <c r="AA155" s="487">
        <f>C155*'4C2 Open-burning '!$C$10*'4C2 Open-burning '!$C$11*$C$5*C$15</f>
        <v>8.793796930463154E-3</v>
      </c>
      <c r="AB155" s="487">
        <f>D155*'4C2 Open-burning '!$C$10*'4C2 Open-burning '!$C$11*$C$5*D$15</f>
        <v>9.1842874827713951E-3</v>
      </c>
      <c r="AC155" s="487">
        <f>E155*'4C2 Open-burning '!$C$10*'4C2 Open-burning '!$C$11*$C$5*E$15</f>
        <v>5.6441423815839133E-3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2.2066657568202766E-2</v>
      </c>
      <c r="AH155" s="488">
        <f t="shared" si="15"/>
        <v>4.568888436302123E-2</v>
      </c>
      <c r="AI155" s="1387"/>
      <c r="AJ155" s="1386"/>
      <c r="AK155" s="1387"/>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6"/>
      <c r="AJ156" s="1386"/>
      <c r="AK156" s="1386"/>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0">
        <f>'4C2 Open-burning '!C$14*'4C2 Open-burning '!$C$5*'4C2 Open-burning '!$C$6*'4C2 Open-burning '!$C$7*C157</f>
        <v>0</v>
      </c>
      <c r="L157" s="1380">
        <f>'4C2 Open-burning '!D$14*'4C2 Open-burning '!$C$5*'4C2 Open-burning '!$C$6*'4C2 Open-burning '!$C$7*D157</f>
        <v>0</v>
      </c>
      <c r="M157" s="1380">
        <f>'4C2 Open-burning '!E$14*'4C2 Open-burning '!$C$5*'4C2 Open-burning '!$C$6*'4C2 Open-burning '!$C$7*E157</f>
        <v>1.2422577936755286</v>
      </c>
      <c r="N157" s="1380">
        <f>'4C2 Open-burning '!F$14*'4C2 Open-burning '!$C$5*'4C2 Open-burning '!$C$6*'4C2 Open-burning '!$C$7*F157</f>
        <v>0</v>
      </c>
      <c r="O157" s="1380">
        <f>'4C2 Open-burning '!G$14*'4C2 Open-burning '!$C$5*'4C2 Open-burning '!$C$6*'4C2 Open-burning '!$C$7*G157</f>
        <v>0</v>
      </c>
      <c r="P157" s="1380">
        <f>'4C2 Open-burning '!H$14*'4C2 Open-burning '!$C$5*'4C2 Open-burning '!$C$6*'4C2 Open-burning '!$C$7*H157</f>
        <v>0</v>
      </c>
      <c r="Q157" s="1380">
        <f>'4C2 Open-burning '!I$14*'4C2 Open-burning '!$C$5*'4C2 Open-burning '!$C$6*'4C2 Open-burning '!$C$7*I157</f>
        <v>31.674790264488347</v>
      </c>
      <c r="R157" s="1381">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6">
        <f>C157*'4C2 Open-burning '!$C$10*'4C2 Open-burning '!$C$11*$C$5*C$15</f>
        <v>2.9677287575364933E-2</v>
      </c>
      <c r="AB157" s="1627">
        <f>D157*'4C2 Open-burning '!$C$10*'4C2 Open-burning '!$C$11*$C$5*D$15</f>
        <v>3.0995114278432129E-2</v>
      </c>
      <c r="AC157" s="1627">
        <f>E157*'4C2 Open-burning '!$C$10*'4C2 Open-burning '!$C$11*$C$5*E$15</f>
        <v>1.9047839960269448E-2</v>
      </c>
      <c r="AD157" s="1627">
        <f>F157*'4C2 Open-burning '!$C$10*'4C2 Open-burning '!$C$11*$C$5*F$15</f>
        <v>0</v>
      </c>
      <c r="AE157" s="1627">
        <f>G157*'4C2 Open-burning '!$C$10*'4C2 Open-burning '!$C$11*$C$5*G$15</f>
        <v>0</v>
      </c>
      <c r="AF157" s="1627">
        <f>H157*'4C2 Open-burning '!$C$10*'4C2 Open-burning '!$C$11*$C$5*H$15</f>
        <v>0</v>
      </c>
      <c r="AG157" s="1627">
        <f>I157*'4C2 Open-burning '!$C$10*'4C2 Open-burning '!$C$11*$C$5*I$15</f>
        <v>7.4470510026226525E-2</v>
      </c>
      <c r="AH157" s="937">
        <f t="shared" ref="AH157:AH189" si="18">SUM(AA157:AG157)</f>
        <v>0.15419075184029302</v>
      </c>
      <c r="AI157" s="1386"/>
      <c r="AJ157" s="1386"/>
      <c r="AK157" s="1386"/>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2">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28">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6"/>
      <c r="AJ158" s="1386"/>
      <c r="AK158" s="1386"/>
      <c r="AL158" s="4"/>
      <c r="AM158" s="4"/>
    </row>
    <row r="159" spans="1:39">
      <c r="A159" s="959">
        <f>'Input data'!A120</f>
        <v>2020</v>
      </c>
      <c r="B159" s="560">
        <f>'Recycling - Case 3'!AP100</f>
        <v>0.11522500057141315</v>
      </c>
      <c r="C159" s="527">
        <f>$B159*'Recycling - Case 3'!$AK100*'Recycling - Case 3'!BM100</f>
        <v>788.23209867683545</v>
      </c>
      <c r="D159" s="528">
        <f>$B159*'Recycling - Case 3'!$AK100*'Recycling - Case 3'!BN100</f>
        <v>823.23372425373964</v>
      </c>
      <c r="E159" s="528">
        <f>$B159*'Recycling - Case 3'!$AK100*'Recycling - Case 3'!BO100</f>
        <v>224.85012155456292</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879.08672408808184</v>
      </c>
      <c r="J159" s="744">
        <f t="shared" si="19"/>
        <v>2715.4026685732197</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1.1878022461289963</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30.286295818282593</v>
      </c>
      <c r="R159" s="1382">
        <f t="shared" si="16"/>
        <v>31.474098064411589</v>
      </c>
      <c r="S159" s="484">
        <f>C159*'4C2 Open-burning '!$C$9*'4C2 Open-burning '!$C$11*$C$5</f>
        <v>3.0741051848396577</v>
      </c>
      <c r="T159" s="485">
        <f>D159*'4C2 Open-burning '!$C$9*'4C2 Open-burning '!$C$11*$C$5</f>
        <v>3.2106115245895843</v>
      </c>
      <c r="U159" s="485">
        <f>E159*'4C2 Open-burning '!$C$9*'4C2 Open-burning '!$C$11*$C$5</f>
        <v>0.87691547406279535</v>
      </c>
      <c r="V159" s="485">
        <f>F159*'4C2 Open-burning '!$C$9*'4C2 Open-burning '!$C$11*$C$5</f>
        <v>0</v>
      </c>
      <c r="W159" s="485">
        <f>G159*'4C2 Open-burning '!$C$9*'4C2 Open-burning '!$C$11*$C$5</f>
        <v>0</v>
      </c>
      <c r="X159" s="485">
        <f>H159*'4C2 Open-burning '!$C$9*'4C2 Open-burning '!$C$11*$C$5</f>
        <v>0</v>
      </c>
      <c r="Y159" s="485">
        <f>I159*'4C2 Open-burning '!$C$9*'4C2 Open-burning '!$C$11*$C$5</f>
        <v>3.4284382239435187</v>
      </c>
      <c r="Z159" s="486">
        <f t="shared" si="17"/>
        <v>10.590070407435556</v>
      </c>
      <c r="AA159" s="1628">
        <f>C159*'4C2 Open-burning '!$C$10*'4C2 Open-burning '!$C$11*$C$5*C$15</f>
        <v>2.8376355552366079E-2</v>
      </c>
      <c r="AB159" s="487">
        <f>D159*'4C2 Open-burning '!$C$10*'4C2 Open-burning '!$C$11*$C$5*D$15</f>
        <v>2.9636414073134627E-2</v>
      </c>
      <c r="AC159" s="487">
        <f>E159*'4C2 Open-burning '!$C$10*'4C2 Open-burning '!$C$11*$C$5*E$15</f>
        <v>1.82128598459196E-2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7.1206024651134625E-2</v>
      </c>
      <c r="AH159" s="488">
        <f t="shared" si="18"/>
        <v>0.14743165412255493</v>
      </c>
      <c r="AI159" s="1386"/>
      <c r="AJ159" s="1386"/>
      <c r="AK159" s="1386"/>
      <c r="AL159" s="4"/>
      <c r="AM159" s="4"/>
    </row>
    <row r="160" spans="1:39">
      <c r="A160" s="959">
        <f>'Input data'!A121</f>
        <v>2021</v>
      </c>
      <c r="B160" s="560">
        <f>'Recycling - Case 3'!AP101</f>
        <v>0.10845092309953076</v>
      </c>
      <c r="C160" s="527">
        <f>$B160*'Recycling - Case 3'!$AK101*'Recycling - Case 3'!BM101</f>
        <v>723.96239320313782</v>
      </c>
      <c r="D160" s="528">
        <f>$B160*'Recycling - Case 3'!$AK101*'Recycling - Case 3'!BN101</f>
        <v>756.11010789427075</v>
      </c>
      <c r="E160" s="528">
        <f>$B160*'Recycling - Case 3'!$AK101*'Recycling - Case 3'!BO101</f>
        <v>206.51662420994185</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807.40904826414624</v>
      </c>
      <c r="J160" s="744">
        <f t="shared" si="19"/>
        <v>2493.9981735714969</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1.0909529797164073</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27.816856530796365</v>
      </c>
      <c r="R160" s="1382">
        <f t="shared" si="16"/>
        <v>28.90780951051277</v>
      </c>
      <c r="S160" s="484">
        <f>C160*'4C2 Open-burning '!$C$9*'4C2 Open-burning '!$C$11*$C$5</f>
        <v>2.8234533334922376</v>
      </c>
      <c r="T160" s="485">
        <f>D160*'4C2 Open-burning '!$C$9*'4C2 Open-burning '!$C$11*$C$5</f>
        <v>2.9488294207876558</v>
      </c>
      <c r="U160" s="485">
        <f>E160*'4C2 Open-burning '!$C$9*'4C2 Open-burning '!$C$11*$C$5</f>
        <v>0.80541483441877326</v>
      </c>
      <c r="V160" s="485">
        <f>F160*'4C2 Open-burning '!$C$9*'4C2 Open-burning '!$C$11*$C$5</f>
        <v>0</v>
      </c>
      <c r="W160" s="485">
        <f>G160*'4C2 Open-burning '!$C$9*'4C2 Open-burning '!$C$11*$C$5</f>
        <v>0</v>
      </c>
      <c r="X160" s="485">
        <f>H160*'4C2 Open-burning '!$C$9*'4C2 Open-burning '!$C$11*$C$5</f>
        <v>0</v>
      </c>
      <c r="Y160" s="485">
        <f>I160*'4C2 Open-burning '!$C$9*'4C2 Open-burning '!$C$11*$C$5</f>
        <v>3.1488952882301704</v>
      </c>
      <c r="Z160" s="486">
        <f t="shared" si="17"/>
        <v>9.7265928769288372</v>
      </c>
      <c r="AA160" s="1628">
        <f>C160*'4C2 Open-burning '!$C$10*'4C2 Open-burning '!$C$11*$C$5*C$15</f>
        <v>2.6062646155312959E-2</v>
      </c>
      <c r="AB160" s="487">
        <f>D160*'4C2 Open-burning '!$C$10*'4C2 Open-burning '!$C$11*$C$5*D$15</f>
        <v>2.7219963884193746E-2</v>
      </c>
      <c r="AC160" s="487">
        <f>E160*'4C2 Open-burning '!$C$10*'4C2 Open-burning '!$C$11*$C$5*E$15</f>
        <v>1.6727846561005288E-2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6.540013290939585E-2</v>
      </c>
      <c r="AH160" s="488">
        <f t="shared" si="18"/>
        <v>0.13541058950990786</v>
      </c>
      <c r="AI160" s="1386"/>
      <c r="AJ160" s="1386"/>
      <c r="AK160" s="1386"/>
      <c r="AL160" s="4"/>
      <c r="AM160" s="4"/>
    </row>
    <row r="161" spans="1:39">
      <c r="A161" s="959">
        <f>'Input data'!A122</f>
        <v>2022</v>
      </c>
      <c r="B161" s="560">
        <f>'Recycling - Case 3'!AP102</f>
        <v>9.5299647807961838E-2</v>
      </c>
      <c r="C161" s="527">
        <f>$B161*'Recycling - Case 3'!$AK102*'Recycling - Case 3'!BM102</f>
        <v>601.37150975804457</v>
      </c>
      <c r="D161" s="528">
        <f>$B161*'Recycling - Case 3'!$AK102*'Recycling - Case 3'!BN102</f>
        <v>628.07554839400291</v>
      </c>
      <c r="E161" s="528">
        <f>$B161*'Recycling - Case 3'!$AK102*'Recycling - Case 3'!BO102</f>
        <v>171.54649917902557</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670.68787399109203</v>
      </c>
      <c r="J161" s="744">
        <f t="shared" si="19"/>
        <v>2071.6814313221653</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0.9062183984230876</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23.106538634741099</v>
      </c>
      <c r="R161" s="1382">
        <f t="shared" si="16"/>
        <v>24.012757033164188</v>
      </c>
      <c r="S161" s="484">
        <f>C161*'4C2 Open-burning '!$C$9*'4C2 Open-burning '!$C$11*$C$5</f>
        <v>2.3453488880563733</v>
      </c>
      <c r="T161" s="485">
        <f>D161*'4C2 Open-burning '!$C$9*'4C2 Open-burning '!$C$11*$C$5</f>
        <v>2.4494946387366112</v>
      </c>
      <c r="U161" s="485">
        <f>E161*'4C2 Open-burning '!$C$9*'4C2 Open-burning '!$C$11*$C$5</f>
        <v>0.66903134679819964</v>
      </c>
      <c r="V161" s="485">
        <f>F161*'4C2 Open-burning '!$C$9*'4C2 Open-burning '!$C$11*$C$5</f>
        <v>0</v>
      </c>
      <c r="W161" s="485">
        <f>G161*'4C2 Open-burning '!$C$9*'4C2 Open-burning '!$C$11*$C$5</f>
        <v>0</v>
      </c>
      <c r="X161" s="485">
        <f>H161*'4C2 Open-burning '!$C$9*'4C2 Open-burning '!$C$11*$C$5</f>
        <v>0</v>
      </c>
      <c r="Y161" s="485">
        <f>I161*'4C2 Open-burning '!$C$9*'4C2 Open-burning '!$C$11*$C$5</f>
        <v>2.615682708565259</v>
      </c>
      <c r="Z161" s="486">
        <f t="shared" si="17"/>
        <v>8.0795575821564434</v>
      </c>
      <c r="AA161" s="1628">
        <f>C161*'4C2 Open-burning '!$C$10*'4C2 Open-burning '!$C$11*$C$5*C$15</f>
        <v>2.1649374351289608E-2</v>
      </c>
      <c r="AB161" s="487">
        <f>D161*'4C2 Open-burning '!$C$10*'4C2 Open-burning '!$C$11*$C$5*D$15</f>
        <v>2.2610719742184104E-2</v>
      </c>
      <c r="AC161" s="487">
        <f>E161*'4C2 Open-burning '!$C$10*'4C2 Open-burning '!$C$11*$C$5*E$15</f>
        <v>1.3895266433501072E-2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5.4325717793278452E-2</v>
      </c>
      <c r="AH161" s="488">
        <f t="shared" si="18"/>
        <v>0.11248107832025324</v>
      </c>
      <c r="AI161" s="1386"/>
      <c r="AJ161" s="1386"/>
      <c r="AK161" s="1386"/>
      <c r="AL161" s="4"/>
      <c r="AM161" s="4"/>
    </row>
    <row r="162" spans="1:39">
      <c r="A162" s="959">
        <f>'Input data'!A123</f>
        <v>2023</v>
      </c>
      <c r="B162" s="560">
        <f>'Recycling - Case 3'!AP103</f>
        <v>9.1114445268625416E-2</v>
      </c>
      <c r="C162" s="527">
        <f>$B162*'Recycling - Case 3'!$AK103*'Recycling - Case 3'!BM103</f>
        <v>569.40571071522743</v>
      </c>
      <c r="D162" s="528">
        <f>$B162*'Recycling - Case 3'!$AK103*'Recycling - Case 3'!BN103</f>
        <v>594.6903007760244</v>
      </c>
      <c r="E162" s="528">
        <f>$B162*'Recycling - Case 3'!$AK103*'Recycling - Case 3'!BO103</f>
        <v>162.42797455609852</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635.0375755439984</v>
      </c>
      <c r="J162" s="744">
        <f t="shared" si="19"/>
        <v>1961.5615615913487</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0.85804851550902828</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21.878314552641832</v>
      </c>
      <c r="R162" s="1382">
        <f t="shared" si="16"/>
        <v>22.736363068150862</v>
      </c>
      <c r="S162" s="484">
        <f>C162*'4C2 Open-burning '!$C$9*'4C2 Open-burning '!$C$11*$C$5</f>
        <v>2.2206822717893866</v>
      </c>
      <c r="T162" s="485">
        <f>D162*'4C2 Open-burning '!$C$9*'4C2 Open-burning '!$C$11*$C$5</f>
        <v>2.3192921730264953</v>
      </c>
      <c r="U162" s="485">
        <f>E162*'4C2 Open-burning '!$C$9*'4C2 Open-burning '!$C$11*$C$5</f>
        <v>0.63346910076878415</v>
      </c>
      <c r="V162" s="485">
        <f>F162*'4C2 Open-burning '!$C$9*'4C2 Open-burning '!$C$11*$C$5</f>
        <v>0</v>
      </c>
      <c r="W162" s="485">
        <f>G162*'4C2 Open-burning '!$C$9*'4C2 Open-burning '!$C$11*$C$5</f>
        <v>0</v>
      </c>
      <c r="X162" s="485">
        <f>H162*'4C2 Open-burning '!$C$9*'4C2 Open-burning '!$C$11*$C$5</f>
        <v>0</v>
      </c>
      <c r="Y162" s="485">
        <f>I162*'4C2 Open-burning '!$C$9*'4C2 Open-burning '!$C$11*$C$5</f>
        <v>2.4766465446215933</v>
      </c>
      <c r="Z162" s="486">
        <f t="shared" si="17"/>
        <v>7.650090090206259</v>
      </c>
      <c r="AA162" s="1628">
        <f>C162*'4C2 Open-burning '!$C$10*'4C2 Open-burning '!$C$11*$C$5*C$15</f>
        <v>2.0498605585748189E-2</v>
      </c>
      <c r="AB162" s="487">
        <f>D162*'4C2 Open-burning '!$C$10*'4C2 Open-burning '!$C$11*$C$5*D$15</f>
        <v>2.1408850827936879E-2</v>
      </c>
      <c r="AC162" s="487">
        <f>E162*'4C2 Open-burning '!$C$10*'4C2 Open-burning '!$C$11*$C$5*E$15</f>
        <v>1.3156665939043978E-2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5.1438043619063865E-2</v>
      </c>
      <c r="AH162" s="488">
        <f t="shared" si="18"/>
        <v>0.10650216597179291</v>
      </c>
      <c r="AI162" s="1386"/>
      <c r="AJ162" s="1386"/>
      <c r="AK162" s="1386"/>
      <c r="AL162" s="4"/>
      <c r="AM162" s="4"/>
    </row>
    <row r="163" spans="1:39">
      <c r="A163" s="959">
        <f>'Input data'!A124</f>
        <v>2024</v>
      </c>
      <c r="B163" s="560">
        <f>'Recycling - Case 3'!AP104</f>
        <v>8.676214742689109E-2</v>
      </c>
      <c r="C163" s="527">
        <f>$B163*'Recycling - Case 3'!$AK104*'Recycling - Case 3'!BM104</f>
        <v>537.01991231149907</v>
      </c>
      <c r="D163" s="528">
        <f>$B163*'Recycling - Case 3'!$AK104*'Recycling - Case 3'!BN104</f>
        <v>560.86640363001027</v>
      </c>
      <c r="E163" s="528">
        <f>$B163*'Recycling - Case 3'!$AK104*'Recycling - Case 3'!BO104</f>
        <v>153.1896414306857</v>
      </c>
      <c r="F163" s="528">
        <f>$B163*'Recycling - Case 3'!$AK104*'Recycling - Case 3'!BP104</f>
        <v>0</v>
      </c>
      <c r="G163" s="528">
        <f>$B163*'Recycling - Case 3'!$AK104*'Recycling - Case 3'!BQ104</f>
        <v>0</v>
      </c>
      <c r="H163" s="528">
        <f>$B163*'Recycling - Case 3'!$AK104*'Recycling - Case 3'!BR104</f>
        <v>0</v>
      </c>
      <c r="I163" s="528">
        <f>$B163*'Recycling - Case 3'!$AK104*'Recycling - Case 3'!BS104</f>
        <v>598.91886701449096</v>
      </c>
      <c r="J163" s="744">
        <f t="shared" si="19"/>
        <v>1849.9948243866861</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0.80924572740739753</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20.633952806383242</v>
      </c>
      <c r="R163" s="1382">
        <f t="shared" si="16"/>
        <v>21.443198533790639</v>
      </c>
      <c r="S163" s="484">
        <f>C163*'4C2 Open-burning '!$C$9*'4C2 Open-burning '!$C$11*$C$5</f>
        <v>2.0943776580148463</v>
      </c>
      <c r="T163" s="485">
        <f>D163*'4C2 Open-burning '!$C$9*'4C2 Open-burning '!$C$11*$C$5</f>
        <v>2.1873789741570397</v>
      </c>
      <c r="U163" s="485">
        <f>E163*'4C2 Open-burning '!$C$9*'4C2 Open-burning '!$C$11*$C$5</f>
        <v>0.59743960157967413</v>
      </c>
      <c r="V163" s="485">
        <f>F163*'4C2 Open-burning '!$C$9*'4C2 Open-burning '!$C$11*$C$5</f>
        <v>0</v>
      </c>
      <c r="W163" s="485">
        <f>G163*'4C2 Open-burning '!$C$9*'4C2 Open-burning '!$C$11*$C$5</f>
        <v>0</v>
      </c>
      <c r="X163" s="485">
        <f>H163*'4C2 Open-burning '!$C$9*'4C2 Open-burning '!$C$11*$C$5</f>
        <v>0</v>
      </c>
      <c r="Y163" s="485">
        <f>I163*'4C2 Open-burning '!$C$9*'4C2 Open-burning '!$C$11*$C$5</f>
        <v>2.3357835813565146</v>
      </c>
      <c r="Z163" s="486">
        <f t="shared" si="17"/>
        <v>7.2149798151080748</v>
      </c>
      <c r="AA163" s="1628">
        <f>C163*'4C2 Open-burning '!$C$10*'4C2 Open-burning '!$C$11*$C$5*C$15</f>
        <v>1.9332716843213964E-2</v>
      </c>
      <c r="AB163" s="487">
        <f>D163*'4C2 Open-burning '!$C$10*'4C2 Open-burning '!$C$11*$C$5*D$15</f>
        <v>2.0191190530680369E-2</v>
      </c>
      <c r="AC163" s="487">
        <f>E163*'4C2 Open-burning '!$C$10*'4C2 Open-burning '!$C$11*$C$5*E$15</f>
        <v>1.2408360955885539E-2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4.8512428228173761E-2</v>
      </c>
      <c r="AH163" s="488">
        <f t="shared" si="18"/>
        <v>0.10044469655795363</v>
      </c>
      <c r="AI163" s="1386"/>
      <c r="AJ163" s="1386"/>
      <c r="AK163" s="1386"/>
      <c r="AL163" s="4"/>
      <c r="AM163" s="4"/>
    </row>
    <row r="164" spans="1:39">
      <c r="A164" s="959">
        <f>'Input data'!A125</f>
        <v>2025</v>
      </c>
      <c r="B164" s="560">
        <f>'Recycling - Case 3'!AP105</f>
        <v>8.2237091908608465E-2</v>
      </c>
      <c r="C164" s="527">
        <f>$B164*'Recycling - Case 3'!$AK105*'Recycling - Case 3'!BM105</f>
        <v>504.19502311173568</v>
      </c>
      <c r="D164" s="528">
        <f>$B164*'Recycling - Case 3'!$AK105*'Recycling - Case 3'!BN105</f>
        <v>526.58391776131896</v>
      </c>
      <c r="E164" s="528">
        <f>$B164*'Recycling - Case 3'!$AK105*'Recycling - Case 3'!BO105</f>
        <v>143.82605380342284</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562.31045641612377</v>
      </c>
      <c r="J164" s="744">
        <f t="shared" si="19"/>
        <v>1736.9154510926012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0.75978126486411357</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19.372719844448294</v>
      </c>
      <c r="R164" s="1382">
        <f t="shared" si="16"/>
        <v>20.132501109312408</v>
      </c>
      <c r="S164" s="484">
        <f>C164*'4C2 Open-burning '!$C$9*'4C2 Open-burning '!$C$11*$C$5</f>
        <v>1.966360590135769</v>
      </c>
      <c r="T164" s="485">
        <f>D164*'4C2 Open-burning '!$C$9*'4C2 Open-burning '!$C$11*$C$5</f>
        <v>2.0536772792691438</v>
      </c>
      <c r="U164" s="485">
        <f>E164*'4C2 Open-burning '!$C$9*'4C2 Open-burning '!$C$11*$C$5</f>
        <v>0.56092160983334904</v>
      </c>
      <c r="V164" s="485">
        <f>F164*'4C2 Open-burning '!$C$9*'4C2 Open-burning '!$C$11*$C$5</f>
        <v>0</v>
      </c>
      <c r="W164" s="485">
        <f>G164*'4C2 Open-burning '!$C$9*'4C2 Open-burning '!$C$11*$C$5</f>
        <v>0</v>
      </c>
      <c r="X164" s="485">
        <f>H164*'4C2 Open-burning '!$C$9*'4C2 Open-burning '!$C$11*$C$5</f>
        <v>0</v>
      </c>
      <c r="Y164" s="485">
        <f>I164*'4C2 Open-burning '!$C$9*'4C2 Open-burning '!$C$11*$C$5</f>
        <v>2.1930107800228824</v>
      </c>
      <c r="Z164" s="486">
        <f t="shared" si="17"/>
        <v>6.7739702592611444</v>
      </c>
      <c r="AA164" s="1628">
        <f>C164*'4C2 Open-burning '!$C$10*'4C2 Open-burning '!$C$11*$C$5*C$15</f>
        <v>1.8151020832022483E-2</v>
      </c>
      <c r="AB164" s="487">
        <f>D164*'4C2 Open-burning '!$C$10*'4C2 Open-burning '!$C$11*$C$5*D$15</f>
        <v>1.8957021039407482E-2</v>
      </c>
      <c r="AC164" s="487">
        <f>E164*'4C2 Open-burning '!$C$10*'4C2 Open-burning '!$C$11*$C$5*E$15</f>
        <v>1.164991035807725E-2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4.5547146969706021E-2</v>
      </c>
      <c r="AH164" s="488">
        <f t="shared" si="18"/>
        <v>9.4305099199213233E-2</v>
      </c>
      <c r="AI164" s="1386"/>
      <c r="AJ164" s="1386"/>
      <c r="AK164" s="1386"/>
      <c r="AL164" s="4"/>
      <c r="AM164" s="4"/>
    </row>
    <row r="165" spans="1:39">
      <c r="A165" s="959">
        <f>'Input data'!A126</f>
        <v>2026</v>
      </c>
      <c r="B165" s="560">
        <f>'Recycling - Case 3'!AP106</f>
        <v>7.7585583898705374E-2</v>
      </c>
      <c r="C165" s="527">
        <f>$B165*'Recycling - Case 3'!$AK106*'Recycling - Case 3'!BM106</f>
        <v>471.06086892615417</v>
      </c>
      <c r="D165" s="528">
        <f>$B165*'Recycling - Case 3'!$AK106*'Recycling - Case 3'!BN106</f>
        <v>491.97843392479081</v>
      </c>
      <c r="E165" s="528">
        <f>$B165*'Recycling - Case 3'!$AK106*'Recycling - Case 3'!BO106</f>
        <v>134.37424562567679</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525.35713377507989</v>
      </c>
      <c r="J165" s="744">
        <f t="shared" si="19"/>
        <v>1622.7706822517016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0.70985076491202526</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18.09960397281905</v>
      </c>
      <c r="R165" s="1382">
        <f t="shared" si="16"/>
        <v>18.809454737731077</v>
      </c>
      <c r="S165" s="484">
        <f>C165*'4C2 Open-burning '!$C$9*'4C2 Open-burning '!$C$11*$C$5</f>
        <v>1.8371373888120011</v>
      </c>
      <c r="T165" s="485">
        <f>D165*'4C2 Open-burning '!$C$9*'4C2 Open-burning '!$C$11*$C$5</f>
        <v>1.918715892306684</v>
      </c>
      <c r="U165" s="485">
        <f>E165*'4C2 Open-burning '!$C$9*'4C2 Open-burning '!$C$11*$C$5</f>
        <v>0.52405955794013948</v>
      </c>
      <c r="V165" s="485">
        <f>F165*'4C2 Open-burning '!$C$9*'4C2 Open-burning '!$C$11*$C$5</f>
        <v>0</v>
      </c>
      <c r="W165" s="485">
        <f>G165*'4C2 Open-burning '!$C$9*'4C2 Open-burning '!$C$11*$C$5</f>
        <v>0</v>
      </c>
      <c r="X165" s="485">
        <f>H165*'4C2 Open-burning '!$C$9*'4C2 Open-burning '!$C$11*$C$5</f>
        <v>0</v>
      </c>
      <c r="Y165" s="485">
        <f>I165*'4C2 Open-burning '!$C$9*'4C2 Open-burning '!$C$11*$C$5</f>
        <v>2.0488928217228115</v>
      </c>
      <c r="Z165" s="486">
        <f t="shared" si="17"/>
        <v>6.3288056607816365</v>
      </c>
      <c r="AA165" s="1628">
        <f>C165*'4C2 Open-burning '!$C$10*'4C2 Open-burning '!$C$11*$C$5*C$15</f>
        <v>1.6958191281341552E-2</v>
      </c>
      <c r="AB165" s="487">
        <f>D165*'4C2 Open-burning '!$C$10*'4C2 Open-burning '!$C$11*$C$5*D$15</f>
        <v>1.771122362129247E-2</v>
      </c>
      <c r="AC165" s="487">
        <f>E165*'4C2 Open-burning '!$C$10*'4C2 Open-burning '!$C$11*$C$5*E$15</f>
        <v>1.088431389567982E-2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4.2553927835781463E-2</v>
      </c>
      <c r="AH165" s="488">
        <f t="shared" si="18"/>
        <v>8.810765663409531E-2</v>
      </c>
      <c r="AI165" s="1386"/>
      <c r="AJ165" s="1386"/>
      <c r="AK165" s="1386"/>
      <c r="AL165" s="4"/>
      <c r="AM165" s="4"/>
    </row>
    <row r="166" spans="1:39">
      <c r="A166" s="959">
        <f>'Input data'!A127</f>
        <v>2027</v>
      </c>
      <c r="B166" s="560">
        <f>'Recycling - Case 3'!AP107</f>
        <v>7.2795228271846923E-2</v>
      </c>
      <c r="C166" s="527">
        <f>$B166*'Recycling - Case 3'!$AK107*'Recycling - Case 3'!BM107</f>
        <v>437.56231496834977</v>
      </c>
      <c r="D166" s="528">
        <f>$B166*'Recycling - Case 3'!$AK107*'Recycling - Case 3'!BN107</f>
        <v>456.99236906129369</v>
      </c>
      <c r="E166" s="528">
        <f>$B166*'Recycling - Case 3'!$AK107*'Recycling - Case 3'!BO107</f>
        <v>124.81848921591089</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487.9974092600707</v>
      </c>
      <c r="J166" s="744">
        <f t="shared" si="19"/>
        <v>1507.370582505625</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0.6593711438715395</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16.812486743827954</v>
      </c>
      <c r="R166" s="1382">
        <f t="shared" si="16"/>
        <v>17.471857887699493</v>
      </c>
      <c r="S166" s="484">
        <f>C166*'4C2 Open-burning '!$C$9*'4C2 Open-burning '!$C$11*$C$5</f>
        <v>1.706493028376564</v>
      </c>
      <c r="T166" s="485">
        <f>D166*'4C2 Open-burning '!$C$9*'4C2 Open-burning '!$C$11*$C$5</f>
        <v>1.782270239339045</v>
      </c>
      <c r="U166" s="485">
        <f>E166*'4C2 Open-burning '!$C$9*'4C2 Open-burning '!$C$11*$C$5</f>
        <v>0.48679210794205235</v>
      </c>
      <c r="V166" s="485">
        <f>F166*'4C2 Open-burning '!$C$9*'4C2 Open-burning '!$C$11*$C$5</f>
        <v>0</v>
      </c>
      <c r="W166" s="485">
        <f>G166*'4C2 Open-burning '!$C$9*'4C2 Open-burning '!$C$11*$C$5</f>
        <v>0</v>
      </c>
      <c r="X166" s="485">
        <f>H166*'4C2 Open-burning '!$C$9*'4C2 Open-burning '!$C$11*$C$5</f>
        <v>0</v>
      </c>
      <c r="Y166" s="485">
        <f>I166*'4C2 Open-burning '!$C$9*'4C2 Open-burning '!$C$11*$C$5</f>
        <v>1.9031898961142755</v>
      </c>
      <c r="Z166" s="486">
        <f t="shared" si="17"/>
        <v>5.8787452717719368</v>
      </c>
      <c r="AA166" s="1628">
        <f>C166*'4C2 Open-burning '!$C$10*'4C2 Open-burning '!$C$11*$C$5*C$15</f>
        <v>1.5752243338860588E-2</v>
      </c>
      <c r="AB166" s="487">
        <f>D166*'4C2 Open-burning '!$C$10*'4C2 Open-burning '!$C$11*$C$5*D$15</f>
        <v>1.6451725286206573E-2</v>
      </c>
      <c r="AC166" s="487">
        <f>E166*'4C2 Open-burning '!$C$10*'4C2 Open-burning '!$C$11*$C$5*E$15</f>
        <v>1.0110297626488782E-2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3.9527790150065724E-2</v>
      </c>
      <c r="AH166" s="488">
        <f t="shared" si="18"/>
        <v>8.1842056401621677E-2</v>
      </c>
      <c r="AI166" s="1386"/>
      <c r="AJ166" s="1386"/>
      <c r="AK166" s="1386"/>
      <c r="AL166" s="4"/>
      <c r="AM166" s="4"/>
    </row>
    <row r="167" spans="1:39">
      <c r="A167" s="959">
        <f>'Input data'!A128</f>
        <v>2028</v>
      </c>
      <c r="B167" s="560">
        <f>'Recycling - Case 3'!AP108</f>
        <v>6.7852271590315386E-2</v>
      </c>
      <c r="C167" s="527">
        <f>$B167*'Recycling - Case 3'!$AK108*'Recycling - Case 3'!BM108</f>
        <v>403.644118372489</v>
      </c>
      <c r="D167" s="528">
        <f>$B167*'Recycling - Case 3'!$AK108*'Recycling - Case 3'!BN108</f>
        <v>421.56802723297534</v>
      </c>
      <c r="E167" s="528">
        <f>$B167*'Recycling - Case 3'!$AK108*'Recycling - Case 3'!BO108</f>
        <v>115.14302606198314</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450.16967250273348</v>
      </c>
      <c r="J167" s="744">
        <f t="shared" si="19"/>
        <v>1390.524844170181</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0.60825915519607454</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15.509245557064173</v>
      </c>
      <c r="R167" s="1382">
        <f t="shared" si="16"/>
        <v>16.117504712260246</v>
      </c>
      <c r="S167" s="484">
        <f>C167*'4C2 Open-burning '!$C$9*'4C2 Open-burning '!$C$11*$C$5</f>
        <v>1.5742120616527069</v>
      </c>
      <c r="T167" s="485">
        <f>D167*'4C2 Open-burning '!$C$9*'4C2 Open-burning '!$C$11*$C$5</f>
        <v>1.6441153062086038</v>
      </c>
      <c r="U167" s="485">
        <f>E167*'4C2 Open-burning '!$C$9*'4C2 Open-burning '!$C$11*$C$5</f>
        <v>0.4490578016417342</v>
      </c>
      <c r="V167" s="485">
        <f>F167*'4C2 Open-burning '!$C$9*'4C2 Open-burning '!$C$11*$C$5</f>
        <v>0</v>
      </c>
      <c r="W167" s="485">
        <f>G167*'4C2 Open-burning '!$C$9*'4C2 Open-burning '!$C$11*$C$5</f>
        <v>0</v>
      </c>
      <c r="X167" s="485">
        <f>H167*'4C2 Open-burning '!$C$9*'4C2 Open-burning '!$C$11*$C$5</f>
        <v>0</v>
      </c>
      <c r="Y167" s="485">
        <f>I167*'4C2 Open-burning '!$C$9*'4C2 Open-burning '!$C$11*$C$5</f>
        <v>1.7556617227606603</v>
      </c>
      <c r="Z167" s="486">
        <f t="shared" si="17"/>
        <v>5.423046892263705</v>
      </c>
      <c r="AA167" s="1628">
        <f>C167*'4C2 Open-burning '!$C$10*'4C2 Open-burning '!$C$11*$C$5*C$15</f>
        <v>1.4531188261409603E-2</v>
      </c>
      <c r="AB167" s="487">
        <f>D167*'4C2 Open-burning '!$C$10*'4C2 Open-burning '!$C$11*$C$5*D$15</f>
        <v>1.5176448980387112E-2</v>
      </c>
      <c r="AC167" s="487">
        <f>E167*'4C2 Open-burning '!$C$10*'4C2 Open-burning '!$C$11*$C$5*E$15</f>
        <v>9.3265851110206337E-3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3.646374347272141E-2</v>
      </c>
      <c r="AH167" s="488">
        <f t="shared" si="18"/>
        <v>7.5497965825538763E-2</v>
      </c>
      <c r="AI167" s="1386"/>
      <c r="AJ167" s="1386"/>
      <c r="AK167" s="1386"/>
      <c r="AL167" s="4"/>
      <c r="AM167" s="4"/>
    </row>
    <row r="168" spans="1:39">
      <c r="A168" s="959">
        <f>'Input data'!A129</f>
        <v>2029</v>
      </c>
      <c r="B168" s="560">
        <f>'Recycling - Case 3'!AP109</f>
        <v>6.2741367322737551E-2</v>
      </c>
      <c r="C168" s="527">
        <f>$B168*'Recycling - Case 3'!$AK109*'Recycling - Case 3'!BM109</f>
        <v>369.2505152584252</v>
      </c>
      <c r="D168" s="528">
        <f>$B168*'Recycling - Case 3'!$AK109*'Recycling - Case 3'!BN109</f>
        <v>385.64716835191103</v>
      </c>
      <c r="E168" s="528">
        <f>$B168*'Recycling - Case 3'!$AK109*'Recycling - Case 3'!BO109</f>
        <v>105.33194902784776</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411.81173206630382</v>
      </c>
      <c r="J168" s="744">
        <f t="shared" si="19"/>
        <v>1272.0413647044877</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0.55643076721246965</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14.187737793148298</v>
      </c>
      <c r="R168" s="1382">
        <f t="shared" si="16"/>
        <v>14.744168560360768</v>
      </c>
      <c r="S168" s="484">
        <f>C168*'4C2 Open-burning '!$C$9*'4C2 Open-burning '!$C$11*$C$5</f>
        <v>1.4400770095078583</v>
      </c>
      <c r="T168" s="485">
        <f>D168*'4C2 Open-burning '!$C$9*'4C2 Open-burning '!$C$11*$C$5</f>
        <v>1.5040239565724527</v>
      </c>
      <c r="U168" s="485">
        <f>E168*'4C2 Open-burning '!$C$9*'4C2 Open-burning '!$C$11*$C$5</f>
        <v>0.41079460120860617</v>
      </c>
      <c r="V168" s="485">
        <f>F168*'4C2 Open-burning '!$C$9*'4C2 Open-burning '!$C$11*$C$5</f>
        <v>0</v>
      </c>
      <c r="W168" s="485">
        <f>G168*'4C2 Open-burning '!$C$9*'4C2 Open-burning '!$C$11*$C$5</f>
        <v>0</v>
      </c>
      <c r="X168" s="485">
        <f>H168*'4C2 Open-burning '!$C$9*'4C2 Open-burning '!$C$11*$C$5</f>
        <v>0</v>
      </c>
      <c r="Y168" s="485">
        <f>I168*'4C2 Open-burning '!$C$9*'4C2 Open-burning '!$C$11*$C$5</f>
        <v>1.6060657550585851</v>
      </c>
      <c r="Z168" s="486">
        <f t="shared" si="17"/>
        <v>4.9609613223475026</v>
      </c>
      <c r="AA168" s="1628">
        <f>C168*'4C2 Open-burning '!$C$10*'4C2 Open-burning '!$C$11*$C$5*C$15</f>
        <v>1.3293018549303308E-2</v>
      </c>
      <c r="AB168" s="487">
        <f>D168*'4C2 Open-burning '!$C$10*'4C2 Open-burning '!$C$11*$C$5*D$15</f>
        <v>1.3883298060668799E-2</v>
      </c>
      <c r="AC168" s="487">
        <f>E168*'4C2 Open-burning '!$C$10*'4C2 Open-burning '!$C$11*$C$5*E$15</f>
        <v>8.5318878712556667E-3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3.3356750297370605E-2</v>
      </c>
      <c r="AH168" s="488">
        <f t="shared" si="18"/>
        <v>6.9064954778598378E-2</v>
      </c>
      <c r="AI168" s="1386"/>
      <c r="AJ168" s="1386"/>
      <c r="AK168" s="1386"/>
      <c r="AL168" s="4"/>
      <c r="AM168" s="4"/>
    </row>
    <row r="169" spans="1:39">
      <c r="A169" s="959">
        <f>'Input data'!A130</f>
        <v>2030</v>
      </c>
      <c r="B169" s="560">
        <f>'Recycling - Case 3'!AP110</f>
        <v>5.7445309516483009E-2</v>
      </c>
      <c r="C169" s="527">
        <f>$B169*'Recycling - Case 3'!$AK110*'Recycling - Case 3'!BM110</f>
        <v>334.32480659664202</v>
      </c>
      <c r="D169" s="528">
        <f>$B169*'Recycling - Case 3'!$AK110*'Recycling - Case 3'!BN110</f>
        <v>349.17057565528603</v>
      </c>
      <c r="E169" s="528">
        <f>$B169*'Recycling - Case 3'!$AK110*'Recycling - Case 3'!BO110</f>
        <v>95.369084217896841</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372.86035357577953</v>
      </c>
      <c r="J169" s="744">
        <f t="shared" si="19"/>
        <v>1151.7248200456045</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0.50380053905283051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12.845784901392754</v>
      </c>
      <c r="R169" s="1382">
        <f t="shared" si="16"/>
        <v>13.349585440445585</v>
      </c>
      <c r="S169" s="484">
        <f>C169*'4C2 Open-burning '!$C$9*'4C2 Open-burning '!$C$11*$C$5</f>
        <v>1.3038667457269035</v>
      </c>
      <c r="T169" s="485">
        <f>D169*'4C2 Open-burning '!$C$9*'4C2 Open-burning '!$C$11*$C$5</f>
        <v>1.3617652450556155</v>
      </c>
      <c r="U169" s="485">
        <f>E169*'4C2 Open-burning '!$C$9*'4C2 Open-burning '!$C$11*$C$5</f>
        <v>0.37193942844979772</v>
      </c>
      <c r="V169" s="485">
        <f>F169*'4C2 Open-burning '!$C$9*'4C2 Open-burning '!$C$11*$C$5</f>
        <v>0</v>
      </c>
      <c r="W169" s="485">
        <f>G169*'4C2 Open-burning '!$C$9*'4C2 Open-burning '!$C$11*$C$5</f>
        <v>0</v>
      </c>
      <c r="X169" s="485">
        <f>H169*'4C2 Open-burning '!$C$9*'4C2 Open-burning '!$C$11*$C$5</f>
        <v>0</v>
      </c>
      <c r="Y169" s="485">
        <f>I169*'4C2 Open-burning '!$C$9*'4C2 Open-burning '!$C$11*$C$5</f>
        <v>1.4541553789455401</v>
      </c>
      <c r="Z169" s="486">
        <f t="shared" si="17"/>
        <v>4.491726798177857</v>
      </c>
      <c r="AA169" s="1628">
        <f>C169*'4C2 Open-burning '!$C$10*'4C2 Open-burning '!$C$11*$C$5*C$15</f>
        <v>1.2035693037479112E-2</v>
      </c>
      <c r="AB169" s="487">
        <f>D169*'4C2 Open-burning '!$C$10*'4C2 Open-burning '!$C$11*$C$5*D$15</f>
        <v>1.2570140723590296E-2</v>
      </c>
      <c r="AC169" s="487">
        <f>E169*'4C2 Open-burning '!$C$10*'4C2 Open-burning '!$C$11*$C$5*E$15</f>
        <v>7.7248958216496431E-3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3.0201688639638145E-2</v>
      </c>
      <c r="AH169" s="488">
        <f t="shared" si="18"/>
        <v>6.2532418222357194E-2</v>
      </c>
      <c r="AI169" s="1386"/>
      <c r="AJ169" s="1386"/>
      <c r="AK169" s="1386"/>
      <c r="AL169" s="4"/>
      <c r="AM169" s="4"/>
    </row>
    <row r="170" spans="1:39">
      <c r="A170" s="959">
        <f>'Input data'!A131</f>
        <v>2031</v>
      </c>
      <c r="B170" s="560">
        <f>'Recycling - Case 3'!AP111</f>
        <v>5.156526815358331E-2</v>
      </c>
      <c r="C170" s="527">
        <f>$B170*'Recycling - Case 3'!$AK111*'Recycling - Case 3'!BM111</f>
        <v>294.64341576615396</v>
      </c>
      <c r="D170" s="528">
        <f>$B170*'Recycling - Case 3'!$AK111*'Recycling - Case 3'!BN111</f>
        <v>307.72712364186589</v>
      </c>
      <c r="E170" s="528">
        <f>$B170*'Recycling - Case 3'!$AK111*'Recycling - Case 3'!BO111</f>
        <v>84.049619346234209</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328.60513492763067</v>
      </c>
      <c r="J170" s="744">
        <f t="shared" si="19"/>
        <v>1015.0252936818847</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0.44400388114319067</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11.321104108526731</v>
      </c>
      <c r="R170" s="1382">
        <f t="shared" si="16"/>
        <v>11.765107989669922</v>
      </c>
      <c r="S170" s="484">
        <f>C170*'4C2 Open-burning '!$C$9*'4C2 Open-burning '!$C$11*$C$5</f>
        <v>1.1491093214880002</v>
      </c>
      <c r="T170" s="485">
        <f>D170*'4C2 Open-burning '!$C$9*'4C2 Open-burning '!$C$11*$C$5</f>
        <v>1.200135782203277</v>
      </c>
      <c r="U170" s="485">
        <f>E170*'4C2 Open-burning '!$C$9*'4C2 Open-burning '!$C$11*$C$5</f>
        <v>0.32779351545031338</v>
      </c>
      <c r="V170" s="485">
        <f>F170*'4C2 Open-burning '!$C$9*'4C2 Open-burning '!$C$11*$C$5</f>
        <v>0</v>
      </c>
      <c r="W170" s="485">
        <f>G170*'4C2 Open-burning '!$C$9*'4C2 Open-burning '!$C$11*$C$5</f>
        <v>0</v>
      </c>
      <c r="X170" s="485">
        <f>H170*'4C2 Open-burning '!$C$9*'4C2 Open-burning '!$C$11*$C$5</f>
        <v>0</v>
      </c>
      <c r="Y170" s="485">
        <f>I170*'4C2 Open-burning '!$C$9*'4C2 Open-burning '!$C$11*$C$5</f>
        <v>1.2815600262177596</v>
      </c>
      <c r="Z170" s="486">
        <f t="shared" si="17"/>
        <v>3.9585986453593502</v>
      </c>
      <c r="AA170" s="1628">
        <f>C170*'4C2 Open-burning '!$C$10*'4C2 Open-burning '!$C$11*$C$5*C$15</f>
        <v>1.0607162967581543E-2</v>
      </c>
      <c r="AB170" s="487">
        <f>D170*'4C2 Open-burning '!$C$10*'4C2 Open-burning '!$C$11*$C$5*D$15</f>
        <v>1.1078176451107175E-2</v>
      </c>
      <c r="AC170" s="487">
        <f>E170*'4C2 Open-burning '!$C$10*'4C2 Open-burning '!$C$11*$C$5*E$15</f>
        <v>6.8080191670449701E-3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2.661701592913808E-2</v>
      </c>
      <c r="AH170" s="488">
        <f t="shared" si="18"/>
        <v>5.5110374514871767E-2</v>
      </c>
      <c r="AI170" s="1386"/>
      <c r="AJ170" s="1386"/>
      <c r="AK170" s="1386"/>
      <c r="AL170" s="4"/>
      <c r="AM170" s="4"/>
    </row>
    <row r="171" spans="1:39">
      <c r="A171" s="959">
        <f>'Input data'!A132</f>
        <v>2032</v>
      </c>
      <c r="B171" s="560">
        <f>'Recycling - Case 3'!AP112</f>
        <v>4.5524824325504698E-2</v>
      </c>
      <c r="C171" s="527">
        <f>$B171*'Recycling - Case 3'!$AK112*'Recycling - Case 3'!BM112</f>
        <v>255.29593422838869</v>
      </c>
      <c r="D171" s="528">
        <f>$B171*'Recycling - Case 3'!$AK112*'Recycling - Case 3'!BN112</f>
        <v>266.63240823923911</v>
      </c>
      <c r="E171" s="528">
        <f>$B171*'Recycling - Case 3'!$AK112*'Recycling - Case 3'!BO112</f>
        <v>72.82540502981152</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284.72231322547651</v>
      </c>
      <c r="J171" s="744">
        <f t="shared" si="19"/>
        <v>879.47606072291569</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0.38471039762668352</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9.8092531352441164</v>
      </c>
      <c r="R171" s="1382">
        <f t="shared" si="16"/>
        <v>10.1939635328708</v>
      </c>
      <c r="S171" s="484">
        <f>C171*'4C2 Open-burning '!$C$9*'4C2 Open-burning '!$C$11*$C$5</f>
        <v>0.9956541434907159</v>
      </c>
      <c r="T171" s="485">
        <f>D171*'4C2 Open-burning '!$C$9*'4C2 Open-burning '!$C$11*$C$5</f>
        <v>1.0398663921330324</v>
      </c>
      <c r="U171" s="485">
        <f>E171*'4C2 Open-burning '!$C$9*'4C2 Open-burning '!$C$11*$C$5</f>
        <v>0.28401907961626488</v>
      </c>
      <c r="V171" s="485">
        <f>F171*'4C2 Open-burning '!$C$9*'4C2 Open-burning '!$C$11*$C$5</f>
        <v>0</v>
      </c>
      <c r="W171" s="485">
        <f>G171*'4C2 Open-burning '!$C$9*'4C2 Open-burning '!$C$11*$C$5</f>
        <v>0</v>
      </c>
      <c r="X171" s="485">
        <f>H171*'4C2 Open-burning '!$C$9*'4C2 Open-burning '!$C$11*$C$5</f>
        <v>0</v>
      </c>
      <c r="Y171" s="485">
        <f>I171*'4C2 Open-burning '!$C$9*'4C2 Open-burning '!$C$11*$C$5</f>
        <v>1.1104170215793583</v>
      </c>
      <c r="Z171" s="486">
        <f t="shared" si="17"/>
        <v>3.4299566368193717</v>
      </c>
      <c r="AA171" s="1628">
        <f>C171*'4C2 Open-burning '!$C$10*'4C2 Open-burning '!$C$11*$C$5*C$15</f>
        <v>9.1906536322219935E-3</v>
      </c>
      <c r="AB171" s="487">
        <f>D171*'4C2 Open-burning '!$C$10*'4C2 Open-burning '!$C$11*$C$5*D$15</f>
        <v>9.5987666966126095E-3</v>
      </c>
      <c r="AC171" s="487">
        <f>E171*'4C2 Open-burning '!$C$10*'4C2 Open-burning '!$C$11*$C$5*E$15</f>
        <v>5.8988578074147327E-3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2.3062507371263592E-2</v>
      </c>
      <c r="AH171" s="488">
        <f t="shared" si="18"/>
        <v>4.7750785507512924E-2</v>
      </c>
      <c r="AI171" s="1386"/>
      <c r="AJ171" s="1386"/>
      <c r="AK171" s="1386"/>
      <c r="AL171" s="4"/>
      <c r="AM171" s="4"/>
    </row>
    <row r="172" spans="1:39">
      <c r="A172" s="959">
        <f>'Input data'!A133</f>
        <v>2033</v>
      </c>
      <c r="B172" s="560">
        <f>'Recycling - Case 3'!AP113</f>
        <v>4.5137878508869557E-2</v>
      </c>
      <c r="C172" s="527">
        <f>$B172*'Recycling - Case 3'!$AK113*'Recycling - Case 3'!BM113</f>
        <v>254.42384291727339</v>
      </c>
      <c r="D172" s="528">
        <f>$B172*'Recycling - Case 3'!$AK113*'Recycling - Case 3'!BN113</f>
        <v>265.72159151514995</v>
      </c>
      <c r="E172" s="528">
        <f>$B172*'Recycling - Case 3'!$AK113*'Recycling - Case 3'!BO113</f>
        <v>72.57663333218575</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283.74970135762567</v>
      </c>
      <c r="J172" s="744">
        <f t="shared" si="19"/>
        <v>876.47176912223483</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0.38339622630593773</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9.7757447111729192</v>
      </c>
      <c r="R172" s="1382">
        <f t="shared" si="16"/>
        <v>10.159140937478856</v>
      </c>
      <c r="S172" s="484">
        <f>C172*'4C2 Open-burning '!$C$9*'4C2 Open-burning '!$C$11*$C$5</f>
        <v>0.99225298737736611</v>
      </c>
      <c r="T172" s="485">
        <f>D172*'4C2 Open-burning '!$C$9*'4C2 Open-burning '!$C$11*$C$5</f>
        <v>1.0363142069090847</v>
      </c>
      <c r="U172" s="485">
        <f>E172*'4C2 Open-burning '!$C$9*'4C2 Open-burning '!$C$11*$C$5</f>
        <v>0.28304886999552442</v>
      </c>
      <c r="V172" s="485">
        <f>F172*'4C2 Open-burning '!$C$9*'4C2 Open-burning '!$C$11*$C$5</f>
        <v>0</v>
      </c>
      <c r="W172" s="485">
        <f>G172*'4C2 Open-burning '!$C$9*'4C2 Open-burning '!$C$11*$C$5</f>
        <v>0</v>
      </c>
      <c r="X172" s="485">
        <f>H172*'4C2 Open-burning '!$C$9*'4C2 Open-burning '!$C$11*$C$5</f>
        <v>0</v>
      </c>
      <c r="Y172" s="485">
        <f>I172*'4C2 Open-burning '!$C$9*'4C2 Open-burning '!$C$11*$C$5</f>
        <v>1.10662383529474</v>
      </c>
      <c r="Z172" s="486">
        <f t="shared" si="17"/>
        <v>3.4182398995767151</v>
      </c>
      <c r="AA172" s="1628">
        <f>C172*'4C2 Open-burning '!$C$10*'4C2 Open-burning '!$C$11*$C$5*C$15</f>
        <v>9.1592583450218409E-3</v>
      </c>
      <c r="AB172" s="487">
        <f>D172*'4C2 Open-burning '!$C$10*'4C2 Open-burning '!$C$11*$C$5*D$15</f>
        <v>9.5659772945453983E-3</v>
      </c>
      <c r="AC172" s="487">
        <f>E172*'4C2 Open-burning '!$C$10*'4C2 Open-burning '!$C$11*$C$5*E$15</f>
        <v>5.8787072999070458E-3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2.2983725809967673E-2</v>
      </c>
      <c r="AH172" s="488">
        <f t="shared" si="18"/>
        <v>4.758766874944196E-2</v>
      </c>
      <c r="AI172" s="1386"/>
      <c r="AJ172" s="1386"/>
      <c r="AK172" s="1386"/>
      <c r="AL172" s="4"/>
      <c r="AM172" s="4"/>
    </row>
    <row r="173" spans="1:39">
      <c r="A173" s="959">
        <f>'Input data'!A134</f>
        <v>2034</v>
      </c>
      <c r="B173" s="560">
        <f>'Recycling - Case 3'!AP114</f>
        <v>4.4767030626353253E-2</v>
      </c>
      <c r="C173" s="527">
        <f>$B173*'Recycling - Case 3'!$AK114*'Recycling - Case 3'!BM114</f>
        <v>253.59362636818025</v>
      </c>
      <c r="D173" s="528">
        <f>$B173*'Recycling - Case 3'!$AK114*'Recycling - Case 3'!BN114</f>
        <v>264.85450901141235</v>
      </c>
      <c r="E173" s="528">
        <f>$B173*'Recycling - Case 3'!$AK114*'Recycling - Case 3'!BO114</f>
        <v>72.339806777807212</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282.82379089590876</v>
      </c>
      <c r="J173" s="744">
        <f t="shared" si="19"/>
        <v>873.61173305330863</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0.38214515687671546</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9.7438452439458469</v>
      </c>
      <c r="R173" s="1382">
        <f t="shared" si="16"/>
        <v>10.125990400822563</v>
      </c>
      <c r="S173" s="484">
        <f>C173*'4C2 Open-burning '!$C$9*'4C2 Open-burning '!$C$11*$C$5</f>
        <v>0.98901514283590286</v>
      </c>
      <c r="T173" s="485">
        <f>D173*'4C2 Open-burning '!$C$9*'4C2 Open-burning '!$C$11*$C$5</f>
        <v>1.0329325851445081</v>
      </c>
      <c r="U173" s="485">
        <f>E173*'4C2 Open-burning '!$C$9*'4C2 Open-burning '!$C$11*$C$5</f>
        <v>0.28212524643344811</v>
      </c>
      <c r="V173" s="485">
        <f>F173*'4C2 Open-burning '!$C$9*'4C2 Open-burning '!$C$11*$C$5</f>
        <v>0</v>
      </c>
      <c r="W173" s="485">
        <f>G173*'4C2 Open-burning '!$C$9*'4C2 Open-burning '!$C$11*$C$5</f>
        <v>0</v>
      </c>
      <c r="X173" s="485">
        <f>H173*'4C2 Open-burning '!$C$9*'4C2 Open-burning '!$C$11*$C$5</f>
        <v>0</v>
      </c>
      <c r="Y173" s="485">
        <f>I173*'4C2 Open-burning '!$C$9*'4C2 Open-burning '!$C$11*$C$5</f>
        <v>1.1030127844940441</v>
      </c>
      <c r="Z173" s="486">
        <f t="shared" si="17"/>
        <v>3.4070857589079031</v>
      </c>
      <c r="AA173" s="1628">
        <f>C173*'4C2 Open-burning '!$C$10*'4C2 Open-burning '!$C$11*$C$5*C$15</f>
        <v>9.1293705492544886E-3</v>
      </c>
      <c r="AB173" s="487">
        <f>D173*'4C2 Open-burning '!$C$10*'4C2 Open-burning '!$C$11*$C$5*D$15</f>
        <v>9.5347623244108441E-3</v>
      </c>
      <c r="AC173" s="487">
        <f>E173*'4C2 Open-burning '!$C$10*'4C2 Open-burning '!$C$11*$C$5*E$15</f>
        <v>5.8595243490023839E-3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2.2908727062568607E-2</v>
      </c>
      <c r="AH173" s="488">
        <f t="shared" si="18"/>
        <v>4.7432384285236329E-2</v>
      </c>
      <c r="AI173" s="1386"/>
      <c r="AJ173" s="1386"/>
      <c r="AK173" s="1386"/>
      <c r="AL173" s="4"/>
      <c r="AM173" s="4"/>
    </row>
    <row r="174" spans="1:39">
      <c r="A174" s="959">
        <f>'Input data'!A135</f>
        <v>2035</v>
      </c>
      <c r="B174" s="560">
        <f>'Recycling - Case 3'!AP115</f>
        <v>4.4411850240896888E-2</v>
      </c>
      <c r="C174" s="527">
        <f>$B174*'Recycling - Case 3'!$AK115*'Recycling - Case 3'!BM115</f>
        <v>252.80363498430233</v>
      </c>
      <c r="D174" s="528">
        <f>$B174*'Recycling - Case 3'!$AK115*'Recycling - Case 3'!BN115</f>
        <v>264.02943788049816</v>
      </c>
      <c r="E174" s="528">
        <f>$B174*'Recycling - Case 3'!$AK115*'Recycling - Case 3'!BO115</f>
        <v>72.114454804714271</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281.94274210472548</v>
      </c>
      <c r="J174" s="744">
        <f t="shared" si="19"/>
        <v>870.8902697742401</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0.38095470352957578</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9.7134913509920011</v>
      </c>
      <c r="R174" s="1382">
        <f t="shared" si="16"/>
        <v>10.094446054521576</v>
      </c>
      <c r="S174" s="484">
        <f>C174*'4C2 Open-burning '!$C$9*'4C2 Open-burning '!$C$11*$C$5</f>
        <v>0.98593417643877901</v>
      </c>
      <c r="T174" s="485">
        <f>D174*'4C2 Open-burning '!$C$9*'4C2 Open-burning '!$C$11*$C$5</f>
        <v>1.0297148077339429</v>
      </c>
      <c r="U174" s="485">
        <f>E174*'4C2 Open-burning '!$C$9*'4C2 Open-burning '!$C$11*$C$5</f>
        <v>0.28124637373838562</v>
      </c>
      <c r="V174" s="485">
        <f>F174*'4C2 Open-burning '!$C$9*'4C2 Open-burning '!$C$11*$C$5</f>
        <v>0</v>
      </c>
      <c r="W174" s="485">
        <f>G174*'4C2 Open-burning '!$C$9*'4C2 Open-burning '!$C$11*$C$5</f>
        <v>0</v>
      </c>
      <c r="X174" s="485">
        <f>H174*'4C2 Open-burning '!$C$9*'4C2 Open-burning '!$C$11*$C$5</f>
        <v>0</v>
      </c>
      <c r="Y174" s="485">
        <f>I174*'4C2 Open-burning '!$C$9*'4C2 Open-burning '!$C$11*$C$5</f>
        <v>1.0995766942084293</v>
      </c>
      <c r="Z174" s="486">
        <f t="shared" si="17"/>
        <v>3.3964720521195364</v>
      </c>
      <c r="AA174" s="1628">
        <f>C174*'4C2 Open-burning '!$C$10*'4C2 Open-burning '!$C$11*$C$5*C$15</f>
        <v>9.1009308594348828E-3</v>
      </c>
      <c r="AB174" s="487">
        <f>D174*'4C2 Open-burning '!$C$10*'4C2 Open-burning '!$C$11*$C$5*D$15</f>
        <v>9.5050597636979345E-3</v>
      </c>
      <c r="AC174" s="487">
        <f>E174*'4C2 Open-burning '!$C$10*'4C2 Open-burning '!$C$11*$C$5*E$15</f>
        <v>5.8412708391818551E-3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2.2837362110482762E-2</v>
      </c>
      <c r="AH174" s="488">
        <f t="shared" si="18"/>
        <v>4.7284623572797432E-2</v>
      </c>
      <c r="AI174" s="1386"/>
      <c r="AJ174" s="1386"/>
      <c r="AK174" s="1386"/>
      <c r="AL174" s="4"/>
      <c r="AM174" s="4"/>
    </row>
    <row r="175" spans="1:39">
      <c r="A175" s="959">
        <f>'Input data'!A136</f>
        <v>2036</v>
      </c>
      <c r="B175" s="560">
        <f>'Recycling - Case 3'!AP116</f>
        <v>4.4069397753259403E-2</v>
      </c>
      <c r="C175" s="527">
        <f>$B175*'Recycling - Case 3'!$AK116*'Recycling - Case 3'!BM116</f>
        <v>252.04673971184585</v>
      </c>
      <c r="D175" s="528">
        <f>$B175*'Recycling - Case 3'!$AK116*'Recycling - Case 3'!BN116</f>
        <v>263.2389325013587</v>
      </c>
      <c r="E175" s="528">
        <f>$B175*'Recycling - Case 3'!$AK116*'Recycling - Case 3'!BO116</f>
        <v>71.898543787766855</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281.0986042084657</v>
      </c>
      <c r="J175" s="744">
        <f t="shared" si="19"/>
        <v>868.28282020943698</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0.37981412335500869</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9.6844091121900586</v>
      </c>
      <c r="R175" s="1382">
        <f t="shared" si="16"/>
        <v>10.064223235545068</v>
      </c>
      <c r="S175" s="484">
        <f>C175*'4C2 Open-burning '!$C$9*'4C2 Open-burning '!$C$11*$C$5</f>
        <v>0.98298228487619865</v>
      </c>
      <c r="T175" s="485">
        <f>D175*'4C2 Open-burning '!$C$9*'4C2 Open-burning '!$C$11*$C$5</f>
        <v>1.0266318367552989</v>
      </c>
      <c r="U175" s="485">
        <f>E175*'4C2 Open-burning '!$C$9*'4C2 Open-burning '!$C$11*$C$5</f>
        <v>0.28040432077229072</v>
      </c>
      <c r="V175" s="485">
        <f>F175*'4C2 Open-burning '!$C$9*'4C2 Open-burning '!$C$11*$C$5</f>
        <v>0</v>
      </c>
      <c r="W175" s="485">
        <f>G175*'4C2 Open-burning '!$C$9*'4C2 Open-burning '!$C$11*$C$5</f>
        <v>0</v>
      </c>
      <c r="X175" s="485">
        <f>H175*'4C2 Open-burning '!$C$9*'4C2 Open-burning '!$C$11*$C$5</f>
        <v>0</v>
      </c>
      <c r="Y175" s="485">
        <f>I175*'4C2 Open-burning '!$C$9*'4C2 Open-burning '!$C$11*$C$5</f>
        <v>1.0962845564130161</v>
      </c>
      <c r="Z175" s="486">
        <f t="shared" si="17"/>
        <v>3.386302998816805</v>
      </c>
      <c r="AA175" s="1628">
        <f>C175*'4C2 Open-burning '!$C$10*'4C2 Open-burning '!$C$11*$C$5*C$15</f>
        <v>9.0736826296264495E-3</v>
      </c>
      <c r="AB175" s="487">
        <f>D175*'4C2 Open-burning '!$C$10*'4C2 Open-burning '!$C$11*$C$5*D$15</f>
        <v>9.476601570048912E-3</v>
      </c>
      <c r="AC175" s="487">
        <f>E175*'4C2 Open-burning '!$C$10*'4C2 Open-burning '!$C$11*$C$5*E$15</f>
        <v>5.8237820468091143E-3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2.2768986940885718E-2</v>
      </c>
      <c r="AH175" s="488">
        <f t="shared" si="18"/>
        <v>4.7143053187370193E-2</v>
      </c>
      <c r="AI175" s="1386"/>
      <c r="AJ175" s="1386"/>
      <c r="AK175" s="1386"/>
      <c r="AL175" s="4"/>
      <c r="AM175" s="4"/>
    </row>
    <row r="176" spans="1:39">
      <c r="A176" s="959">
        <f>'Input data'!A137</f>
        <v>2037</v>
      </c>
      <c r="B176" s="560">
        <f>'Recycling - Case 3'!AP117</f>
        <v>4.3739360020510688E-2</v>
      </c>
      <c r="C176" s="527">
        <f>$B176*'Recycling - Case 3'!$AK117*'Recycling - Case 3'!BM117</f>
        <v>251.32174376960646</v>
      </c>
      <c r="D176" s="528">
        <f>$B176*'Recycling - Case 3'!$AK117*'Recycling - Case 3'!BN117</f>
        <v>262.48174294944823</v>
      </c>
      <c r="E176" s="528">
        <f>$B176*'Recycling - Case 3'!$AK117*'Recycling - Case 3'!BO117</f>
        <v>71.691732334626678</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280.29004248037791</v>
      </c>
      <c r="J176" s="744">
        <f t="shared" si="19"/>
        <v>865.78526153405926</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0.37872161290019229</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9.6565525435339783</v>
      </c>
      <c r="R176" s="1382">
        <f t="shared" si="16"/>
        <v>10.03527415643417</v>
      </c>
      <c r="S176" s="484">
        <f>C176*'4C2 Open-burning '!$C$9*'4C2 Open-burning '!$C$11*$C$5</f>
        <v>0.9801548007014651</v>
      </c>
      <c r="T176" s="485">
        <f>D176*'4C2 Open-burning '!$C$9*'4C2 Open-burning '!$C$11*$C$5</f>
        <v>1.0236787975028481</v>
      </c>
      <c r="U176" s="485">
        <f>E176*'4C2 Open-burning '!$C$9*'4C2 Open-burning '!$C$11*$C$5</f>
        <v>0.279597756105044</v>
      </c>
      <c r="V176" s="485">
        <f>F176*'4C2 Open-burning '!$C$9*'4C2 Open-burning '!$C$11*$C$5</f>
        <v>0</v>
      </c>
      <c r="W176" s="485">
        <f>G176*'4C2 Open-burning '!$C$9*'4C2 Open-burning '!$C$11*$C$5</f>
        <v>0</v>
      </c>
      <c r="X176" s="485">
        <f>H176*'4C2 Open-burning '!$C$9*'4C2 Open-burning '!$C$11*$C$5</f>
        <v>0</v>
      </c>
      <c r="Y176" s="485">
        <f>I176*'4C2 Open-burning '!$C$9*'4C2 Open-burning '!$C$11*$C$5</f>
        <v>1.0931311656734739</v>
      </c>
      <c r="Z176" s="486">
        <f t="shared" si="17"/>
        <v>3.3765625199828309</v>
      </c>
      <c r="AA176" s="1628">
        <f>C176*'4C2 Open-burning '!$C$10*'4C2 Open-burning '!$C$11*$C$5*C$15</f>
        <v>9.0475827757058331E-3</v>
      </c>
      <c r="AB176" s="487">
        <f>D176*'4C2 Open-burning '!$C$10*'4C2 Open-burning '!$C$11*$C$5*D$15</f>
        <v>9.4493427461801362E-3</v>
      </c>
      <c r="AC176" s="487">
        <f>E176*'4C2 Open-burning '!$C$10*'4C2 Open-burning '!$C$11*$C$5*E$15</f>
        <v>5.8070303191047603E-3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2.2703493440910605E-2</v>
      </c>
      <c r="AH176" s="488">
        <f t="shared" si="18"/>
        <v>4.7007449281901335E-2</v>
      </c>
      <c r="AI176" s="1386"/>
      <c r="AJ176" s="1386"/>
      <c r="AK176" s="1386"/>
      <c r="AL176" s="4"/>
      <c r="AM176" s="4"/>
    </row>
    <row r="177" spans="1:39">
      <c r="A177" s="959">
        <f>'Input data'!A138</f>
        <v>2038</v>
      </c>
      <c r="B177" s="560">
        <f>'Recycling - Case 3'!AP118</f>
        <v>4.3421440993926849E-2</v>
      </c>
      <c r="C177" s="527">
        <f>$B177*'Recycling - Case 3'!$AK118*'Recycling - Case 3'!BM118</f>
        <v>250.62751976187181</v>
      </c>
      <c r="D177" s="528">
        <f>$B177*'Recycling - Case 3'!$AK118*'Recycling - Case 3'!BN118</f>
        <v>261.75669176679139</v>
      </c>
      <c r="E177" s="528">
        <f>$B177*'Recycling - Case 3'!$AK118*'Recycling - Case 3'!BO118</f>
        <v>71.493698845775796</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279.51579957683822</v>
      </c>
      <c r="J177" s="744">
        <f t="shared" si="19"/>
        <v>863.39370995127729</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0.37767547327064904</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9.6298783270212294</v>
      </c>
      <c r="R177" s="1382">
        <f t="shared" si="16"/>
        <v>10.007553800291879</v>
      </c>
      <c r="S177" s="484">
        <f>C177*'4C2 Open-burning '!$C$9*'4C2 Open-burning '!$C$11*$C$5</f>
        <v>0.97744732707129989</v>
      </c>
      <c r="T177" s="485">
        <f>D177*'4C2 Open-burning '!$C$9*'4C2 Open-burning '!$C$11*$C$5</f>
        <v>1.0208510978904863</v>
      </c>
      <c r="U177" s="485">
        <f>E177*'4C2 Open-burning '!$C$9*'4C2 Open-burning '!$C$11*$C$5</f>
        <v>0.27882542549852563</v>
      </c>
      <c r="V177" s="485">
        <f>F177*'4C2 Open-burning '!$C$9*'4C2 Open-burning '!$C$11*$C$5</f>
        <v>0</v>
      </c>
      <c r="W177" s="485">
        <f>G177*'4C2 Open-burning '!$C$9*'4C2 Open-burning '!$C$11*$C$5</f>
        <v>0</v>
      </c>
      <c r="X177" s="485">
        <f>H177*'4C2 Open-burning '!$C$9*'4C2 Open-burning '!$C$11*$C$5</f>
        <v>0</v>
      </c>
      <c r="Y177" s="485">
        <f>I177*'4C2 Open-burning '!$C$9*'4C2 Open-burning '!$C$11*$C$5</f>
        <v>1.0901116183496689</v>
      </c>
      <c r="Z177" s="486">
        <f t="shared" si="17"/>
        <v>3.367235468809981</v>
      </c>
      <c r="AA177" s="1628">
        <f>C177*'4C2 Open-burning '!$C$10*'4C2 Open-burning '!$C$11*$C$5*C$15</f>
        <v>9.0225907114273845E-3</v>
      </c>
      <c r="AB177" s="487">
        <f>D177*'4C2 Open-burning '!$C$10*'4C2 Open-burning '!$C$11*$C$5*D$15</f>
        <v>9.4232409036044892E-3</v>
      </c>
      <c r="AC177" s="487">
        <f>E177*'4C2 Open-burning '!$C$10*'4C2 Open-burning '!$C$11*$C$5*E$15</f>
        <v>5.7909896065078395E-3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2.2640779765723894E-2</v>
      </c>
      <c r="AH177" s="488">
        <f t="shared" si="18"/>
        <v>4.687760098726361E-2</v>
      </c>
      <c r="AI177" s="1386"/>
      <c r="AJ177" s="1386"/>
      <c r="AK177" s="1386"/>
      <c r="AL177" s="4"/>
      <c r="AM177" s="4"/>
    </row>
    <row r="178" spans="1:39">
      <c r="A178" s="959">
        <f>'Input data'!A139</f>
        <v>2039</v>
      </c>
      <c r="B178" s="560">
        <f>'Recycling - Case 3'!AP119</f>
        <v>4.3115360724630375E-2</v>
      </c>
      <c r="C178" s="527">
        <f>$B178*'Recycling - Case 3'!$AK119*'Recycling - Case 3'!BM119</f>
        <v>249.96300544814338</v>
      </c>
      <c r="D178" s="528">
        <f>$B178*'Recycling - Case 3'!$AK119*'Recycling - Case 3'!BN119</f>
        <v>261.0626695438587</v>
      </c>
      <c r="E178" s="528">
        <f>$B178*'Recycling - Case 3'!$AK119*'Recycling - Case 3'!BO119</f>
        <v>71.304140307792622</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278.77469081947379</v>
      </c>
      <c r="J178" s="744">
        <f t="shared" si="19"/>
        <v>861.10450611926854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0.3766741037555576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9.6043456481125098</v>
      </c>
      <c r="R178" s="1382">
        <f t="shared" si="16"/>
        <v>9.9810197518680681</v>
      </c>
      <c r="S178" s="484">
        <f>C178*'4C2 Open-burning '!$C$9*'4C2 Open-burning '!$C$11*$C$5</f>
        <v>0.97485572124775921</v>
      </c>
      <c r="T178" s="485">
        <f>D178*'4C2 Open-burning '!$C$9*'4C2 Open-burning '!$C$11*$C$5</f>
        <v>1.0181444112210489</v>
      </c>
      <c r="U178" s="485">
        <f>E178*'4C2 Open-burning '!$C$9*'4C2 Open-burning '!$C$11*$C$5</f>
        <v>0.27808614720039121</v>
      </c>
      <c r="V178" s="485">
        <f>F178*'4C2 Open-burning '!$C$9*'4C2 Open-burning '!$C$11*$C$5</f>
        <v>0</v>
      </c>
      <c r="W178" s="485">
        <f>G178*'4C2 Open-burning '!$C$9*'4C2 Open-burning '!$C$11*$C$5</f>
        <v>0</v>
      </c>
      <c r="X178" s="485">
        <f>H178*'4C2 Open-burning '!$C$9*'4C2 Open-burning '!$C$11*$C$5</f>
        <v>0</v>
      </c>
      <c r="Y178" s="485">
        <f>I178*'4C2 Open-burning '!$C$9*'4C2 Open-burning '!$C$11*$C$5</f>
        <v>1.0872212941959478</v>
      </c>
      <c r="Z178" s="486">
        <f t="shared" si="17"/>
        <v>3.3583075738651473</v>
      </c>
      <c r="AA178" s="1628">
        <f>C178*'4C2 Open-burning '!$C$10*'4C2 Open-burning '!$C$11*$C$5*C$15</f>
        <v>8.9986681961331614E-3</v>
      </c>
      <c r="AB178" s="487">
        <f>D178*'4C2 Open-burning '!$C$10*'4C2 Open-burning '!$C$11*$C$5*D$15</f>
        <v>9.3982561035789135E-3</v>
      </c>
      <c r="AC178" s="487">
        <f>E178*'4C2 Open-burning '!$C$10*'4C2 Open-burning '!$C$11*$C$5*E$15</f>
        <v>5.7756353649312019E-3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2.2580749956377377E-2</v>
      </c>
      <c r="AH178" s="488">
        <f t="shared" si="18"/>
        <v>4.6753309621020658E-2</v>
      </c>
      <c r="AI178" s="1386"/>
      <c r="AJ178" s="1386"/>
      <c r="AK178" s="1386"/>
      <c r="AL178" s="4"/>
      <c r="AM178" s="4"/>
    </row>
    <row r="179" spans="1:39">
      <c r="A179" s="959">
        <f>'Input data'!A140</f>
        <v>2040</v>
      </c>
      <c r="B179" s="560">
        <f>'Recycling - Case 3'!AP120</f>
        <v>4.2820854448557405E-2</v>
      </c>
      <c r="C179" s="527">
        <f>$B179*'Recycling - Case 3'!$AK120*'Recycling - Case 3'!BM120</f>
        <v>249.32719984336106</v>
      </c>
      <c r="D179" s="528">
        <f>$B179*'Recycling - Case 3'!$AK120*'Recycling - Case 3'!BN120</f>
        <v>260.3986308466209</v>
      </c>
      <c r="E179" s="528">
        <f>$B179*'Recycling - Case 3'!$AK120*'Recycling - Case 3'!BO120</f>
        <v>71.122771180906824</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278.06559984588466</v>
      </c>
      <c r="J179" s="744">
        <f t="shared" si="19"/>
        <v>858.9142017167735</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0.37571599595110561</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9.5799160458904176</v>
      </c>
      <c r="R179" s="1382">
        <f t="shared" si="16"/>
        <v>9.9556320418415236</v>
      </c>
      <c r="S179" s="484">
        <f>C179*'4C2 Open-burning '!$C$9*'4C2 Open-burning '!$C$11*$C$5</f>
        <v>0.97237607938910808</v>
      </c>
      <c r="T179" s="485">
        <f>D179*'4C2 Open-burning '!$C$9*'4C2 Open-burning '!$C$11*$C$5</f>
        <v>1.0155546603018215</v>
      </c>
      <c r="U179" s="485">
        <f>E179*'4C2 Open-burning '!$C$9*'4C2 Open-burning '!$C$11*$C$5</f>
        <v>0.27737880760553657</v>
      </c>
      <c r="V179" s="485">
        <f>F179*'4C2 Open-burning '!$C$9*'4C2 Open-burning '!$C$11*$C$5</f>
        <v>0</v>
      </c>
      <c r="W179" s="485">
        <f>G179*'4C2 Open-burning '!$C$9*'4C2 Open-burning '!$C$11*$C$5</f>
        <v>0</v>
      </c>
      <c r="X179" s="485">
        <f>H179*'4C2 Open-burning '!$C$9*'4C2 Open-burning '!$C$11*$C$5</f>
        <v>0</v>
      </c>
      <c r="Y179" s="485">
        <f>I179*'4C2 Open-burning '!$C$9*'4C2 Open-burning '!$C$11*$C$5</f>
        <v>1.0844558393989501</v>
      </c>
      <c r="Z179" s="486">
        <f t="shared" si="17"/>
        <v>3.3497653866954162</v>
      </c>
      <c r="AA179" s="1628">
        <f>C179*'4C2 Open-burning '!$C$10*'4C2 Open-burning '!$C$11*$C$5*C$15</f>
        <v>8.9757791943609975E-3</v>
      </c>
      <c r="AB179" s="487">
        <f>D179*'4C2 Open-burning '!$C$10*'4C2 Open-burning '!$C$11*$C$5*D$15</f>
        <v>9.3743507104783533E-3</v>
      </c>
      <c r="AC179" s="487">
        <f>E179*'4C2 Open-burning '!$C$10*'4C2 Open-burning '!$C$11*$C$5*E$15</f>
        <v>5.7609444656534529E-3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2.2523313587516657E-2</v>
      </c>
      <c r="AH179" s="488">
        <f t="shared" si="18"/>
        <v>4.6634387958009463E-2</v>
      </c>
      <c r="AI179" s="1386"/>
      <c r="AJ179" s="1386"/>
      <c r="AK179" s="1386"/>
      <c r="AL179" s="4"/>
      <c r="AM179" s="4"/>
    </row>
    <row r="180" spans="1:39">
      <c r="A180" s="959">
        <f>'Input data'!A141</f>
        <v>2041</v>
      </c>
      <c r="B180" s="560">
        <f>'Recycling - Case 3'!AP121</f>
        <v>4.2536993118832994E-2</v>
      </c>
      <c r="C180" s="527">
        <f>$B180*'Recycling - Case 3'!$AK121*'Recycling - Case 3'!BM121</f>
        <v>248.7177064132398</v>
      </c>
      <c r="D180" s="528">
        <f>$B180*'Recycling - Case 3'!$AK121*'Recycling - Case 3'!BN121</f>
        <v>259.76207272214316</v>
      </c>
      <c r="E180" s="528">
        <f>$B180*'Recycling - Case 3'!$AK121*'Recycling - Case 3'!BO121</f>
        <v>70.948907832688036</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277.38585388814209</v>
      </c>
      <c r="J180" s="744">
        <f t="shared" si="19"/>
        <v>856.81454085621317</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0.37479753847327113</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9.5564974381542704</v>
      </c>
      <c r="R180" s="1382">
        <f t="shared" si="16"/>
        <v>9.9312949766275409</v>
      </c>
      <c r="S180" s="484">
        <f>C180*'4C2 Open-burning '!$C$9*'4C2 Open-burning '!$C$11*$C$5</f>
        <v>0.96999905501163519</v>
      </c>
      <c r="T180" s="485">
        <f>D180*'4C2 Open-burning '!$C$9*'4C2 Open-burning '!$C$11*$C$5</f>
        <v>1.0130720836163583</v>
      </c>
      <c r="U180" s="485">
        <f>E180*'4C2 Open-burning '!$C$9*'4C2 Open-burning '!$C$11*$C$5</f>
        <v>0.27670074054748334</v>
      </c>
      <c r="V180" s="485">
        <f>F180*'4C2 Open-burning '!$C$9*'4C2 Open-burning '!$C$11*$C$5</f>
        <v>0</v>
      </c>
      <c r="W180" s="485">
        <f>G180*'4C2 Open-burning '!$C$9*'4C2 Open-burning '!$C$11*$C$5</f>
        <v>0</v>
      </c>
      <c r="X180" s="485">
        <f>H180*'4C2 Open-burning '!$C$9*'4C2 Open-burning '!$C$11*$C$5</f>
        <v>0</v>
      </c>
      <c r="Y180" s="485">
        <f>I180*'4C2 Open-burning '!$C$9*'4C2 Open-burning '!$C$11*$C$5</f>
        <v>1.0818048301637542</v>
      </c>
      <c r="Z180" s="486">
        <f t="shared" si="17"/>
        <v>3.3415767093392308</v>
      </c>
      <c r="AA180" s="1628">
        <f>C180*'4C2 Open-burning '!$C$10*'4C2 Open-burning '!$C$11*$C$5*C$15</f>
        <v>8.9538374308766305E-3</v>
      </c>
      <c r="AB180" s="487">
        <f>D180*'4C2 Open-burning '!$C$10*'4C2 Open-burning '!$C$11*$C$5*D$15</f>
        <v>9.3514346179971522E-3</v>
      </c>
      <c r="AC180" s="487">
        <f>E180*'4C2 Open-burning '!$C$10*'4C2 Open-burning '!$C$11*$C$5*E$15</f>
        <v>5.7468615344477298E-3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2.246825416493951E-2</v>
      </c>
      <c r="AH180" s="488">
        <f t="shared" si="18"/>
        <v>4.6520387748261019E-2</v>
      </c>
      <c r="AI180" s="1386"/>
      <c r="AJ180" s="1386"/>
      <c r="AK180" s="1386"/>
      <c r="AL180" s="4"/>
      <c r="AM180" s="4"/>
    </row>
    <row r="181" spans="1:39">
      <c r="A181" s="959">
        <f>'Input data'!A142</f>
        <v>2042</v>
      </c>
      <c r="B181" s="560">
        <f>'Recycling - Case 3'!AP122</f>
        <v>4.2263554593502534E-2</v>
      </c>
      <c r="C181" s="527">
        <f>$B181*'Recycling - Case 3'!$AK122*'Recycling - Case 3'!BM122</f>
        <v>248.13369011039472</v>
      </c>
      <c r="D181" s="528">
        <f>$B181*'Recycling - Case 3'!$AK122*'Recycling - Case 3'!BN122</f>
        <v>259.15212304257147</v>
      </c>
      <c r="E181" s="528">
        <f>$B181*'Recycling - Case 3'!$AK122*'Recycling - Case 3'!BO122</f>
        <v>70.782312058543596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276.73452164812812</v>
      </c>
      <c r="J181" s="744">
        <f t="shared" si="19"/>
        <v>854.80264685963789</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0.37391747297294475</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9.5340577398213089</v>
      </c>
      <c r="R181" s="1382">
        <f t="shared" si="16"/>
        <v>9.9079752127942537</v>
      </c>
      <c r="S181" s="484">
        <f>C181*'4C2 Open-burning '!$C$9*'4C2 Open-burning '!$C$11*$C$5</f>
        <v>0.96772139143053937</v>
      </c>
      <c r="T181" s="485">
        <f>D181*'4C2 Open-burning '!$C$9*'4C2 Open-burning '!$C$11*$C$5</f>
        <v>1.0106932798660286</v>
      </c>
      <c r="U181" s="485">
        <f>E181*'4C2 Open-burning '!$C$9*'4C2 Open-burning '!$C$11*$C$5</f>
        <v>0.27605101702832002</v>
      </c>
      <c r="V181" s="485">
        <f>F181*'4C2 Open-burning '!$C$9*'4C2 Open-burning '!$C$11*$C$5</f>
        <v>0</v>
      </c>
      <c r="W181" s="485">
        <f>G181*'4C2 Open-burning '!$C$9*'4C2 Open-burning '!$C$11*$C$5</f>
        <v>0</v>
      </c>
      <c r="X181" s="485">
        <f>H181*'4C2 Open-burning '!$C$9*'4C2 Open-burning '!$C$11*$C$5</f>
        <v>0</v>
      </c>
      <c r="Y181" s="485">
        <f>I181*'4C2 Open-burning '!$C$9*'4C2 Open-burning '!$C$11*$C$5</f>
        <v>1.0792646344276995</v>
      </c>
      <c r="Z181" s="486">
        <f t="shared" si="17"/>
        <v>3.3337303227525874</v>
      </c>
      <c r="AA181" s="1628">
        <f>C181*'4C2 Open-burning '!$C$10*'4C2 Open-burning '!$C$11*$C$5*C$15</f>
        <v>8.93281284397421E-3</v>
      </c>
      <c r="AB181" s="487">
        <f>D181*'4C2 Open-burning '!$C$10*'4C2 Open-burning '!$C$11*$C$5*D$15</f>
        <v>9.3294764295325724E-3</v>
      </c>
      <c r="AC181" s="487">
        <f>E181*'4C2 Open-burning '!$C$10*'4C2 Open-burning '!$C$11*$C$5*E$15</f>
        <v>5.7333672767420317E-3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2.2415496253498379E-2</v>
      </c>
      <c r="AH181" s="488">
        <f t="shared" si="18"/>
        <v>4.6411152803747191E-2</v>
      </c>
      <c r="AI181" s="1386"/>
      <c r="AJ181" s="1386"/>
      <c r="AK181" s="1386"/>
      <c r="AL181" s="4"/>
      <c r="AM181" s="4"/>
    </row>
    <row r="182" spans="1:39">
      <c r="A182" s="959">
        <f>'Input data'!A143</f>
        <v>2043</v>
      </c>
      <c r="B182" s="560">
        <f>'Recycling - Case 3'!AP123</f>
        <v>4.200032825319204E-2</v>
      </c>
      <c r="C182" s="527">
        <f>$B182*'Recycling - Case 3'!$AK123*'Recycling - Case 3'!BM123</f>
        <v>247.57436204091644</v>
      </c>
      <c r="D182" s="528">
        <f>$B182*'Recycling - Case 3'!$AK123*'Recycling - Case 3'!BN123</f>
        <v>258.56795788298308</v>
      </c>
      <c r="E182" s="528">
        <f>$B182*'Recycling - Case 3'!$AK123*'Recycling - Case 3'!BO123</f>
        <v>70.622758819564652</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276.11072330102508</v>
      </c>
      <c r="J182" s="744">
        <f t="shared" si="19"/>
        <v>852.87580204448932</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0.373074610650585</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9.5125666391669146</v>
      </c>
      <c r="R182" s="1382">
        <f t="shared" si="16"/>
        <v>9.8856412498174997</v>
      </c>
      <c r="S182" s="484">
        <f>C182*'4C2 Open-burning '!$C$9*'4C2 Open-burning '!$C$11*$C$5</f>
        <v>0.96554001195957406</v>
      </c>
      <c r="T182" s="485">
        <f>D182*'4C2 Open-burning '!$C$9*'4C2 Open-burning '!$C$11*$C$5</f>
        <v>1.0084150357436339</v>
      </c>
      <c r="U182" s="485">
        <f>E182*'4C2 Open-burning '!$C$9*'4C2 Open-burning '!$C$11*$C$5</f>
        <v>0.27542875939630207</v>
      </c>
      <c r="V182" s="485">
        <f>F182*'4C2 Open-burning '!$C$9*'4C2 Open-burning '!$C$11*$C$5</f>
        <v>0</v>
      </c>
      <c r="W182" s="485">
        <f>G182*'4C2 Open-burning '!$C$9*'4C2 Open-burning '!$C$11*$C$5</f>
        <v>0</v>
      </c>
      <c r="X182" s="485">
        <f>H182*'4C2 Open-burning '!$C$9*'4C2 Open-burning '!$C$11*$C$5</f>
        <v>0</v>
      </c>
      <c r="Y182" s="485">
        <f>I182*'4C2 Open-burning '!$C$9*'4C2 Open-burning '!$C$11*$C$5</f>
        <v>1.0768318208739978</v>
      </c>
      <c r="Z182" s="486">
        <f t="shared" si="17"/>
        <v>3.3262156279735073</v>
      </c>
      <c r="AA182" s="1628">
        <f>C182*'4C2 Open-burning '!$C$10*'4C2 Open-burning '!$C$11*$C$5*C$15</f>
        <v>8.9126770334729925E-3</v>
      </c>
      <c r="AB182" s="487">
        <f>D182*'4C2 Open-burning '!$C$10*'4C2 Open-burning '!$C$11*$C$5*D$15</f>
        <v>9.3084464837873901E-3</v>
      </c>
      <c r="AC182" s="487">
        <f>E182*'4C2 Open-burning '!$C$10*'4C2 Open-burning '!$C$11*$C$5*E$15</f>
        <v>5.7204434643847368E-3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2.236496858738303E-2</v>
      </c>
      <c r="AH182" s="488">
        <f t="shared" si="18"/>
        <v>4.6306535569028154E-2</v>
      </c>
      <c r="AI182" s="1386"/>
      <c r="AJ182" s="1386"/>
      <c r="AK182" s="1386"/>
      <c r="AL182" s="4"/>
      <c r="AM182" s="4"/>
    </row>
    <row r="183" spans="1:39">
      <c r="A183" s="959">
        <f>'Input data'!A144</f>
        <v>2044</v>
      </c>
      <c r="B183" s="560">
        <f>'Recycling - Case 3'!AP124</f>
        <v>4.1747114415091345E-2</v>
      </c>
      <c r="C183" s="527">
        <f>$B183*'Recycling - Case 3'!$AK124*'Recycling - Case 3'!BM124</f>
        <v>247.0389769503204</v>
      </c>
      <c r="D183" s="528">
        <f>$B183*'Recycling - Case 3'!$AK124*'Recycling - Case 3'!BN124</f>
        <v>258.00879889569853</v>
      </c>
      <c r="E183" s="528">
        <f>$B183*'Recycling - Case 3'!$AK124*'Recycling - Case 3'!BO124</f>
        <v>70.470035525371102</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275.51362769148608</v>
      </c>
      <c r="J183" s="744">
        <f t="shared" si="19"/>
        <v>851.03143906287619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0.37226782846774642</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9.4919955012270769</v>
      </c>
      <c r="R183" s="1382">
        <f t="shared" si="16"/>
        <v>9.8642633296948237</v>
      </c>
      <c r="S183" s="484">
        <f>C183*'4C2 Open-burning '!$C$9*'4C2 Open-burning '!$C$11*$C$5</f>
        <v>0.96345201010624959</v>
      </c>
      <c r="T183" s="485">
        <f>D183*'4C2 Open-burning '!$C$9*'4C2 Open-burning '!$C$11*$C$5</f>
        <v>1.0062343156932241</v>
      </c>
      <c r="U183" s="485">
        <f>E183*'4C2 Open-burning '!$C$9*'4C2 Open-burning '!$C$11*$C$5</f>
        <v>0.27483313854894731</v>
      </c>
      <c r="V183" s="485">
        <f>F183*'4C2 Open-burning '!$C$9*'4C2 Open-burning '!$C$11*$C$5</f>
        <v>0</v>
      </c>
      <c r="W183" s="485">
        <f>G183*'4C2 Open-burning '!$C$9*'4C2 Open-burning '!$C$11*$C$5</f>
        <v>0</v>
      </c>
      <c r="X183" s="485">
        <f>H183*'4C2 Open-burning '!$C$9*'4C2 Open-burning '!$C$11*$C$5</f>
        <v>0</v>
      </c>
      <c r="Y183" s="485">
        <f>I183*'4C2 Open-burning '!$C$9*'4C2 Open-burning '!$C$11*$C$5</f>
        <v>1.0745031479967955</v>
      </c>
      <c r="Z183" s="486">
        <f t="shared" si="17"/>
        <v>3.3190226123452167</v>
      </c>
      <c r="AA183" s="1628">
        <f>C183*'4C2 Open-burning '!$C$10*'4C2 Open-burning '!$C$11*$C$5*C$15</f>
        <v>8.8934031702115335E-3</v>
      </c>
      <c r="AB183" s="487">
        <f>D183*'4C2 Open-burning '!$C$10*'4C2 Open-burning '!$C$11*$C$5*D$15</f>
        <v>9.2883167602451477E-3</v>
      </c>
      <c r="AC183" s="487">
        <f>E183*'4C2 Open-burning '!$C$10*'4C2 Open-burning '!$C$11*$C$5*E$15</f>
        <v>5.7080728775550597E-3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2.2316603843010371E-2</v>
      </c>
      <c r="AH183" s="488">
        <f t="shared" si="18"/>
        <v>4.6206396651022108E-2</v>
      </c>
      <c r="AI183" s="1386"/>
      <c r="AJ183" s="1386"/>
      <c r="AK183" s="1386"/>
      <c r="AL183" s="4"/>
      <c r="AM183" s="4"/>
    </row>
    <row r="184" spans="1:39">
      <c r="A184" s="959">
        <f>'Input data'!A145</f>
        <v>2045</v>
      </c>
      <c r="B184" s="560">
        <f>'Recycling - Case 3'!AP125</f>
        <v>4.1503723790861022E-2</v>
      </c>
      <c r="C184" s="527">
        <f>$B184*'Recycling - Case 3'!$AK125*'Recycling - Case 3'!BM125</f>
        <v>246.52683089292381</v>
      </c>
      <c r="D184" s="528">
        <f>$B184*'Recycling - Case 3'!$AK125*'Recycling - Case 3'!BN125</f>
        <v>257.47391087616694</v>
      </c>
      <c r="E184" s="528">
        <f>$B184*'Recycling - Case 3'!$AK125*'Recycling - Case 3'!BO125</f>
        <v>70.323941369281002</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274.94244973437526</v>
      </c>
      <c r="J184" s="744">
        <f t="shared" si="19"/>
        <v>849.26713287274697</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0.37149606563501858</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9.4723172782486955</v>
      </c>
      <c r="R184" s="1382">
        <f t="shared" si="16"/>
        <v>9.8438133438837134</v>
      </c>
      <c r="S184" s="484">
        <f>C184*'4C2 Open-burning '!$C$9*'4C2 Open-burning '!$C$11*$C$5</f>
        <v>0.96145464048240281</v>
      </c>
      <c r="T184" s="485">
        <f>D184*'4C2 Open-burning '!$C$9*'4C2 Open-burning '!$C$11*$C$5</f>
        <v>1.0041482524170511</v>
      </c>
      <c r="U184" s="485">
        <f>E184*'4C2 Open-burning '!$C$9*'4C2 Open-burning '!$C$11*$C$5</f>
        <v>0.27426337134019585</v>
      </c>
      <c r="V184" s="485">
        <f>F184*'4C2 Open-burning '!$C$9*'4C2 Open-burning '!$C$11*$C$5</f>
        <v>0</v>
      </c>
      <c r="W184" s="485">
        <f>G184*'4C2 Open-burning '!$C$9*'4C2 Open-burning '!$C$11*$C$5</f>
        <v>0</v>
      </c>
      <c r="X184" s="485">
        <f>H184*'4C2 Open-burning '!$C$9*'4C2 Open-burning '!$C$11*$C$5</f>
        <v>0</v>
      </c>
      <c r="Y184" s="485">
        <f>I184*'4C2 Open-burning '!$C$9*'4C2 Open-burning '!$C$11*$C$5</f>
        <v>1.0722755539640634</v>
      </c>
      <c r="Z184" s="486">
        <f t="shared" si="17"/>
        <v>3.3121418182037132</v>
      </c>
      <c r="AA184" s="1628">
        <f>C184*'4C2 Open-burning '!$C$10*'4C2 Open-burning '!$C$11*$C$5*C$15</f>
        <v>8.8749659121452572E-3</v>
      </c>
      <c r="AB184" s="487">
        <f>D184*'4C2 Open-burning '!$C$10*'4C2 Open-burning '!$C$11*$C$5*D$15</f>
        <v>9.2690607915420081E-3</v>
      </c>
      <c r="AC184" s="487">
        <f>E184*'4C2 Open-burning '!$C$10*'4C2 Open-burning '!$C$11*$C$5*E$15</f>
        <v>5.6962392509117615E-3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2.2270338428484394E-2</v>
      </c>
      <c r="AH184" s="488">
        <f t="shared" si="18"/>
        <v>4.6110604383083426E-2</v>
      </c>
      <c r="AI184" s="1386"/>
      <c r="AJ184" s="1386"/>
      <c r="AK184" s="1386"/>
      <c r="AL184" s="4"/>
      <c r="AM184" s="4"/>
    </row>
    <row r="185" spans="1:39">
      <c r="A185" s="959">
        <f>'Input data'!A146</f>
        <v>2046</v>
      </c>
      <c r="B185" s="560">
        <f>'Recycling - Case 3'!AP126</f>
        <v>4.126929528396954E-2</v>
      </c>
      <c r="C185" s="527">
        <f>$B185*'Recycling - Case 3'!$AK126*'Recycling - Case 3'!BM126</f>
        <v>246.03583455135774</v>
      </c>
      <c r="D185" s="528">
        <f>$B185*'Recycling - Case 3'!$AK126*'Recycling - Case 3'!BN126</f>
        <v>256.96111173040657</v>
      </c>
      <c r="E185" s="528">
        <f>$B185*'Recycling - Case 3'!$AK126*'Recycling - Case 3'!BO126</f>
        <v>70.183880355184641</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274.39485928966855</v>
      </c>
      <c r="J185" s="744">
        <f t="shared" si="19"/>
        <v>847.57568592661755</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0.37075617371951258</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9.4534516922476595</v>
      </c>
      <c r="R185" s="1382">
        <f t="shared" si="16"/>
        <v>9.8242078659671712</v>
      </c>
      <c r="S185" s="484">
        <f>C185*'4C2 Open-burning '!$C$9*'4C2 Open-burning '!$C$11*$C$5</f>
        <v>0.95953975475029507</v>
      </c>
      <c r="T185" s="485">
        <f>D185*'4C2 Open-burning '!$C$9*'4C2 Open-burning '!$C$11*$C$5</f>
        <v>1.0021483357485856</v>
      </c>
      <c r="U185" s="485">
        <f>E185*'4C2 Open-burning '!$C$9*'4C2 Open-burning '!$C$11*$C$5</f>
        <v>0.27371713338522008</v>
      </c>
      <c r="V185" s="485">
        <f>F185*'4C2 Open-burning '!$C$9*'4C2 Open-burning '!$C$11*$C$5</f>
        <v>0</v>
      </c>
      <c r="W185" s="485">
        <f>G185*'4C2 Open-burning '!$C$9*'4C2 Open-burning '!$C$11*$C$5</f>
        <v>0</v>
      </c>
      <c r="X185" s="485">
        <f>H185*'4C2 Open-burning '!$C$9*'4C2 Open-burning '!$C$11*$C$5</f>
        <v>0</v>
      </c>
      <c r="Y185" s="485">
        <f>I185*'4C2 Open-burning '!$C$9*'4C2 Open-burning '!$C$11*$C$5</f>
        <v>1.0701399512297072</v>
      </c>
      <c r="Z185" s="486">
        <f t="shared" si="17"/>
        <v>3.3055451751138079</v>
      </c>
      <c r="AA185" s="1628">
        <f>C185*'4C2 Open-burning '!$C$10*'4C2 Open-burning '!$C$11*$C$5*C$15</f>
        <v>8.857290043848878E-3</v>
      </c>
      <c r="AB185" s="487">
        <f>D185*'4C2 Open-burning '!$C$10*'4C2 Open-burning '!$C$11*$C$5*D$15</f>
        <v>9.2506000222946343E-3</v>
      </c>
      <c r="AC185" s="487">
        <f>E185*'4C2 Open-burning '!$C$10*'4C2 Open-burning '!$C$11*$C$5*E$15</f>
        <v>5.684894308769956E-3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2.222598360246315E-2</v>
      </c>
      <c r="AH185" s="488">
        <f t="shared" si="18"/>
        <v>4.6018767977376619E-2</v>
      </c>
      <c r="AI185" s="1386"/>
      <c r="AJ185" s="1386"/>
      <c r="AK185" s="1386"/>
      <c r="AL185" s="4"/>
      <c r="AM185" s="4"/>
    </row>
    <row r="186" spans="1:39">
      <c r="A186" s="959">
        <f>'Input data'!A147</f>
        <v>2047</v>
      </c>
      <c r="B186" s="560">
        <f>'Recycling - Case 3'!AP127</f>
        <v>4.1043671168165985E-2</v>
      </c>
      <c r="C186" s="527">
        <f>$B186*'Recycling - Case 3'!$AK127*'Recycling - Case 3'!BM127</f>
        <v>245.56540459284281</v>
      </c>
      <c r="D186" s="528">
        <f>$B186*'Recycling - Case 3'!$AK127*'Recycling - Case 3'!BN127</f>
        <v>256.46979222261331</v>
      </c>
      <c r="E186" s="528">
        <f>$B186*'Recycling - Case 3'!$AK127*'Recycling - Case 3'!BO127</f>
        <v>70.049686082288957</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273.87020578743488</v>
      </c>
      <c r="J186" s="744">
        <f t="shared" si="19"/>
        <v>845.95508868517993</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0.37004727368574292</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9.4353763297887063</v>
      </c>
      <c r="R186" s="1382">
        <f t="shared" si="16"/>
        <v>9.8054236034744484</v>
      </c>
      <c r="S186" s="484">
        <f>C186*'4C2 Open-burning '!$C$9*'4C2 Open-burning '!$C$11*$C$5</f>
        <v>0.95770507791208681</v>
      </c>
      <c r="T186" s="485">
        <f>D186*'4C2 Open-burning '!$C$9*'4C2 Open-burning '!$C$11*$C$5</f>
        <v>1.0002321896681918</v>
      </c>
      <c r="U186" s="485">
        <f>E186*'4C2 Open-burning '!$C$9*'4C2 Open-burning '!$C$11*$C$5</f>
        <v>0.2731937757209269</v>
      </c>
      <c r="V186" s="485">
        <f>F186*'4C2 Open-burning '!$C$9*'4C2 Open-burning '!$C$11*$C$5</f>
        <v>0</v>
      </c>
      <c r="W186" s="485">
        <f>G186*'4C2 Open-burning '!$C$9*'4C2 Open-burning '!$C$11*$C$5</f>
        <v>0</v>
      </c>
      <c r="X186" s="485">
        <f>H186*'4C2 Open-burning '!$C$9*'4C2 Open-burning '!$C$11*$C$5</f>
        <v>0</v>
      </c>
      <c r="Y186" s="485">
        <f>I186*'4C2 Open-burning '!$C$9*'4C2 Open-burning '!$C$11*$C$5</f>
        <v>1.0680938025709961</v>
      </c>
      <c r="Z186" s="486">
        <f t="shared" si="17"/>
        <v>3.2992248458722018</v>
      </c>
      <c r="AA186" s="1628">
        <f>C186*'4C2 Open-burning '!$C$10*'4C2 Open-burning '!$C$11*$C$5*C$15</f>
        <v>8.8403545653423423E-3</v>
      </c>
      <c r="AB186" s="487">
        <f>D186*'4C2 Open-burning '!$C$10*'4C2 Open-burning '!$C$11*$C$5*D$15</f>
        <v>9.2329125200140798E-3</v>
      </c>
      <c r="AC186" s="487">
        <f>E186*'4C2 Open-burning '!$C$10*'4C2 Open-burning '!$C$11*$C$5*E$15</f>
        <v>5.6740245726654053E-3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2.2183486668782226E-2</v>
      </c>
      <c r="AH186" s="488">
        <f t="shared" si="18"/>
        <v>4.5930778326804048E-2</v>
      </c>
      <c r="AI186" s="1386"/>
      <c r="AJ186" s="1386"/>
      <c r="AK186" s="1386"/>
      <c r="AL186" s="4"/>
      <c r="AM186" s="4"/>
    </row>
    <row r="187" spans="1:39">
      <c r="A187" s="959">
        <f>'Input data'!A148</f>
        <v>2048</v>
      </c>
      <c r="B187" s="560">
        <f>'Recycling - Case 3'!AP128</f>
        <v>4.0826701603879002E-2</v>
      </c>
      <c r="C187" s="527">
        <f>$B187*'Recycling - Case 3'!$AK128*'Recycling - Case 3'!BM128</f>
        <v>245.11498876208819</v>
      </c>
      <c r="D187" s="528">
        <f>$B187*'Recycling - Case 3'!$AK128*'Recycling - Case 3'!BN128</f>
        <v>255.99937557447447</v>
      </c>
      <c r="E187" s="528">
        <f>$B187*'Recycling - Case 3'!$AK128*'Recycling - Case 3'!BO128</f>
        <v>69.921201014927078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273.36787331734115</v>
      </c>
      <c r="J187" s="744">
        <f t="shared" si="19"/>
        <v>844.40343866883086</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0.36936853332949438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9.4180699715290359</v>
      </c>
      <c r="R187" s="1382">
        <f t="shared" si="16"/>
        <v>9.78743850485853</v>
      </c>
      <c r="S187" s="484">
        <f>C187*'4C2 Open-burning '!$C$9*'4C2 Open-burning '!$C$11*$C$5</f>
        <v>0.95594845617214386</v>
      </c>
      <c r="T187" s="485">
        <f>D187*'4C2 Open-burning '!$C$9*'4C2 Open-burning '!$C$11*$C$5</f>
        <v>0.99839756474045027</v>
      </c>
      <c r="U187" s="485">
        <f>E187*'4C2 Open-burning '!$C$9*'4C2 Open-burning '!$C$11*$C$5</f>
        <v>0.27269268395821555</v>
      </c>
      <c r="V187" s="485">
        <f>F187*'4C2 Open-burning '!$C$9*'4C2 Open-burning '!$C$11*$C$5</f>
        <v>0</v>
      </c>
      <c r="W187" s="485">
        <f>G187*'4C2 Open-burning '!$C$9*'4C2 Open-burning '!$C$11*$C$5</f>
        <v>0</v>
      </c>
      <c r="X187" s="485">
        <f>H187*'4C2 Open-burning '!$C$9*'4C2 Open-burning '!$C$11*$C$5</f>
        <v>0</v>
      </c>
      <c r="Y187" s="485">
        <f>I187*'4C2 Open-burning '!$C$9*'4C2 Open-burning '!$C$11*$C$5</f>
        <v>1.0661347059376303</v>
      </c>
      <c r="Z187" s="486">
        <f t="shared" si="17"/>
        <v>3.2931734108084401</v>
      </c>
      <c r="AA187" s="1628">
        <f>C187*'4C2 Open-burning '!$C$10*'4C2 Open-burning '!$C$11*$C$5*C$15</f>
        <v>8.8241395954351733E-3</v>
      </c>
      <c r="AB187" s="487">
        <f>D187*'4C2 Open-burning '!$C$10*'4C2 Open-burning '!$C$11*$C$5*D$15</f>
        <v>9.21597752068108E-3</v>
      </c>
      <c r="AC187" s="487">
        <f>E187*'4C2 Open-burning '!$C$10*'4C2 Open-burning '!$C$11*$C$5*E$15</f>
        <v>5.663617282209093E-3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2.2142797738704634E-2</v>
      </c>
      <c r="AH187" s="488">
        <f t="shared" si="18"/>
        <v>4.584653213702998E-2</v>
      </c>
      <c r="AI187" s="1386"/>
      <c r="AJ187" s="1386"/>
      <c r="AK187" s="1386"/>
      <c r="AL187" s="4"/>
      <c r="AM187" s="4"/>
    </row>
    <row r="188" spans="1:39">
      <c r="A188" s="959">
        <f>'Input data'!A149</f>
        <v>2049</v>
      </c>
      <c r="B188" s="560">
        <f>'Recycling - Case 3'!AP129</f>
        <v>4.0618244292031702E-2</v>
      </c>
      <c r="C188" s="527">
        <f>$B188*'Recycling - Case 3'!$AK129*'Recycling - Case 3'!BM129</f>
        <v>244.68406438198275</v>
      </c>
      <c r="D188" s="528">
        <f>$B188*'Recycling - Case 3'!$AK129*'Recycling - Case 3'!BN129</f>
        <v>255.54931589928304</v>
      </c>
      <c r="E188" s="528">
        <f>$B188*'Recycling - Case 3'!$AK129*'Recycling - Case 3'!BO129</f>
        <v>69.7982760548675</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272.88727895652727</v>
      </c>
      <c r="J188" s="744">
        <f t="shared" si="19"/>
        <v>842.91893529266054</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0.36871916501848523</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9.4015125346102764</v>
      </c>
      <c r="R188" s="1382">
        <f t="shared" si="16"/>
        <v>9.770231699628761</v>
      </c>
      <c r="S188" s="484">
        <f>C188*'4C2 Open-burning '!$C$9*'4C2 Open-burning '!$C$11*$C$5</f>
        <v>0.95426785108973256</v>
      </c>
      <c r="T188" s="485">
        <f>D188*'4C2 Open-burning '!$C$9*'4C2 Open-burning '!$C$11*$C$5</f>
        <v>0.99664233200720387</v>
      </c>
      <c r="U188" s="485">
        <f>E188*'4C2 Open-burning '!$C$9*'4C2 Open-burning '!$C$11*$C$5</f>
        <v>0.2722132766139832</v>
      </c>
      <c r="V188" s="485">
        <f>F188*'4C2 Open-burning '!$C$9*'4C2 Open-burning '!$C$11*$C$5</f>
        <v>0</v>
      </c>
      <c r="W188" s="485">
        <f>G188*'4C2 Open-burning '!$C$9*'4C2 Open-burning '!$C$11*$C$5</f>
        <v>0</v>
      </c>
      <c r="X188" s="485">
        <f>H188*'4C2 Open-burning '!$C$9*'4C2 Open-burning '!$C$11*$C$5</f>
        <v>0</v>
      </c>
      <c r="Y188" s="485">
        <f>I188*'4C2 Open-burning '!$C$9*'4C2 Open-burning '!$C$11*$C$5</f>
        <v>1.0642603879304562</v>
      </c>
      <c r="Z188" s="486">
        <f t="shared" si="17"/>
        <v>3.2873838476413759</v>
      </c>
      <c r="AA188" s="1628">
        <f>C188*'4C2 Open-burning '!$C$10*'4C2 Open-burning '!$C$11*$C$5*C$15</f>
        <v>8.808626317751379E-3</v>
      </c>
      <c r="AB188" s="487">
        <f>D188*'4C2 Open-burning '!$C$10*'4C2 Open-burning '!$C$11*$C$5*D$15</f>
        <v>9.1997753723741891E-3</v>
      </c>
      <c r="AC188" s="487">
        <f>E188*'4C2 Open-burning '!$C$10*'4C2 Open-burning '!$C$11*$C$5*E$15</f>
        <v>5.6536603604442669E-3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2.2103869595478706E-2</v>
      </c>
      <c r="AH188" s="488">
        <f t="shared" si="18"/>
        <v>4.5765931646048544E-2</v>
      </c>
      <c r="AI188" s="1386"/>
      <c r="AJ188" s="1386"/>
      <c r="AK188" s="1386"/>
      <c r="AL188" s="4"/>
      <c r="AM188" s="4"/>
    </row>
    <row r="189" spans="1:39" ht="15.75" thickBot="1">
      <c r="A189" s="960">
        <f>'Input data'!A150</f>
        <v>2050</v>
      </c>
      <c r="B189" s="797">
        <f>'Recycling - Case 3'!AP130</f>
        <v>4.0418164152386707E-2</v>
      </c>
      <c r="C189" s="670">
        <f>$B189*'Recycling - Case 3'!$AK130*'Recycling - Case 3'!BM130</f>
        <v>244.27213695730964</v>
      </c>
      <c r="D189" s="667">
        <f>$B189*'Recycling - Case 3'!$AK130*'Recycling - Case 3'!BN130</f>
        <v>255.11909674364966</v>
      </c>
      <c r="E189" s="667">
        <f>$B189*'Recycling - Case 3'!$AK130*'Recycling - Case 3'!BO130</f>
        <v>69.68077014301123</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272.42787121237961</v>
      </c>
      <c r="J189" s="936">
        <f t="shared" si="19"/>
        <v>841.49987505635022</v>
      </c>
      <c r="K189" s="1383">
        <f>'4C2 Open-burning '!C$14*'4C2 Open-burning '!$C$5*'4C2 Open-burning '!$C$6*'4C2 Open-burning '!$C$7*C189</f>
        <v>0</v>
      </c>
      <c r="L189" s="1383">
        <f>'4C2 Open-burning '!D$14*'4C2 Open-burning '!$C$5*'4C2 Open-burning '!$C$6*'4C2 Open-burning '!$C$7*D189</f>
        <v>0</v>
      </c>
      <c r="M189" s="1383">
        <f>'4C2 Open-burning '!E$14*'4C2 Open-burning '!$C$5*'4C2 Open-burning '!$C$6*'4C2 Open-burning '!$C$7*E189</f>
        <v>0.36809842358827682</v>
      </c>
      <c r="N189" s="1383">
        <f>'4C2 Open-burning '!F$14*'4C2 Open-burning '!$C$5*'4C2 Open-burning '!$C$6*'4C2 Open-burning '!$C$7*F189</f>
        <v>0</v>
      </c>
      <c r="O189" s="1383">
        <f>'4C2 Open-burning '!G$14*'4C2 Open-burning '!$C$5*'4C2 Open-burning '!$C$6*'4C2 Open-burning '!$C$7*G189</f>
        <v>0</v>
      </c>
      <c r="P189" s="1383">
        <f>'4C2 Open-burning '!H$14*'4C2 Open-burning '!$C$5*'4C2 Open-burning '!$C$6*'4C2 Open-burning '!$C$7*H189</f>
        <v>0</v>
      </c>
      <c r="Q189" s="1383">
        <f>'4C2 Open-burning '!I$14*'4C2 Open-burning '!$C$5*'4C2 Open-burning '!$C$6*'4C2 Open-burning '!$C$7*I189</f>
        <v>9.3856850190089016</v>
      </c>
      <c r="R189" s="1384">
        <f t="shared" si="16"/>
        <v>9.7537834425971788</v>
      </c>
      <c r="S189" s="490">
        <f>C189*'4C2 Open-burning '!$C$9*'4C2 Open-burning '!$C$11*$C$5</f>
        <v>0.95266133413350751</v>
      </c>
      <c r="T189" s="491">
        <f>D189*'4C2 Open-burning '!$C$9*'4C2 Open-burning '!$C$11*$C$5</f>
        <v>0.99496447730023352</v>
      </c>
      <c r="U189" s="491">
        <f>E189*'4C2 Open-burning '!$C$9*'4C2 Open-burning '!$C$11*$C$5</f>
        <v>0.27175500355774379</v>
      </c>
      <c r="V189" s="491">
        <f>F189*'4C2 Open-burning '!$C$9*'4C2 Open-burning '!$C$11*$C$5</f>
        <v>0</v>
      </c>
      <c r="W189" s="491">
        <f>G189*'4C2 Open-burning '!$C$9*'4C2 Open-burning '!$C$11*$C$5</f>
        <v>0</v>
      </c>
      <c r="X189" s="491">
        <f>H189*'4C2 Open-burning '!$C$9*'4C2 Open-burning '!$C$11*$C$5</f>
        <v>0</v>
      </c>
      <c r="Y189" s="491">
        <f>I189*'4C2 Open-burning '!$C$9*'4C2 Open-burning '!$C$11*$C$5</f>
        <v>1.0624686977282805</v>
      </c>
      <c r="Z189" s="492">
        <f t="shared" si="17"/>
        <v>3.2818495127197651</v>
      </c>
      <c r="AA189" s="1629">
        <f>C189*'4C2 Open-burning '!$C$10*'4C2 Open-burning '!$C$11*$C$5*C$15</f>
        <v>8.7937969304631471E-3</v>
      </c>
      <c r="AB189" s="1630">
        <f>D189*'4C2 Open-burning '!$C$10*'4C2 Open-burning '!$C$11*$C$5*D$15</f>
        <v>9.1842874827713882E-3</v>
      </c>
      <c r="AC189" s="1630">
        <f>E189*'4C2 Open-burning '!$C$10*'4C2 Open-burning '!$C$11*$C$5*E$15</f>
        <v>5.644142381583909E-3</v>
      </c>
      <c r="AD189" s="1630">
        <f>F189*'4C2 Open-burning '!$C$10*'4C2 Open-burning '!$C$11*$C$5*F$15</f>
        <v>0</v>
      </c>
      <c r="AE189" s="1630">
        <f>G189*'4C2 Open-burning '!$C$10*'4C2 Open-burning '!$C$11*$C$5*G$15</f>
        <v>0</v>
      </c>
      <c r="AF189" s="1630">
        <f>H189*'4C2 Open-burning '!$C$10*'4C2 Open-burning '!$C$11*$C$5*H$15</f>
        <v>0</v>
      </c>
      <c r="AG189" s="1630">
        <f>I189*'4C2 Open-burning '!$C$10*'4C2 Open-burning '!$C$11*$C$5*I$15</f>
        <v>2.2066657568202752E-2</v>
      </c>
      <c r="AH189" s="493">
        <f t="shared" si="18"/>
        <v>4.5688884363021195E-2</v>
      </c>
      <c r="AI189" s="1386"/>
      <c r="AJ189" s="1386"/>
      <c r="AK189" s="1386"/>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6"/>
      <c r="AJ190" s="1388"/>
      <c r="AK190" s="1386"/>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6"/>
      <c r="AJ191" s="1388"/>
      <c r="AK191" s="1386"/>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6"/>
      <c r="AJ192" s="1388"/>
      <c r="AK192" s="1386"/>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6"/>
      <c r="AJ193" s="1388"/>
      <c r="AK193" s="1386"/>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6"/>
      <c r="AJ194" s="1388"/>
      <c r="AK194" s="1386"/>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6"/>
      <c r="AJ195" s="1388"/>
      <c r="AK195" s="1386"/>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6"/>
      <c r="AJ196" s="1388"/>
      <c r="AK196" s="1386"/>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6"/>
      <c r="AJ197" s="1388"/>
      <c r="AK197" s="1386"/>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6"/>
      <c r="AJ198" s="1388"/>
      <c r="AK198" s="1386"/>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6"/>
      <c r="AJ199" s="1388"/>
      <c r="AK199" s="1386"/>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6"/>
      <c r="AJ200" s="1388"/>
      <c r="AK200" s="1386"/>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6"/>
      <c r="AJ201" s="1388"/>
      <c r="AK201" s="1386"/>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6"/>
      <c r="AJ202" s="1388"/>
      <c r="AK202" s="1386"/>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6"/>
      <c r="AJ203" s="1388"/>
      <c r="AK203" s="1386"/>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88"/>
      <c r="AJ204" s="1388"/>
      <c r="AK204" s="1388"/>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88"/>
      <c r="AJ205" s="1388"/>
      <c r="AK205" s="1388"/>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0" t="s">
        <v>217</v>
      </c>
      <c r="B55" s="546" t="s">
        <v>218</v>
      </c>
      <c r="C55" s="547" t="s">
        <v>501</v>
      </c>
      <c r="D55" s="548" t="s">
        <v>504</v>
      </c>
      <c r="E55" s="549" t="s">
        <v>296</v>
      </c>
      <c r="F55" s="550" t="s">
        <v>309</v>
      </c>
      <c r="G55" s="551" t="s">
        <v>310</v>
      </c>
      <c r="H55" s="1835" t="s">
        <v>6</v>
      </c>
      <c r="I55" s="1898"/>
      <c r="J55" s="1898"/>
      <c r="K55" s="1898"/>
      <c r="L55" s="1898"/>
      <c r="M55" s="1836"/>
      <c r="N55" s="1835" t="s">
        <v>298</v>
      </c>
      <c r="O55" s="1898"/>
      <c r="P55" s="1898"/>
      <c r="Q55" s="1898"/>
      <c r="R55" s="1898"/>
      <c r="S55" s="1836"/>
      <c r="T55" s="1835" t="s">
        <v>299</v>
      </c>
      <c r="U55" s="1898"/>
      <c r="V55" s="1898"/>
      <c r="W55" s="1898"/>
      <c r="X55" s="1898"/>
      <c r="Y55" s="1836"/>
      <c r="Z55" s="2007" t="s">
        <v>308</v>
      </c>
      <c r="AA55" s="1873"/>
      <c r="AB55" s="1873"/>
      <c r="AC55" s="1873"/>
      <c r="AD55" s="1873"/>
      <c r="AE55" s="1873"/>
      <c r="AF55" s="1874"/>
      <c r="AG55" s="2007" t="s">
        <v>307</v>
      </c>
      <c r="AH55" s="1873"/>
      <c r="AI55" s="1873"/>
      <c r="AJ55" s="1873"/>
      <c r="AK55" s="1873"/>
      <c r="AL55" s="1873"/>
      <c r="AM55" s="1874"/>
      <c r="AN55" s="2007" t="s">
        <v>306</v>
      </c>
      <c r="AO55" s="1873"/>
      <c r="AP55" s="1873"/>
      <c r="AQ55" s="1873"/>
      <c r="AR55" s="1873"/>
      <c r="AS55" s="1873"/>
      <c r="AT55" s="1874"/>
      <c r="AU55" s="250" t="s">
        <v>311</v>
      </c>
      <c r="AV55" s="245" t="s">
        <v>305</v>
      </c>
      <c r="AW55" s="247" t="s">
        <v>313</v>
      </c>
    </row>
    <row r="56" spans="1:49" ht="60.75"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59.233695328537607</v>
      </c>
      <c r="C128" s="417">
        <f>'Recycling - Case 1'!E100</f>
        <v>0.74072727272727268</v>
      </c>
      <c r="D128" s="525">
        <f>'Recycling - Case 1'!F100</f>
        <v>0.29665909090909087</v>
      </c>
      <c r="E128" s="235">
        <f t="shared" si="76"/>
        <v>921943591.36221528</v>
      </c>
      <c r="F128" s="236">
        <v>0</v>
      </c>
      <c r="G128" s="237">
        <f t="shared" si="78"/>
        <v>921943591.36221528</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11691920.999548096</v>
      </c>
      <c r="AA128" s="236">
        <f t="shared" si="101"/>
        <v>0</v>
      </c>
      <c r="AB128" s="236">
        <f t="shared" si="102"/>
        <v>11691920.999548096</v>
      </c>
      <c r="AC128" s="236">
        <f t="shared" si="103"/>
        <v>6547475.7597469343</v>
      </c>
      <c r="AD128" s="236">
        <f t="shared" si="104"/>
        <v>935353.67996384739</v>
      </c>
      <c r="AE128" s="236">
        <f t="shared" si="105"/>
        <v>0</v>
      </c>
      <c r="AF128" s="242">
        <f t="shared" si="80"/>
        <v>30866671.438806973</v>
      </c>
      <c r="AG128" s="235">
        <f t="shared" si="106"/>
        <v>0</v>
      </c>
      <c r="AH128" s="236">
        <f t="shared" si="107"/>
        <v>0</v>
      </c>
      <c r="AI128" s="236">
        <f t="shared" si="108"/>
        <v>4978495.3933559619</v>
      </c>
      <c r="AJ128" s="236">
        <f t="shared" si="109"/>
        <v>995699.07867119228</v>
      </c>
      <c r="AK128" s="236">
        <f t="shared" si="110"/>
        <v>0</v>
      </c>
      <c r="AL128" s="236">
        <f t="shared" si="111"/>
        <v>0</v>
      </c>
      <c r="AM128" s="242">
        <f t="shared" si="81"/>
        <v>5974194.4720271546</v>
      </c>
      <c r="AN128" s="235">
        <f t="shared" si="112"/>
        <v>47125984.803017236</v>
      </c>
      <c r="AO128" s="236">
        <f t="shared" si="113"/>
        <v>0</v>
      </c>
      <c r="AP128" s="236">
        <f t="shared" si="114"/>
        <v>23562992.401508618</v>
      </c>
      <c r="AQ128" s="236">
        <f t="shared" si="115"/>
        <v>33265401.037423927</v>
      </c>
      <c r="AR128" s="236">
        <f t="shared" si="116"/>
        <v>1386058.3765593306</v>
      </c>
      <c r="AS128" s="236">
        <f t="shared" si="82"/>
        <v>0</v>
      </c>
      <c r="AT128" s="242">
        <f t="shared" si="83"/>
        <v>105340436.61850911</v>
      </c>
      <c r="AU128" s="254">
        <v>0</v>
      </c>
      <c r="AV128" s="246">
        <f t="shared" si="84"/>
        <v>142.18130252934324</v>
      </c>
      <c r="AW128" s="257">
        <f t="shared" si="77"/>
        <v>2.9866449441145018</v>
      </c>
    </row>
    <row r="129" spans="1:49">
      <c r="A129" s="193">
        <f>'Input data'!A121</f>
        <v>2021</v>
      </c>
      <c r="B129" s="208">
        <f>'Input data'!B121</f>
        <v>60.170135702880636</v>
      </c>
      <c r="C129" s="417">
        <f>'Recycling - Case 1'!E101</f>
        <v>0.74936969696969691</v>
      </c>
      <c r="D129" s="525">
        <f>'Recycling - Case 1'!F101</f>
        <v>0.29901212121212117</v>
      </c>
      <c r="E129" s="235">
        <f t="shared" si="76"/>
        <v>936518829.27418208</v>
      </c>
      <c r="F129" s="236">
        <v>0</v>
      </c>
      <c r="G129" s="237">
        <f t="shared" si="78"/>
        <v>936518829.27418208</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12183258.588103227</v>
      </c>
      <c r="AA129" s="236">
        <f t="shared" si="101"/>
        <v>0</v>
      </c>
      <c r="AB129" s="236">
        <f t="shared" si="102"/>
        <v>12183258.588103227</v>
      </c>
      <c r="AC129" s="236">
        <f t="shared" si="103"/>
        <v>6822624.8093378069</v>
      </c>
      <c r="AD129" s="236">
        <f t="shared" si="104"/>
        <v>974660.68704825768</v>
      </c>
      <c r="AE129" s="236">
        <f t="shared" si="105"/>
        <v>0</v>
      </c>
      <c r="AF129" s="242">
        <f t="shared" si="80"/>
        <v>32163802.672592517</v>
      </c>
      <c r="AG129" s="235">
        <f t="shared" si="106"/>
        <v>0</v>
      </c>
      <c r="AH129" s="236">
        <f t="shared" si="107"/>
        <v>0</v>
      </c>
      <c r="AI129" s="236">
        <f t="shared" si="108"/>
        <v>5057201.678080583</v>
      </c>
      <c r="AJ129" s="236">
        <f t="shared" si="109"/>
        <v>1011440.3356161166</v>
      </c>
      <c r="AK129" s="236">
        <f t="shared" si="110"/>
        <v>0</v>
      </c>
      <c r="AL129" s="236">
        <f t="shared" si="111"/>
        <v>0</v>
      </c>
      <c r="AM129" s="242">
        <f t="shared" si="81"/>
        <v>6068642.0136966994</v>
      </c>
      <c r="AN129" s="235">
        <f t="shared" si="112"/>
        <v>48225611.423097059</v>
      </c>
      <c r="AO129" s="236">
        <f t="shared" si="113"/>
        <v>0</v>
      </c>
      <c r="AP129" s="236">
        <f t="shared" si="114"/>
        <v>24112805.71154853</v>
      </c>
      <c r="AQ129" s="236">
        <f t="shared" si="115"/>
        <v>34041608.063362643</v>
      </c>
      <c r="AR129" s="236">
        <f t="shared" si="116"/>
        <v>1418400.3359734435</v>
      </c>
      <c r="AS129" s="236">
        <f t="shared" si="82"/>
        <v>0</v>
      </c>
      <c r="AT129" s="242">
        <f t="shared" si="83"/>
        <v>107798425.53398167</v>
      </c>
      <c r="AU129" s="254">
        <v>0</v>
      </c>
      <c r="AV129" s="246">
        <f t="shared" si="84"/>
        <v>146.03087022027088</v>
      </c>
      <c r="AW129" s="257">
        <f t="shared" si="77"/>
        <v>3.0338615645529843</v>
      </c>
    </row>
    <row r="130" spans="1:49">
      <c r="A130" s="193">
        <f>'Input data'!A122</f>
        <v>2022</v>
      </c>
      <c r="B130" s="208">
        <f>'Input data'!B122</f>
        <v>61.14166465104848</v>
      </c>
      <c r="C130" s="417">
        <f>'Recycling - Case 1'!E102</f>
        <v>0.75801212121212114</v>
      </c>
      <c r="D130" s="525">
        <f>'Recycling - Case 1'!F102</f>
        <v>0.30136515151515147</v>
      </c>
      <c r="E130" s="235">
        <f t="shared" si="76"/>
        <v>951640203.73205233</v>
      </c>
      <c r="F130" s="236">
        <v>0</v>
      </c>
      <c r="G130" s="237">
        <f t="shared" si="78"/>
        <v>951640203.73205233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12691419.807953829</v>
      </c>
      <c r="AA130" s="236">
        <f t="shared" si="101"/>
        <v>0</v>
      </c>
      <c r="AB130" s="236">
        <f t="shared" si="102"/>
        <v>12691419.807953829</v>
      </c>
      <c r="AC130" s="236">
        <f t="shared" si="103"/>
        <v>7107195.0924541429</v>
      </c>
      <c r="AD130" s="236">
        <f t="shared" si="104"/>
        <v>1015313.5846363058</v>
      </c>
      <c r="AE130" s="236">
        <f t="shared" si="105"/>
        <v>0</v>
      </c>
      <c r="AF130" s="242">
        <f t="shared" si="80"/>
        <v>33505348.292998105</v>
      </c>
      <c r="AG130" s="235">
        <f t="shared" si="106"/>
        <v>0</v>
      </c>
      <c r="AH130" s="236">
        <f t="shared" si="107"/>
        <v>0</v>
      </c>
      <c r="AI130" s="236">
        <f t="shared" si="108"/>
        <v>5138857.1001530821</v>
      </c>
      <c r="AJ130" s="236">
        <f t="shared" si="109"/>
        <v>1027771.4200306163</v>
      </c>
      <c r="AK130" s="236">
        <f t="shared" si="110"/>
        <v>0</v>
      </c>
      <c r="AL130" s="236">
        <f t="shared" si="111"/>
        <v>0</v>
      </c>
      <c r="AM130" s="242">
        <f t="shared" si="81"/>
        <v>6166628.5201836983</v>
      </c>
      <c r="AN130" s="235">
        <f t="shared" si="112"/>
        <v>49364605.313684337</v>
      </c>
      <c r="AO130" s="236">
        <f t="shared" si="113"/>
        <v>0</v>
      </c>
      <c r="AP130" s="236">
        <f t="shared" si="114"/>
        <v>24682302.656842168</v>
      </c>
      <c r="AQ130" s="236">
        <f t="shared" si="115"/>
        <v>34845603.750836007</v>
      </c>
      <c r="AR130" s="236">
        <f t="shared" si="116"/>
        <v>1451900.1562848338</v>
      </c>
      <c r="AS130" s="236">
        <f t="shared" si="82"/>
        <v>0</v>
      </c>
      <c r="AT130" s="242">
        <f t="shared" si="83"/>
        <v>110344411.87764734</v>
      </c>
      <c r="AU130" s="254">
        <v>0</v>
      </c>
      <c r="AV130" s="246">
        <f t="shared" si="84"/>
        <v>150.01638869082916</v>
      </c>
      <c r="AW130" s="257">
        <f t="shared" si="77"/>
        <v>3.0828473994736778</v>
      </c>
    </row>
    <row r="131" spans="1:49">
      <c r="A131" s="193">
        <f>'Input data'!A123</f>
        <v>2023</v>
      </c>
      <c r="B131" s="208">
        <f>'Input data'!B123</f>
        <v>62.126086164056694</v>
      </c>
      <c r="C131" s="417">
        <f>'Recycling - Case 1'!E103</f>
        <v>0.76665454545454537</v>
      </c>
      <c r="D131" s="525">
        <f>'Recycling - Case 1'!F103</f>
        <v>0.30371818181818178</v>
      </c>
      <c r="E131" s="235">
        <f t="shared" si="76"/>
        <v>966962244.67653763</v>
      </c>
      <c r="F131" s="236">
        <v>0</v>
      </c>
      <c r="G131" s="237">
        <f t="shared" si="78"/>
        <v>966962244.67653763</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13212220.488625787</v>
      </c>
      <c r="AA131" s="236">
        <f t="shared" si="101"/>
        <v>0</v>
      </c>
      <c r="AB131" s="236">
        <f t="shared" si="102"/>
        <v>13212220.488625787</v>
      </c>
      <c r="AC131" s="236">
        <f t="shared" si="103"/>
        <v>7398843.4736304395</v>
      </c>
      <c r="AD131" s="236">
        <f t="shared" si="104"/>
        <v>1056977.6390900621</v>
      </c>
      <c r="AE131" s="236">
        <f t="shared" si="105"/>
        <v>0</v>
      </c>
      <c r="AF131" s="242">
        <f t="shared" si="80"/>
        <v>34880262.089972079</v>
      </c>
      <c r="AG131" s="235">
        <f t="shared" si="106"/>
        <v>0</v>
      </c>
      <c r="AH131" s="236">
        <f t="shared" si="107"/>
        <v>0</v>
      </c>
      <c r="AI131" s="236">
        <f t="shared" si="108"/>
        <v>5221596.1212533033</v>
      </c>
      <c r="AJ131" s="236">
        <f t="shared" si="109"/>
        <v>1044319.2242506606</v>
      </c>
      <c r="AK131" s="236">
        <f t="shared" si="110"/>
        <v>0</v>
      </c>
      <c r="AL131" s="236">
        <f t="shared" si="111"/>
        <v>0</v>
      </c>
      <c r="AM131" s="242">
        <f t="shared" si="81"/>
        <v>6265915.3455039635</v>
      </c>
      <c r="AN131" s="235">
        <f t="shared" si="112"/>
        <v>50525535.39752122</v>
      </c>
      <c r="AO131" s="236">
        <f t="shared" si="113"/>
        <v>0</v>
      </c>
      <c r="AP131" s="236">
        <f t="shared" si="114"/>
        <v>25262767.69876061</v>
      </c>
      <c r="AQ131" s="236">
        <f t="shared" si="115"/>
        <v>35665083.810014993</v>
      </c>
      <c r="AR131" s="236">
        <f t="shared" si="116"/>
        <v>1486045.1587506249</v>
      </c>
      <c r="AS131" s="236">
        <f t="shared" si="82"/>
        <v>0</v>
      </c>
      <c r="AT131" s="242">
        <f t="shared" si="83"/>
        <v>112939432.06504744</v>
      </c>
      <c r="AU131" s="254">
        <v>0</v>
      </c>
      <c r="AV131" s="246">
        <f t="shared" si="84"/>
        <v>154.08560950052347</v>
      </c>
      <c r="AW131" s="257">
        <f t="shared" si="77"/>
        <v>3.132483295366991</v>
      </c>
    </row>
    <row r="132" spans="1:49">
      <c r="A132" s="193">
        <f>'Input data'!A124</f>
        <v>2024</v>
      </c>
      <c r="B132" s="208">
        <f>'Input data'!B124</f>
        <v>63.126357518916684</v>
      </c>
      <c r="C132" s="417">
        <f>'Recycling - Case 1'!E104</f>
        <v>0.7752969696969696</v>
      </c>
      <c r="D132" s="525">
        <f>'Recycling - Case 1'!F104</f>
        <v>0.30607121212121208</v>
      </c>
      <c r="E132" s="235">
        <f t="shared" si="76"/>
        <v>982530980.68264782</v>
      </c>
      <c r="F132" s="236">
        <v>0</v>
      </c>
      <c r="G132" s="237">
        <f t="shared" si="78"/>
        <v>982530980.68264782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13746501.629732687</v>
      </c>
      <c r="AA132" s="236">
        <f t="shared" si="101"/>
        <v>0</v>
      </c>
      <c r="AB132" s="236">
        <f t="shared" si="102"/>
        <v>13746501.629732687</v>
      </c>
      <c r="AC132" s="236">
        <f t="shared" si="103"/>
        <v>7698040.912650303</v>
      </c>
      <c r="AD132" s="236">
        <f t="shared" si="104"/>
        <v>1099720.1303786142</v>
      </c>
      <c r="AE132" s="236">
        <f t="shared" si="105"/>
        <v>0</v>
      </c>
      <c r="AF132" s="242">
        <f t="shared" si="80"/>
        <v>36290764.302494287</v>
      </c>
      <c r="AG132" s="235">
        <f t="shared" si="106"/>
        <v>0</v>
      </c>
      <c r="AH132" s="236">
        <f t="shared" si="107"/>
        <v>0</v>
      </c>
      <c r="AI132" s="236">
        <f t="shared" si="108"/>
        <v>5305667.2956862971</v>
      </c>
      <c r="AJ132" s="236">
        <f t="shared" si="109"/>
        <v>1061133.4591372595</v>
      </c>
      <c r="AK132" s="236">
        <f t="shared" si="110"/>
        <v>0</v>
      </c>
      <c r="AL132" s="236">
        <f t="shared" si="111"/>
        <v>0</v>
      </c>
      <c r="AM132" s="242">
        <f t="shared" si="81"/>
        <v>6366800.7548235562</v>
      </c>
      <c r="AN132" s="235">
        <f t="shared" si="112"/>
        <v>51711052.11831896</v>
      </c>
      <c r="AO132" s="236">
        <f t="shared" si="113"/>
        <v>0</v>
      </c>
      <c r="AP132" s="236">
        <f t="shared" si="114"/>
        <v>25855526.05915948</v>
      </c>
      <c r="AQ132" s="236">
        <f t="shared" si="115"/>
        <v>36501919.142342821</v>
      </c>
      <c r="AR132" s="236">
        <f t="shared" si="116"/>
        <v>1520913.2975976174</v>
      </c>
      <c r="AS132" s="236">
        <f t="shared" si="82"/>
        <v>0</v>
      </c>
      <c r="AT132" s="242">
        <f t="shared" si="83"/>
        <v>115589410.61741887</v>
      </c>
      <c r="AU132" s="254">
        <v>0</v>
      </c>
      <c r="AV132" s="246">
        <f t="shared" si="84"/>
        <v>158.24697567473672</v>
      </c>
      <c r="AW132" s="257">
        <f t="shared" si="77"/>
        <v>3.1829183622350183</v>
      </c>
    </row>
    <row r="133" spans="1:49">
      <c r="A133" s="193">
        <f>'Input data'!A125</f>
        <v>2025</v>
      </c>
      <c r="B133" s="208">
        <f>'Input data'!B125</f>
        <v>64.142733908636146</v>
      </c>
      <c r="C133" s="417">
        <f>'Recycling - Case 1'!E105</f>
        <v>0.78393939393939382</v>
      </c>
      <c r="D133" s="525">
        <f>'Recycling - Case 1'!F105</f>
        <v>0.30842424242424238</v>
      </c>
      <c r="E133" s="235">
        <f t="shared" si="76"/>
        <v>998350383.70514131</v>
      </c>
      <c r="F133" s="236">
        <v>0</v>
      </c>
      <c r="G133" s="237">
        <f t="shared" si="78"/>
        <v>998350383.70514131</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14294562.312141802</v>
      </c>
      <c r="AA133" s="236">
        <f t="shared" si="101"/>
        <v>0</v>
      </c>
      <c r="AB133" s="236">
        <f t="shared" si="102"/>
        <v>14294562.312141802</v>
      </c>
      <c r="AC133" s="236">
        <f t="shared" si="103"/>
        <v>8004954.8947994066</v>
      </c>
      <c r="AD133" s="236">
        <f t="shared" si="104"/>
        <v>1143564.9849713431</v>
      </c>
      <c r="AE133" s="236">
        <f t="shared" si="105"/>
        <v>0</v>
      </c>
      <c r="AF133" s="242">
        <f t="shared" si="80"/>
        <v>37737644.504054353</v>
      </c>
      <c r="AG133" s="235">
        <f t="shared" si="106"/>
        <v>0</v>
      </c>
      <c r="AH133" s="236">
        <f t="shared" si="107"/>
        <v>0</v>
      </c>
      <c r="AI133" s="236">
        <f t="shared" si="108"/>
        <v>5391092.0720077632</v>
      </c>
      <c r="AJ133" s="236">
        <f t="shared" si="109"/>
        <v>1078218.4144015524</v>
      </c>
      <c r="AK133" s="236">
        <f t="shared" si="110"/>
        <v>0</v>
      </c>
      <c r="AL133" s="236">
        <f t="shared" si="111"/>
        <v>0</v>
      </c>
      <c r="AM133" s="242">
        <f t="shared" si="81"/>
        <v>6469310.4864093158</v>
      </c>
      <c r="AN133" s="235">
        <f t="shared" si="112"/>
        <v>52921646.248951614</v>
      </c>
      <c r="AO133" s="236">
        <f t="shared" si="113"/>
        <v>0</v>
      </c>
      <c r="AP133" s="236">
        <f t="shared" si="114"/>
        <v>26460823.124475807</v>
      </c>
      <c r="AQ133" s="236">
        <f t="shared" si="115"/>
        <v>37356456.175730571</v>
      </c>
      <c r="AR133" s="236">
        <f t="shared" si="116"/>
        <v>1556519.0073221074</v>
      </c>
      <c r="AS133" s="236">
        <f t="shared" si="82"/>
        <v>0</v>
      </c>
      <c r="AT133" s="242">
        <f t="shared" si="83"/>
        <v>118295444.55648009</v>
      </c>
      <c r="AU133" s="254">
        <v>0</v>
      </c>
      <c r="AV133" s="246">
        <f t="shared" si="84"/>
        <v>162.50239954694376</v>
      </c>
      <c r="AW133" s="257">
        <f t="shared" si="77"/>
        <v>3.2341654672625948</v>
      </c>
    </row>
    <row r="134" spans="1:49">
      <c r="A134" s="193">
        <f>'Input data'!A126</f>
        <v>2026</v>
      </c>
      <c r="B134" s="208">
        <f>'Input data'!B126</f>
        <v>65.115730264701668</v>
      </c>
      <c r="C134" s="417">
        <f>'Recycling - Case 1'!E106</f>
        <v>0.79258181818181805</v>
      </c>
      <c r="D134" s="525">
        <f>'Recycling - Case 1'!F106</f>
        <v>0.31077727272727268</v>
      </c>
      <c r="E134" s="235">
        <f t="shared" si="76"/>
        <v>1013494597.6515775</v>
      </c>
      <c r="F134" s="236">
        <v>0</v>
      </c>
      <c r="G134" s="237">
        <f t="shared" si="78"/>
        <v>1013494597.6515775</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14843089.061969927</v>
      </c>
      <c r="AA134" s="236">
        <f t="shared" si="101"/>
        <v>0</v>
      </c>
      <c r="AB134" s="236">
        <f t="shared" si="102"/>
        <v>14843089.061969927</v>
      </c>
      <c r="AC134" s="236">
        <f t="shared" si="103"/>
        <v>8312129.8747031568</v>
      </c>
      <c r="AD134" s="236">
        <f t="shared" si="104"/>
        <v>1187447.1249575932</v>
      </c>
      <c r="AE134" s="236">
        <f t="shared" si="105"/>
        <v>0</v>
      </c>
      <c r="AF134" s="242">
        <f t="shared" si="80"/>
        <v>39185755.123600602</v>
      </c>
      <c r="AG134" s="235">
        <f t="shared" si="106"/>
        <v>0</v>
      </c>
      <c r="AH134" s="236">
        <f t="shared" si="107"/>
        <v>0</v>
      </c>
      <c r="AI134" s="236">
        <f t="shared" si="108"/>
        <v>5472870.8273185184</v>
      </c>
      <c r="AJ134" s="236">
        <f t="shared" si="109"/>
        <v>1094574.1654637037</v>
      </c>
      <c r="AK134" s="236">
        <f t="shared" si="110"/>
        <v>0</v>
      </c>
      <c r="AL134" s="236">
        <f t="shared" si="111"/>
        <v>0</v>
      </c>
      <c r="AM134" s="242">
        <f t="shared" si="81"/>
        <v>6567444.9927822221</v>
      </c>
      <c r="AN134" s="235">
        <f t="shared" si="112"/>
        <v>54108173.17180486</v>
      </c>
      <c r="AO134" s="236">
        <f t="shared" si="113"/>
        <v>0</v>
      </c>
      <c r="AP134" s="236">
        <f t="shared" si="114"/>
        <v>27054086.58590243</v>
      </c>
      <c r="AQ134" s="236">
        <f t="shared" si="115"/>
        <v>38194004.591862284</v>
      </c>
      <c r="AR134" s="236">
        <f t="shared" si="116"/>
        <v>1591416.8579942619</v>
      </c>
      <c r="AS134" s="236">
        <f t="shared" si="82"/>
        <v>0</v>
      </c>
      <c r="AT134" s="242">
        <f t="shared" si="83"/>
        <v>120947681.20756385</v>
      </c>
      <c r="AU134" s="254">
        <v>0</v>
      </c>
      <c r="AV134" s="246">
        <f t="shared" si="84"/>
        <v>166.70088132394665</v>
      </c>
      <c r="AW134" s="257">
        <f t="shared" si="77"/>
        <v>3.2832252909215254</v>
      </c>
    </row>
    <row r="135" spans="1:49">
      <c r="A135" s="193">
        <f>'Input data'!A127</f>
        <v>2027</v>
      </c>
      <c r="B135" s="208">
        <f>'Input data'!B127</f>
        <v>66.042835586617315</v>
      </c>
      <c r="C135" s="417">
        <f>'Recycling - Case 1'!E107</f>
        <v>0.80122424242424228</v>
      </c>
      <c r="D135" s="525">
        <f>'Recycling - Case 1'!F107</f>
        <v>0.31313030303030298</v>
      </c>
      <c r="E135" s="235">
        <f t="shared" si="76"/>
        <v>1027924540.0233501</v>
      </c>
      <c r="F135" s="236">
        <v>0</v>
      </c>
      <c r="G135" s="237">
        <f t="shared" si="78"/>
        <v>1027924540.0233501</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15390833.794713257</v>
      </c>
      <c r="AA135" s="236">
        <f t="shared" si="101"/>
        <v>0</v>
      </c>
      <c r="AB135" s="236">
        <f t="shared" si="102"/>
        <v>15390833.794713257</v>
      </c>
      <c r="AC135" s="236">
        <f t="shared" si="103"/>
        <v>8618866.9250394236</v>
      </c>
      <c r="AD135" s="236">
        <f t="shared" si="104"/>
        <v>1231266.7035770596</v>
      </c>
      <c r="AE135" s="236">
        <f t="shared" si="105"/>
        <v>0</v>
      </c>
      <c r="AF135" s="242">
        <f t="shared" si="80"/>
        <v>40631801.218042992</v>
      </c>
      <c r="AG135" s="235">
        <f t="shared" si="106"/>
        <v>0</v>
      </c>
      <c r="AH135" s="236">
        <f t="shared" si="107"/>
        <v>0</v>
      </c>
      <c r="AI135" s="236">
        <f t="shared" si="108"/>
        <v>5550792.5161260897</v>
      </c>
      <c r="AJ135" s="236">
        <f t="shared" si="109"/>
        <v>1110158.503225218</v>
      </c>
      <c r="AK135" s="236">
        <f t="shared" si="110"/>
        <v>0</v>
      </c>
      <c r="AL135" s="236">
        <f t="shared" si="111"/>
        <v>0</v>
      </c>
      <c r="AM135" s="242">
        <f t="shared" si="81"/>
        <v>6660951.0193513073</v>
      </c>
      <c r="AN135" s="235">
        <f t="shared" si="112"/>
        <v>55267764.609637253</v>
      </c>
      <c r="AO135" s="236">
        <f t="shared" si="113"/>
        <v>0</v>
      </c>
      <c r="AP135" s="236">
        <f t="shared" si="114"/>
        <v>27633882.304818626</v>
      </c>
      <c r="AQ135" s="236">
        <f t="shared" si="115"/>
        <v>39012539.724449851</v>
      </c>
      <c r="AR135" s="236">
        <f t="shared" si="116"/>
        <v>1625522.488518744</v>
      </c>
      <c r="AS135" s="236">
        <f t="shared" si="82"/>
        <v>0</v>
      </c>
      <c r="AT135" s="242">
        <f t="shared" si="83"/>
        <v>123539709.12742448</v>
      </c>
      <c r="AU135" s="254">
        <v>0</v>
      </c>
      <c r="AV135" s="246">
        <f t="shared" si="84"/>
        <v>170.83246136481878</v>
      </c>
      <c r="AW135" s="257">
        <f t="shared" si="77"/>
        <v>3.3299712250896238</v>
      </c>
    </row>
    <row r="136" spans="1:49">
      <c r="A136" s="193">
        <f>'Input data'!A128</f>
        <v>2028</v>
      </c>
      <c r="B136" s="208">
        <f>'Input data'!B128</f>
        <v>66.921626677758155</v>
      </c>
      <c r="C136" s="417">
        <f>'Recycling - Case 1'!E108</f>
        <v>0.80986666666666651</v>
      </c>
      <c r="D136" s="525">
        <f>'Recycling - Case 1'!F108</f>
        <v>0.31548333333333328</v>
      </c>
      <c r="E136" s="235">
        <f t="shared" si="76"/>
        <v>1041602494.9463006</v>
      </c>
      <c r="F136" s="236">
        <v>0</v>
      </c>
      <c r="G136" s="237">
        <f t="shared" si="78"/>
        <v>1041602494.9463006</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15936518.172678407</v>
      </c>
      <c r="AA136" s="236">
        <f t="shared" si="101"/>
        <v>0</v>
      </c>
      <c r="AB136" s="236">
        <f t="shared" si="102"/>
        <v>15936518.172678407</v>
      </c>
      <c r="AC136" s="236">
        <f t="shared" si="103"/>
        <v>8924450.1766999047</v>
      </c>
      <c r="AD136" s="236">
        <f t="shared" si="104"/>
        <v>1274921.4538142711</v>
      </c>
      <c r="AE136" s="236">
        <f t="shared" si="105"/>
        <v>0</v>
      </c>
      <c r="AF136" s="242">
        <f t="shared" si="80"/>
        <v>42072407.975870989</v>
      </c>
      <c r="AG136" s="235">
        <f t="shared" si="106"/>
        <v>0</v>
      </c>
      <c r="AH136" s="236">
        <f t="shared" si="107"/>
        <v>0</v>
      </c>
      <c r="AI136" s="236">
        <f t="shared" si="108"/>
        <v>5624653.4727100236</v>
      </c>
      <c r="AJ136" s="236">
        <f t="shared" si="109"/>
        <v>1124930.6945420045</v>
      </c>
      <c r="AK136" s="236">
        <f t="shared" si="110"/>
        <v>0</v>
      </c>
      <c r="AL136" s="236">
        <f t="shared" si="111"/>
        <v>0</v>
      </c>
      <c r="AM136" s="242">
        <f t="shared" si="81"/>
        <v>6749584.1672520284</v>
      </c>
      <c r="AN136" s="235">
        <f t="shared" si="112"/>
        <v>56397567.088867426</v>
      </c>
      <c r="AO136" s="236">
        <f t="shared" si="113"/>
        <v>0</v>
      </c>
      <c r="AP136" s="236">
        <f t="shared" si="114"/>
        <v>28198783.544433713</v>
      </c>
      <c r="AQ136" s="236">
        <f t="shared" si="115"/>
        <v>39810047.356847622</v>
      </c>
      <c r="AR136" s="236">
        <f t="shared" si="116"/>
        <v>1658751.9732019845</v>
      </c>
      <c r="AS136" s="236">
        <f t="shared" si="82"/>
        <v>0</v>
      </c>
      <c r="AT136" s="242">
        <f t="shared" si="83"/>
        <v>126065149.96335074</v>
      </c>
      <c r="AU136" s="254">
        <v>0</v>
      </c>
      <c r="AV136" s="246">
        <f t="shared" si="84"/>
        <v>174.88714210647373</v>
      </c>
      <c r="AW136" s="257">
        <f t="shared" si="77"/>
        <v>3.3742810888374657</v>
      </c>
    </row>
    <row r="137" spans="1:49">
      <c r="A137" s="193">
        <f>'Input data'!A129</f>
        <v>2029</v>
      </c>
      <c r="B137" s="208">
        <f>'Input data'!B129</f>
        <v>67.749778587208695</v>
      </c>
      <c r="C137" s="417">
        <f>'Recycling - Case 1'!E109</f>
        <v>0.81850909090909074</v>
      </c>
      <c r="D137" s="525">
        <f>'Recycling - Case 1'!F109</f>
        <v>0.31783636363636358</v>
      </c>
      <c r="E137" s="235">
        <f t="shared" si="76"/>
        <v>1054492275.6928422</v>
      </c>
      <c r="F137" s="236">
        <v>0</v>
      </c>
      <c r="G137" s="237">
        <f t="shared" si="78"/>
        <v>1054492275.6928422</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16478838.381054515</v>
      </c>
      <c r="AA137" s="236">
        <f t="shared" si="101"/>
        <v>0</v>
      </c>
      <c r="AB137" s="236">
        <f t="shared" si="102"/>
        <v>16478838.381054515</v>
      </c>
      <c r="AC137" s="236">
        <f t="shared" si="103"/>
        <v>9228149.4933905248</v>
      </c>
      <c r="AD137" s="236">
        <f t="shared" si="104"/>
        <v>1318307.0704843597</v>
      </c>
      <c r="AE137" s="236">
        <f t="shared" si="105"/>
        <v>0</v>
      </c>
      <c r="AF137" s="242">
        <f t="shared" si="80"/>
        <v>43504133.325983919</v>
      </c>
      <c r="AG137" s="235">
        <f t="shared" si="106"/>
        <v>0</v>
      </c>
      <c r="AH137" s="236">
        <f t="shared" si="107"/>
        <v>0</v>
      </c>
      <c r="AI137" s="236">
        <f t="shared" si="108"/>
        <v>5694258.2887413483</v>
      </c>
      <c r="AJ137" s="236">
        <f t="shared" si="109"/>
        <v>1138851.6577482694</v>
      </c>
      <c r="AK137" s="236">
        <f t="shared" si="110"/>
        <v>0</v>
      </c>
      <c r="AL137" s="236">
        <f t="shared" si="111"/>
        <v>0</v>
      </c>
      <c r="AM137" s="242">
        <f t="shared" si="81"/>
        <v>6833109.9464896172</v>
      </c>
      <c r="AN137" s="235">
        <f t="shared" si="112"/>
        <v>57494753.388139896</v>
      </c>
      <c r="AO137" s="236">
        <f t="shared" si="113"/>
        <v>0</v>
      </c>
      <c r="AP137" s="236">
        <f t="shared" si="114"/>
        <v>28747376.694069948</v>
      </c>
      <c r="AQ137" s="236">
        <f t="shared" si="115"/>
        <v>40584531.803392895</v>
      </c>
      <c r="AR137" s="236">
        <f t="shared" si="116"/>
        <v>1691022.1584747043</v>
      </c>
      <c r="AS137" s="236">
        <f t="shared" si="82"/>
        <v>0</v>
      </c>
      <c r="AT137" s="242">
        <f t="shared" si="83"/>
        <v>128517684.04407744</v>
      </c>
      <c r="AU137" s="254">
        <v>0</v>
      </c>
      <c r="AV137" s="246">
        <f t="shared" si="84"/>
        <v>178.85492731655097</v>
      </c>
      <c r="AW137" s="257">
        <f t="shared" si="77"/>
        <v>3.4160376549203448</v>
      </c>
    </row>
    <row r="138" spans="1:49">
      <c r="A138" s="123">
        <f>'Input data'!A130</f>
        <v>2030</v>
      </c>
      <c r="B138" s="208">
        <f>'Input data'!B130</f>
        <v>68.525074762177482</v>
      </c>
      <c r="C138" s="417">
        <f>'Recycling - Case 1'!E110</f>
        <v>0.82715151515151497</v>
      </c>
      <c r="D138" s="525">
        <f>'Recycling - Case 1'!F110</f>
        <v>0.32018939393939388</v>
      </c>
      <c r="E138" s="235">
        <f t="shared" si="76"/>
        <v>1066559382.6993461</v>
      </c>
      <c r="F138" s="236">
        <v>0</v>
      </c>
      <c r="G138" s="237">
        <f t="shared" si="78"/>
        <v>1066559382.6993461</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17016470.151248667</v>
      </c>
      <c r="AA138" s="236">
        <f t="shared" si="101"/>
        <v>0</v>
      </c>
      <c r="AB138" s="236">
        <f t="shared" si="102"/>
        <v>17016470.151248667</v>
      </c>
      <c r="AC138" s="236">
        <f t="shared" si="103"/>
        <v>9529223.28469925</v>
      </c>
      <c r="AD138" s="236">
        <f t="shared" si="104"/>
        <v>1361317.6120998918</v>
      </c>
      <c r="AE138" s="236">
        <f t="shared" si="105"/>
        <v>0</v>
      </c>
      <c r="AF138" s="242">
        <f t="shared" si="80"/>
        <v>44923481.199296482</v>
      </c>
      <c r="AG138" s="235">
        <f t="shared" si="106"/>
        <v>0</v>
      </c>
      <c r="AH138" s="236">
        <f t="shared" si="107"/>
        <v>0</v>
      </c>
      <c r="AI138" s="236">
        <f t="shared" si="108"/>
        <v>5759420.6665764684</v>
      </c>
      <c r="AJ138" s="236">
        <f t="shared" si="109"/>
        <v>1151884.1333152936</v>
      </c>
      <c r="AK138" s="236">
        <f t="shared" si="110"/>
        <v>0</v>
      </c>
      <c r="AL138" s="236">
        <f t="shared" si="111"/>
        <v>0</v>
      </c>
      <c r="AM138" s="242">
        <f t="shared" si="81"/>
        <v>6911304.7998917624</v>
      </c>
      <c r="AN138" s="235">
        <f t="shared" si="112"/>
        <v>58556534.10879112</v>
      </c>
      <c r="AO138" s="236">
        <f t="shared" si="113"/>
        <v>0</v>
      </c>
      <c r="AP138" s="236">
        <f t="shared" si="114"/>
        <v>29278267.05439556</v>
      </c>
      <c r="AQ138" s="236">
        <f t="shared" si="115"/>
        <v>41334024.076793768</v>
      </c>
      <c r="AR138" s="236">
        <f t="shared" si="116"/>
        <v>1722251.0031997405</v>
      </c>
      <c r="AS138" s="236">
        <f t="shared" si="82"/>
        <v>0</v>
      </c>
      <c r="AT138" s="242">
        <f t="shared" si="83"/>
        <v>130891076.2431802</v>
      </c>
      <c r="AU138" s="254">
        <v>0</v>
      </c>
      <c r="AV138" s="246">
        <f t="shared" si="84"/>
        <v>182.72586224236846</v>
      </c>
      <c r="AW138" s="257">
        <f t="shared" si="77"/>
        <v>3.4551291616770792</v>
      </c>
    </row>
    <row r="139" spans="1:49">
      <c r="A139" s="193">
        <f>'Input data'!A131</f>
        <v>2031</v>
      </c>
      <c r="B139" s="208">
        <f>'Input data'!B131</f>
        <v>69.286388472916428</v>
      </c>
      <c r="C139" s="417">
        <f>'Recycling - Case 1'!E111</f>
        <v>0.8357939393939392</v>
      </c>
      <c r="D139" s="525">
        <f>'Recycling - Case 1'!F111</f>
        <v>0.32254242424242419</v>
      </c>
      <c r="E139" s="235">
        <f t="shared" si="76"/>
        <v>1078408859.4665639</v>
      </c>
      <c r="F139" s="236">
        <v>0</v>
      </c>
      <c r="G139" s="237">
        <f t="shared" si="78"/>
        <v>1078408859.4665639</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17558456.975496523</v>
      </c>
      <c r="AA139" s="236">
        <f t="shared" si="101"/>
        <v>0</v>
      </c>
      <c r="AB139" s="236">
        <f t="shared" si="102"/>
        <v>17558456.975496523</v>
      </c>
      <c r="AC139" s="236">
        <f t="shared" si="103"/>
        <v>9832735.9062780477</v>
      </c>
      <c r="AD139" s="236">
        <f t="shared" si="104"/>
        <v>1404676.5580397197</v>
      </c>
      <c r="AE139" s="236">
        <f t="shared" si="105"/>
        <v>0</v>
      </c>
      <c r="AF139" s="242">
        <f t="shared" si="80"/>
        <v>46354326.415310808</v>
      </c>
      <c r="AG139" s="235">
        <f t="shared" si="106"/>
        <v>0</v>
      </c>
      <c r="AH139" s="236">
        <f t="shared" si="107"/>
        <v>0</v>
      </c>
      <c r="AI139" s="236">
        <f t="shared" si="108"/>
        <v>5823407.841119444</v>
      </c>
      <c r="AJ139" s="236">
        <f t="shared" si="109"/>
        <v>1164681.568223889</v>
      </c>
      <c r="AK139" s="236">
        <f t="shared" si="110"/>
        <v>0</v>
      </c>
      <c r="AL139" s="236">
        <f t="shared" si="111"/>
        <v>0</v>
      </c>
      <c r="AM139" s="242">
        <f t="shared" si="81"/>
        <v>6988089.409343333</v>
      </c>
      <c r="AN139" s="235">
        <f t="shared" si="112"/>
        <v>59615422.123002052</v>
      </c>
      <c r="AO139" s="236">
        <f t="shared" si="113"/>
        <v>0</v>
      </c>
      <c r="AP139" s="236">
        <f t="shared" si="114"/>
        <v>29807711.061501026</v>
      </c>
      <c r="AQ139" s="236">
        <f t="shared" si="115"/>
        <v>42081474.439766198</v>
      </c>
      <c r="AR139" s="236">
        <f t="shared" si="116"/>
        <v>1753394.7683235917</v>
      </c>
      <c r="AS139" s="236">
        <f t="shared" si="82"/>
        <v>0</v>
      </c>
      <c r="AT139" s="242">
        <f t="shared" si="83"/>
        <v>133258002.39259286</v>
      </c>
      <c r="AU139" s="254">
        <v>0</v>
      </c>
      <c r="AV139" s="246">
        <f t="shared" si="84"/>
        <v>186.60041821724701</v>
      </c>
      <c r="AW139" s="257">
        <f t="shared" si="77"/>
        <v>3.493515653224704</v>
      </c>
    </row>
    <row r="140" spans="1:49">
      <c r="A140" s="193">
        <f>'Input data'!A132</f>
        <v>2032</v>
      </c>
      <c r="B140" s="208">
        <f>'Input data'!B132</f>
        <v>70.033051881823098</v>
      </c>
      <c r="C140" s="417">
        <f>'Recycling - Case 1'!E112</f>
        <v>0.84443636363636343</v>
      </c>
      <c r="D140" s="525">
        <f>'Recycling - Case 1'!F112</f>
        <v>0.32489545454545449</v>
      </c>
      <c r="E140" s="235">
        <f t="shared" ref="E140:E157" si="130">B140*$C$4*($C$7*$C$11+$C$8*$C$10+$C$7*$C$12)*10^6</f>
        <v>1090030311.4277842</v>
      </c>
      <c r="F140" s="236">
        <v>0</v>
      </c>
      <c r="G140" s="237">
        <f t="shared" si="78"/>
        <v>1090030311.4277842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18104412.536168754</v>
      </c>
      <c r="AA140" s="236">
        <f t="shared" si="101"/>
        <v>0</v>
      </c>
      <c r="AB140" s="236">
        <f t="shared" si="102"/>
        <v>18104412.536168754</v>
      </c>
      <c r="AC140" s="236">
        <f t="shared" si="103"/>
        <v>10138471.020254498</v>
      </c>
      <c r="AD140" s="236">
        <f t="shared" si="104"/>
        <v>1448353.0028934984</v>
      </c>
      <c r="AE140" s="236">
        <f t="shared" si="105"/>
        <v>0</v>
      </c>
      <c r="AF140" s="242">
        <f t="shared" si="80"/>
        <v>47795649.095485508</v>
      </c>
      <c r="AG140" s="235">
        <f t="shared" si="106"/>
        <v>0</v>
      </c>
      <c r="AH140" s="236">
        <f t="shared" si="107"/>
        <v>0</v>
      </c>
      <c r="AI140" s="236">
        <f t="shared" si="108"/>
        <v>5886163.6817100337</v>
      </c>
      <c r="AJ140" s="236">
        <f t="shared" si="109"/>
        <v>1177232.7363420068</v>
      </c>
      <c r="AK140" s="236">
        <f t="shared" si="110"/>
        <v>0</v>
      </c>
      <c r="AL140" s="236">
        <f t="shared" si="111"/>
        <v>0</v>
      </c>
      <c r="AM140" s="242">
        <f t="shared" si="81"/>
        <v>7063396.41805204</v>
      </c>
      <c r="AN140" s="235">
        <f t="shared" si="112"/>
        <v>60670591.665747069</v>
      </c>
      <c r="AO140" s="236">
        <f t="shared" si="113"/>
        <v>0</v>
      </c>
      <c r="AP140" s="236">
        <f t="shared" si="114"/>
        <v>30335295.832873534</v>
      </c>
      <c r="AQ140" s="236">
        <f t="shared" si="115"/>
        <v>42826299.999350913</v>
      </c>
      <c r="AR140" s="236">
        <f t="shared" si="116"/>
        <v>1784429.1666396214</v>
      </c>
      <c r="AS140" s="236">
        <f t="shared" si="82"/>
        <v>0</v>
      </c>
      <c r="AT140" s="242">
        <f t="shared" si="83"/>
        <v>135616616.66461113</v>
      </c>
      <c r="AU140" s="254">
        <v>0</v>
      </c>
      <c r="AV140" s="246">
        <f t="shared" si="84"/>
        <v>190.4756621781487</v>
      </c>
      <c r="AW140" s="257">
        <f t="shared" ref="AW140:AW158" si="131">((B140*$C$46*$C$47*$C$48*$C$49)-$C$50)*$C$51*$C$52</f>
        <v>3.5311634562664973</v>
      </c>
    </row>
    <row r="141" spans="1:49">
      <c r="A141" s="193">
        <f>'Input data'!A133</f>
        <v>2033</v>
      </c>
      <c r="B141" s="208">
        <f>'Input data'!B133</f>
        <v>70.764404167450692</v>
      </c>
      <c r="C141" s="417">
        <f>'Recycling - Case 1'!E113</f>
        <v>0.85307878787878766</v>
      </c>
      <c r="D141" s="525">
        <f>'Recycling - Case 1'!F113</f>
        <v>0.32724848484848479</v>
      </c>
      <c r="E141" s="235">
        <f t="shared" si="130"/>
        <v>1101413453.2193384</v>
      </c>
      <c r="F141" s="236">
        <v>0</v>
      </c>
      <c r="G141" s="237">
        <f t="shared" si="78"/>
        <v>1101413453.2193384</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18653938.757705715</v>
      </c>
      <c r="AA141" s="236">
        <f t="shared" si="101"/>
        <v>0</v>
      </c>
      <c r="AB141" s="236">
        <f t="shared" si="102"/>
        <v>18653938.757705715</v>
      </c>
      <c r="AC141" s="236">
        <f t="shared" si="103"/>
        <v>10446205.704315197</v>
      </c>
      <c r="AD141" s="236">
        <f t="shared" si="104"/>
        <v>1492315.1006164553</v>
      </c>
      <c r="AE141" s="236">
        <f t="shared" si="105"/>
        <v>0</v>
      </c>
      <c r="AF141" s="242">
        <f t="shared" si="80"/>
        <v>49246398.320343077</v>
      </c>
      <c r="AG141" s="235">
        <f t="shared" si="106"/>
        <v>0</v>
      </c>
      <c r="AH141" s="236">
        <f t="shared" si="107"/>
        <v>0</v>
      </c>
      <c r="AI141" s="236">
        <f t="shared" si="108"/>
        <v>5947632.6473844275</v>
      </c>
      <c r="AJ141" s="236">
        <f t="shared" si="109"/>
        <v>1189526.5294768855</v>
      </c>
      <c r="AK141" s="236">
        <f t="shared" si="110"/>
        <v>0</v>
      </c>
      <c r="AL141" s="236">
        <f t="shared" si="111"/>
        <v>0</v>
      </c>
      <c r="AM141" s="242">
        <f t="shared" si="81"/>
        <v>7137159.1768613132</v>
      </c>
      <c r="AN141" s="235">
        <f t="shared" si="112"/>
        <v>61721207.348496743</v>
      </c>
      <c r="AO141" s="236">
        <f t="shared" si="113"/>
        <v>0</v>
      </c>
      <c r="AP141" s="236">
        <f t="shared" si="114"/>
        <v>30860603.674248371</v>
      </c>
      <c r="AQ141" s="236">
        <f t="shared" si="115"/>
        <v>43567911.069527164</v>
      </c>
      <c r="AR141" s="236">
        <f t="shared" si="116"/>
        <v>1815329.6278969652</v>
      </c>
      <c r="AS141" s="236">
        <f t="shared" si="82"/>
        <v>0</v>
      </c>
      <c r="AT141" s="242">
        <f t="shared" si="83"/>
        <v>137965051.72016925</v>
      </c>
      <c r="AU141" s="254">
        <v>0</v>
      </c>
      <c r="AV141" s="246">
        <f t="shared" si="84"/>
        <v>194.34860921737365</v>
      </c>
      <c r="AW141" s="257">
        <f t="shared" si="131"/>
        <v>3.5680392512700192</v>
      </c>
    </row>
    <row r="142" spans="1:49">
      <c r="A142" s="193">
        <f>'Input data'!A134</f>
        <v>2034</v>
      </c>
      <c r="B142" s="208">
        <f>'Input data'!B134</f>
        <v>71.479792486390252</v>
      </c>
      <c r="C142" s="417">
        <f>'Recycling - Case 1'!E114</f>
        <v>0.86172121212121189</v>
      </c>
      <c r="D142" s="525">
        <f>'Recycling - Case 1'!F114</f>
        <v>0.32960151515151509</v>
      </c>
      <c r="E142" s="235">
        <f t="shared" si="130"/>
        <v>1112548123.6518273</v>
      </c>
      <c r="F142" s="236">
        <v>0</v>
      </c>
      <c r="G142" s="237">
        <f t="shared" si="78"/>
        <v>1112548123.6518273</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19206626.243771102</v>
      </c>
      <c r="AA142" s="236">
        <f t="shared" si="101"/>
        <v>0</v>
      </c>
      <c r="AB142" s="236">
        <f t="shared" si="102"/>
        <v>19206626.243771102</v>
      </c>
      <c r="AC142" s="236">
        <f t="shared" si="103"/>
        <v>10755710.696511814</v>
      </c>
      <c r="AD142" s="236">
        <f t="shared" si="104"/>
        <v>1536530.0995016859</v>
      </c>
      <c r="AE142" s="236">
        <f t="shared" si="105"/>
        <v>0</v>
      </c>
      <c r="AF142" s="242">
        <f t="shared" si="80"/>
        <v>50705493.283555701</v>
      </c>
      <c r="AG142" s="235">
        <f t="shared" si="106"/>
        <v>0</v>
      </c>
      <c r="AH142" s="236">
        <f t="shared" si="107"/>
        <v>0</v>
      </c>
      <c r="AI142" s="236">
        <f t="shared" si="108"/>
        <v>6007759.8677198673</v>
      </c>
      <c r="AJ142" s="236">
        <f t="shared" si="109"/>
        <v>1201551.9735439734</v>
      </c>
      <c r="AK142" s="236">
        <f t="shared" si="110"/>
        <v>0</v>
      </c>
      <c r="AL142" s="236">
        <f t="shared" si="111"/>
        <v>0</v>
      </c>
      <c r="AM142" s="242">
        <f t="shared" si="81"/>
        <v>7209311.8412638409</v>
      </c>
      <c r="AN142" s="235">
        <f t="shared" si="112"/>
        <v>62766425.210588083</v>
      </c>
      <c r="AO142" s="236">
        <f t="shared" si="113"/>
        <v>0</v>
      </c>
      <c r="AP142" s="236">
        <f t="shared" si="114"/>
        <v>31383212.605294041</v>
      </c>
      <c r="AQ142" s="236">
        <f t="shared" si="115"/>
        <v>44305711.913356349</v>
      </c>
      <c r="AR142" s="236">
        <f t="shared" si="116"/>
        <v>1846071.3297231812</v>
      </c>
      <c r="AS142" s="236">
        <f t="shared" si="82"/>
        <v>0</v>
      </c>
      <c r="AT142" s="242">
        <f t="shared" si="83"/>
        <v>140301421.05896163</v>
      </c>
      <c r="AU142" s="254">
        <v>0</v>
      </c>
      <c r="AV142" s="246">
        <f t="shared" si="84"/>
        <v>198.21622618378117</v>
      </c>
      <c r="AW142" s="257">
        <f t="shared" si="131"/>
        <v>3.604110120966546</v>
      </c>
    </row>
    <row r="143" spans="1:49">
      <c r="A143" s="193">
        <f>'Input data'!A135</f>
        <v>2035</v>
      </c>
      <c r="B143" s="208">
        <f>'Input data'!B135</f>
        <v>72.178572932855872</v>
      </c>
      <c r="C143" s="417">
        <f>'Recycling - Case 1'!E115</f>
        <v>0.87036363636363612</v>
      </c>
      <c r="D143" s="525">
        <f>'Recycling - Case 1'!F115</f>
        <v>0.33195454545454539</v>
      </c>
      <c r="E143" s="235">
        <f t="shared" si="130"/>
        <v>1123424300.645597</v>
      </c>
      <c r="F143" s="236">
        <v>0</v>
      </c>
      <c r="G143" s="237">
        <f t="shared" si="78"/>
        <v>1123424300.645597</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19762054.743174832</v>
      </c>
      <c r="AA143" s="236">
        <f t="shared" si="101"/>
        <v>0</v>
      </c>
      <c r="AB143" s="236">
        <f t="shared" si="102"/>
        <v>19762054.743174832</v>
      </c>
      <c r="AC143" s="236">
        <f t="shared" si="103"/>
        <v>11066750.656177901</v>
      </c>
      <c r="AD143" s="236">
        <f t="shared" si="104"/>
        <v>1580964.3794539843</v>
      </c>
      <c r="AE143" s="236">
        <f t="shared" si="105"/>
        <v>0</v>
      </c>
      <c r="AF143" s="242">
        <f t="shared" si="80"/>
        <v>52171824.521981552</v>
      </c>
      <c r="AG143" s="235">
        <f t="shared" si="106"/>
        <v>0</v>
      </c>
      <c r="AH143" s="236">
        <f t="shared" si="107"/>
        <v>0</v>
      </c>
      <c r="AI143" s="236">
        <f t="shared" si="108"/>
        <v>6066491.2234862233</v>
      </c>
      <c r="AJ143" s="236">
        <f t="shared" si="109"/>
        <v>1213298.2446972446</v>
      </c>
      <c r="AK143" s="236">
        <f t="shared" si="110"/>
        <v>0</v>
      </c>
      <c r="AL143" s="236">
        <f t="shared" si="111"/>
        <v>0</v>
      </c>
      <c r="AM143" s="242">
        <f t="shared" si="81"/>
        <v>7279789.4681834681</v>
      </c>
      <c r="AN143" s="235">
        <f t="shared" si="112"/>
        <v>63805393.802576035</v>
      </c>
      <c r="AO143" s="236">
        <f t="shared" si="113"/>
        <v>0</v>
      </c>
      <c r="AP143" s="236">
        <f t="shared" si="114"/>
        <v>31902696.901288018</v>
      </c>
      <c r="AQ143" s="236">
        <f t="shared" si="115"/>
        <v>45039101.507700786</v>
      </c>
      <c r="AR143" s="236">
        <f t="shared" si="116"/>
        <v>1876629.229487533</v>
      </c>
      <c r="AS143" s="236">
        <f t="shared" si="82"/>
        <v>0</v>
      </c>
      <c r="AT143" s="242">
        <f t="shared" si="83"/>
        <v>142623821.44105238</v>
      </c>
      <c r="AU143" s="254">
        <v>0</v>
      </c>
      <c r="AV143" s="246">
        <f t="shared" si="84"/>
        <v>202.07543543121741</v>
      </c>
      <c r="AW143" s="257">
        <f t="shared" si="131"/>
        <v>3.6393435987346821</v>
      </c>
    </row>
    <row r="144" spans="1:49">
      <c r="A144" s="193">
        <f>'Input data'!A136</f>
        <v>2036</v>
      </c>
      <c r="B144" s="208">
        <f>'Input data'!B136</f>
        <v>72.865243718484663</v>
      </c>
      <c r="C144" s="417">
        <f>'Recycling - Case 1'!E116</f>
        <v>0.87900606060606035</v>
      </c>
      <c r="D144" s="525">
        <f>'Recycling - Case 1'!F116</f>
        <v>0.33430757575757569</v>
      </c>
      <c r="E144" s="235">
        <f t="shared" si="130"/>
        <v>1134111996.6719012</v>
      </c>
      <c r="F144" s="236">
        <v>0</v>
      </c>
      <c r="G144" s="237">
        <f t="shared" si="78"/>
        <v>1134111996.6719012</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20321224.958548356</v>
      </c>
      <c r="AA144" s="236">
        <f t="shared" si="101"/>
        <v>0</v>
      </c>
      <c r="AB144" s="236">
        <f t="shared" si="102"/>
        <v>20321224.958548356</v>
      </c>
      <c r="AC144" s="236">
        <f t="shared" si="103"/>
        <v>11379885.976787074</v>
      </c>
      <c r="AD144" s="236">
        <f t="shared" si="104"/>
        <v>1625697.9966838656</v>
      </c>
      <c r="AE144" s="236">
        <f t="shared" si="105"/>
        <v>0</v>
      </c>
      <c r="AF144" s="242">
        <f t="shared" si="80"/>
        <v>53648033.890567653</v>
      </c>
      <c r="AG144" s="235">
        <f t="shared" si="106"/>
        <v>0</v>
      </c>
      <c r="AH144" s="236">
        <f t="shared" si="107"/>
        <v>0</v>
      </c>
      <c r="AI144" s="236">
        <f t="shared" si="108"/>
        <v>6124204.7820282662</v>
      </c>
      <c r="AJ144" s="236">
        <f t="shared" si="109"/>
        <v>1224840.9564056532</v>
      </c>
      <c r="AK144" s="236">
        <f t="shared" si="110"/>
        <v>0</v>
      </c>
      <c r="AL144" s="236">
        <f t="shared" si="111"/>
        <v>0</v>
      </c>
      <c r="AM144" s="242">
        <f t="shared" si="81"/>
        <v>7349045.7384339198</v>
      </c>
      <c r="AN144" s="235">
        <f t="shared" si="112"/>
        <v>64841822.398809858</v>
      </c>
      <c r="AO144" s="236">
        <f t="shared" si="113"/>
        <v>0</v>
      </c>
      <c r="AP144" s="236">
        <f t="shared" si="114"/>
        <v>32420911.199404929</v>
      </c>
      <c r="AQ144" s="236">
        <f t="shared" si="115"/>
        <v>45770698.163865842</v>
      </c>
      <c r="AR144" s="236">
        <f t="shared" si="116"/>
        <v>1907112.4234944102</v>
      </c>
      <c r="AS144" s="236">
        <f t="shared" si="82"/>
        <v>0</v>
      </c>
      <c r="AT144" s="242">
        <f t="shared" si="83"/>
        <v>144940544.18557504</v>
      </c>
      <c r="AU144" s="254">
        <v>0</v>
      </c>
      <c r="AV144" s="246">
        <f t="shared" si="84"/>
        <v>205.93762381457663</v>
      </c>
      <c r="AW144" s="257">
        <f t="shared" si="131"/>
        <v>3.6739664906342075</v>
      </c>
    </row>
    <row r="145" spans="1:49">
      <c r="A145" s="193">
        <f>'Input data'!A137</f>
        <v>2037</v>
      </c>
      <c r="B145" s="208">
        <f>'Input data'!B137</f>
        <v>73.539326072165721</v>
      </c>
      <c r="C145" s="417">
        <f>'Recycling - Case 1'!E117</f>
        <v>0.88764848484848458</v>
      </c>
      <c r="D145" s="525">
        <f>'Recycling - Case 1'!F117</f>
        <v>0.33666060606060599</v>
      </c>
      <c r="E145" s="235">
        <f t="shared" si="130"/>
        <v>1144603759.8917994</v>
      </c>
      <c r="F145" s="236">
        <v>0</v>
      </c>
      <c r="G145" s="237">
        <f t="shared" si="78"/>
        <v>1144603759.8917994</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20883815.873662207</v>
      </c>
      <c r="AA145" s="236">
        <f t="shared" si="101"/>
        <v>0</v>
      </c>
      <c r="AB145" s="236">
        <f t="shared" si="102"/>
        <v>20883815.873662207</v>
      </c>
      <c r="AC145" s="236">
        <f t="shared" si="103"/>
        <v>11694936.889250832</v>
      </c>
      <c r="AD145" s="236">
        <f t="shared" si="104"/>
        <v>1670705.2698929738</v>
      </c>
      <c r="AE145" s="236">
        <f t="shared" si="105"/>
        <v>0</v>
      </c>
      <c r="AF145" s="242">
        <f t="shared" si="80"/>
        <v>55133273.90646822</v>
      </c>
      <c r="AG145" s="235">
        <f t="shared" si="106"/>
        <v>0</v>
      </c>
      <c r="AH145" s="236">
        <f t="shared" si="107"/>
        <v>0</v>
      </c>
      <c r="AI145" s="236">
        <f t="shared" si="108"/>
        <v>6180860.3034157166</v>
      </c>
      <c r="AJ145" s="236">
        <f t="shared" si="109"/>
        <v>1236172.0606831433</v>
      </c>
      <c r="AK145" s="236">
        <f t="shared" si="110"/>
        <v>0</v>
      </c>
      <c r="AL145" s="236">
        <f t="shared" si="111"/>
        <v>0</v>
      </c>
      <c r="AM145" s="242">
        <f t="shared" si="81"/>
        <v>7417032.36409886</v>
      </c>
      <c r="AN145" s="235">
        <f t="shared" si="112"/>
        <v>65875068.028390914</v>
      </c>
      <c r="AO145" s="236">
        <f t="shared" si="113"/>
        <v>0</v>
      </c>
      <c r="AP145" s="236">
        <f t="shared" si="114"/>
        <v>32937534.014195457</v>
      </c>
      <c r="AQ145" s="236">
        <f t="shared" si="115"/>
        <v>46500048.020040698</v>
      </c>
      <c r="AR145" s="236">
        <f t="shared" si="116"/>
        <v>1937502.0008350294</v>
      </c>
      <c r="AS145" s="236">
        <f t="shared" si="82"/>
        <v>0</v>
      </c>
      <c r="AT145" s="242">
        <f t="shared" si="83"/>
        <v>147250152.06346211</v>
      </c>
      <c r="AU145" s="254">
        <v>0</v>
      </c>
      <c r="AV145" s="246">
        <f t="shared" si="84"/>
        <v>209.8004583340292</v>
      </c>
      <c r="AW145" s="257">
        <f t="shared" si="131"/>
        <v>3.7079546563627162</v>
      </c>
    </row>
    <row r="146" spans="1:49">
      <c r="A146" s="193">
        <f>'Input data'!A138</f>
        <v>2038</v>
      </c>
      <c r="B146" s="208">
        <f>'Input data'!B138</f>
        <v>74.200346452615136</v>
      </c>
      <c r="C146" s="417">
        <f>'Recycling - Case 1'!E118</f>
        <v>0.89629090909090881</v>
      </c>
      <c r="D146" s="525">
        <f>'Recycling - Case 1'!F118</f>
        <v>0.33901363636363629</v>
      </c>
      <c r="E146" s="235">
        <f t="shared" si="130"/>
        <v>1154892219.8660591</v>
      </c>
      <c r="F146" s="236">
        <v>0</v>
      </c>
      <c r="G146" s="237">
        <f t="shared" si="78"/>
        <v>1154892219.8660591</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21449498.228966914</v>
      </c>
      <c r="AA146" s="236">
        <f t="shared" si="101"/>
        <v>0</v>
      </c>
      <c r="AB146" s="236">
        <f t="shared" si="102"/>
        <v>21449498.228966914</v>
      </c>
      <c r="AC146" s="236">
        <f t="shared" si="103"/>
        <v>12011719.008221464</v>
      </c>
      <c r="AD146" s="236">
        <f t="shared" si="104"/>
        <v>1715959.8583173498</v>
      </c>
      <c r="AE146" s="236">
        <f t="shared" si="105"/>
        <v>0</v>
      </c>
      <c r="AF146" s="242">
        <f t="shared" si="80"/>
        <v>56626675.324472643</v>
      </c>
      <c r="AG146" s="235">
        <f t="shared" si="106"/>
        <v>0</v>
      </c>
      <c r="AH146" s="236">
        <f t="shared" si="107"/>
        <v>0</v>
      </c>
      <c r="AI146" s="236">
        <f t="shared" si="108"/>
        <v>6236417.987276719</v>
      </c>
      <c r="AJ146" s="236">
        <f t="shared" si="109"/>
        <v>1247283.5974553435</v>
      </c>
      <c r="AK146" s="236">
        <f t="shared" si="110"/>
        <v>0</v>
      </c>
      <c r="AL146" s="236">
        <f t="shared" si="111"/>
        <v>0</v>
      </c>
      <c r="AM146" s="242">
        <f t="shared" si="81"/>
        <v>7483701.5847320622</v>
      </c>
      <c r="AN146" s="235">
        <f t="shared" si="112"/>
        <v>66904481.149867855</v>
      </c>
      <c r="AO146" s="236">
        <f t="shared" si="113"/>
        <v>0</v>
      </c>
      <c r="AP146" s="236">
        <f t="shared" si="114"/>
        <v>33452240.574933928</v>
      </c>
      <c r="AQ146" s="236">
        <f t="shared" si="115"/>
        <v>47226692.576377377</v>
      </c>
      <c r="AR146" s="236">
        <f t="shared" si="116"/>
        <v>1967778.8573490572</v>
      </c>
      <c r="AS146" s="236">
        <f t="shared" si="82"/>
        <v>0</v>
      </c>
      <c r="AT146" s="242">
        <f t="shared" si="83"/>
        <v>149551193.15852824</v>
      </c>
      <c r="AU146" s="254">
        <v>0</v>
      </c>
      <c r="AV146" s="246">
        <f t="shared" si="84"/>
        <v>213.66157006773292</v>
      </c>
      <c r="AW146" s="257">
        <f t="shared" si="131"/>
        <v>3.7412842193129237</v>
      </c>
    </row>
    <row r="147" spans="1:49">
      <c r="A147" s="193">
        <f>'Input data'!A139</f>
        <v>2039</v>
      </c>
      <c r="B147" s="208">
        <f>'Input data'!B139</f>
        <v>74.847837096563296</v>
      </c>
      <c r="C147" s="417">
        <f>'Recycling - Case 1'!E119</f>
        <v>0.90493333333333303</v>
      </c>
      <c r="D147" s="525">
        <f>'Recycling - Case 1'!F119</f>
        <v>0.3413666666666666</v>
      </c>
      <c r="E147" s="235">
        <f t="shared" si="130"/>
        <v>1164970096.0874233</v>
      </c>
      <c r="F147" s="236">
        <v>0</v>
      </c>
      <c r="G147" s="237">
        <f t="shared" si="78"/>
        <v>1164970096.0874233</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22017934.816052314</v>
      </c>
      <c r="AA147" s="236">
        <f t="shared" si="101"/>
        <v>0</v>
      </c>
      <c r="AB147" s="236">
        <f t="shared" si="102"/>
        <v>22017934.816052314</v>
      </c>
      <c r="AC147" s="236">
        <f t="shared" si="103"/>
        <v>12330043.496989293</v>
      </c>
      <c r="AD147" s="236">
        <f t="shared" si="104"/>
        <v>1761434.7852841821</v>
      </c>
      <c r="AE147" s="236">
        <f t="shared" si="105"/>
        <v>0</v>
      </c>
      <c r="AF147" s="242">
        <f t="shared" si="80"/>
        <v>58127347.914378107</v>
      </c>
      <c r="AG147" s="235">
        <f t="shared" si="106"/>
        <v>0</v>
      </c>
      <c r="AH147" s="236">
        <f t="shared" si="107"/>
        <v>0</v>
      </c>
      <c r="AI147" s="236">
        <f t="shared" si="108"/>
        <v>6290838.518872086</v>
      </c>
      <c r="AJ147" s="236">
        <f t="shared" si="109"/>
        <v>1258167.7037744171</v>
      </c>
      <c r="AK147" s="236">
        <f t="shared" si="110"/>
        <v>0</v>
      </c>
      <c r="AL147" s="236">
        <f t="shared" si="111"/>
        <v>0</v>
      </c>
      <c r="AM147" s="242">
        <f t="shared" si="81"/>
        <v>7549006.2226465028</v>
      </c>
      <c r="AN147" s="235">
        <f t="shared" si="112"/>
        <v>67929406.302857623</v>
      </c>
      <c r="AO147" s="236">
        <f t="shared" si="113"/>
        <v>0</v>
      </c>
      <c r="AP147" s="236">
        <f t="shared" si="114"/>
        <v>33964703.151428811</v>
      </c>
      <c r="AQ147" s="236">
        <f t="shared" si="115"/>
        <v>47950169.154958382</v>
      </c>
      <c r="AR147" s="236">
        <f t="shared" si="116"/>
        <v>1997923.7147899328</v>
      </c>
      <c r="AS147" s="236">
        <f t="shared" si="82"/>
        <v>0</v>
      </c>
      <c r="AT147" s="242">
        <f t="shared" si="83"/>
        <v>151842202.32403475</v>
      </c>
      <c r="AU147" s="254">
        <v>0</v>
      </c>
      <c r="AV147" s="246">
        <f t="shared" si="84"/>
        <v>217.51855646105938</v>
      </c>
      <c r="AW147" s="257">
        <f t="shared" si="131"/>
        <v>3.7739315942130265</v>
      </c>
    </row>
    <row r="148" spans="1:49">
      <c r="A148" s="193">
        <f>'Input data'!A140</f>
        <v>2040</v>
      </c>
      <c r="B148" s="208">
        <f>'Input data'!B140</f>
        <v>75.481336564720067</v>
      </c>
      <c r="C148" s="417">
        <f>'Recycling - Case 1'!E120</f>
        <v>0.91357575757575726</v>
      </c>
      <c r="D148" s="525">
        <f>'Recycling - Case 1'!F120</f>
        <v>0.3437196969696969</v>
      </c>
      <c r="E148" s="235">
        <f t="shared" si="130"/>
        <v>1174830206.4782927</v>
      </c>
      <c r="F148" s="236">
        <v>0</v>
      </c>
      <c r="G148" s="237">
        <f t="shared" si="78"/>
        <v>1174830206.4782927</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22588780.788196284</v>
      </c>
      <c r="AA148" s="236">
        <f t="shared" si="101"/>
        <v>0</v>
      </c>
      <c r="AB148" s="236">
        <f t="shared" si="102"/>
        <v>22588780.788196284</v>
      </c>
      <c r="AC148" s="236">
        <f t="shared" si="103"/>
        <v>12649717.241389912</v>
      </c>
      <c r="AD148" s="236">
        <f t="shared" si="104"/>
        <v>1807102.4630556989</v>
      </c>
      <c r="AE148" s="236">
        <f t="shared" si="105"/>
        <v>0</v>
      </c>
      <c r="AF148" s="242">
        <f t="shared" si="80"/>
        <v>59634381.280838177</v>
      </c>
      <c r="AG148" s="235">
        <f t="shared" si="106"/>
        <v>0</v>
      </c>
      <c r="AH148" s="236">
        <f t="shared" si="107"/>
        <v>0</v>
      </c>
      <c r="AI148" s="236">
        <f t="shared" si="108"/>
        <v>6344083.1149827801</v>
      </c>
      <c r="AJ148" s="236">
        <f t="shared" si="109"/>
        <v>1268816.6229965559</v>
      </c>
      <c r="AK148" s="236">
        <f t="shared" si="110"/>
        <v>0</v>
      </c>
      <c r="AL148" s="236">
        <f t="shared" si="111"/>
        <v>0</v>
      </c>
      <c r="AM148" s="242">
        <f t="shared" si="81"/>
        <v>7612899.7379793357</v>
      </c>
      <c r="AN148" s="235">
        <f t="shared" si="112"/>
        <v>68949182.777020305</v>
      </c>
      <c r="AO148" s="236">
        <f t="shared" si="113"/>
        <v>0</v>
      </c>
      <c r="AP148" s="236">
        <f t="shared" si="114"/>
        <v>34474591.388510153</v>
      </c>
      <c r="AQ148" s="236">
        <f t="shared" si="115"/>
        <v>48670011.372014403</v>
      </c>
      <c r="AR148" s="236">
        <f t="shared" si="116"/>
        <v>2027917.1405006004</v>
      </c>
      <c r="AS148" s="236">
        <f t="shared" si="82"/>
        <v>0</v>
      </c>
      <c r="AT148" s="242">
        <f t="shared" si="83"/>
        <v>154121702.67804545</v>
      </c>
      <c r="AU148" s="254">
        <v>0</v>
      </c>
      <c r="AV148" s="246">
        <f t="shared" si="84"/>
        <v>221.36898369686295</v>
      </c>
      <c r="AW148" s="257">
        <f t="shared" si="131"/>
        <v>3.8058735146550235</v>
      </c>
    </row>
    <row r="149" spans="1:49">
      <c r="A149" s="193">
        <f>'Input data'!A141</f>
        <v>2041</v>
      </c>
      <c r="B149" s="208">
        <f>'Input data'!B141</f>
        <v>76.101885632753024</v>
      </c>
      <c r="C149" s="417">
        <f>'Recycling - Case 1'!E121</f>
        <v>0.92221818181818149</v>
      </c>
      <c r="D149" s="525">
        <f>'Recycling - Case 1'!F121</f>
        <v>0.3460727272727272</v>
      </c>
      <c r="E149" s="235">
        <f t="shared" si="130"/>
        <v>1184488750.2045548</v>
      </c>
      <c r="F149" s="236">
        <v>0</v>
      </c>
      <c r="G149" s="237">
        <f t="shared" si="78"/>
        <v>1184488750.2045548</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23162139.106272724</v>
      </c>
      <c r="AA149" s="236">
        <f t="shared" si="101"/>
        <v>0</v>
      </c>
      <c r="AB149" s="236">
        <f t="shared" si="102"/>
        <v>23162139.106272724</v>
      </c>
      <c r="AC149" s="236">
        <f t="shared" si="103"/>
        <v>12970797.899512718</v>
      </c>
      <c r="AD149" s="236">
        <f t="shared" si="104"/>
        <v>1852971.1285018141</v>
      </c>
      <c r="AE149" s="236">
        <f t="shared" si="105"/>
        <v>0</v>
      </c>
      <c r="AF149" s="242">
        <f t="shared" si="80"/>
        <v>61148047.24055998</v>
      </c>
      <c r="AG149" s="235">
        <f t="shared" si="106"/>
        <v>0</v>
      </c>
      <c r="AH149" s="236">
        <f t="shared" si="107"/>
        <v>0</v>
      </c>
      <c r="AI149" s="236">
        <f t="shared" si="108"/>
        <v>6396239.2511045951</v>
      </c>
      <c r="AJ149" s="236">
        <f t="shared" si="109"/>
        <v>1279247.8502209189</v>
      </c>
      <c r="AK149" s="236">
        <f t="shared" si="110"/>
        <v>0</v>
      </c>
      <c r="AL149" s="236">
        <f t="shared" si="111"/>
        <v>0</v>
      </c>
      <c r="AM149" s="242">
        <f t="shared" si="81"/>
        <v>7675487.1013255138</v>
      </c>
      <c r="AN149" s="235">
        <f t="shared" si="112"/>
        <v>69964520.050718814</v>
      </c>
      <c r="AO149" s="236">
        <f t="shared" si="113"/>
        <v>0</v>
      </c>
      <c r="AP149" s="236">
        <f t="shared" si="114"/>
        <v>34982260.025359407</v>
      </c>
      <c r="AQ149" s="236">
        <f t="shared" si="115"/>
        <v>49386720.035801597</v>
      </c>
      <c r="AR149" s="236">
        <f t="shared" si="116"/>
        <v>2057780.0014917331</v>
      </c>
      <c r="AS149" s="236">
        <f t="shared" si="82"/>
        <v>0</v>
      </c>
      <c r="AT149" s="242">
        <f t="shared" si="83"/>
        <v>156391280.11337155</v>
      </c>
      <c r="AU149" s="254">
        <v>0</v>
      </c>
      <c r="AV149" s="246">
        <f t="shared" si="84"/>
        <v>225.21481445525706</v>
      </c>
      <c r="AW149" s="257">
        <f t="shared" si="131"/>
        <v>3.8371624579893204</v>
      </c>
    </row>
    <row r="150" spans="1:49">
      <c r="A150" s="193">
        <f>'Input data'!A142</f>
        <v>2042</v>
      </c>
      <c r="B150" s="208">
        <f>'Input data'!B142</f>
        <v>76.709073592680113</v>
      </c>
      <c r="C150" s="417">
        <f>'Recycling - Case 1'!E122</f>
        <v>0.93086060606060572</v>
      </c>
      <c r="D150" s="525">
        <f>'Recycling - Case 1'!F122</f>
        <v>0.3484257575757575</v>
      </c>
      <c r="E150" s="235">
        <f t="shared" si="130"/>
        <v>1193939334.7966897</v>
      </c>
      <c r="F150" s="236">
        <v>0</v>
      </c>
      <c r="G150" s="237">
        <f t="shared" si="78"/>
        <v>1193939334.7966897</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23737684.77454875</v>
      </c>
      <c r="AA150" s="236">
        <f t="shared" si="101"/>
        <v>0</v>
      </c>
      <c r="AB150" s="236">
        <f t="shared" si="102"/>
        <v>23737684.77454875</v>
      </c>
      <c r="AC150" s="236">
        <f t="shared" si="103"/>
        <v>13293103.473747293</v>
      </c>
      <c r="AD150" s="236">
        <f t="shared" si="104"/>
        <v>1899014.7819638965</v>
      </c>
      <c r="AE150" s="236">
        <f t="shared" si="105"/>
        <v>0</v>
      </c>
      <c r="AF150" s="242">
        <f t="shared" si="80"/>
        <v>62667487.804808691</v>
      </c>
      <c r="AG150" s="235">
        <f t="shared" si="106"/>
        <v>0</v>
      </c>
      <c r="AH150" s="236">
        <f t="shared" si="107"/>
        <v>0</v>
      </c>
      <c r="AI150" s="236">
        <f t="shared" si="108"/>
        <v>6447272.4079021243</v>
      </c>
      <c r="AJ150" s="236">
        <f t="shared" si="109"/>
        <v>1289454.4815804248</v>
      </c>
      <c r="AK150" s="236">
        <f t="shared" si="110"/>
        <v>0</v>
      </c>
      <c r="AL150" s="236">
        <f t="shared" si="111"/>
        <v>0</v>
      </c>
      <c r="AM150" s="242">
        <f t="shared" si="81"/>
        <v>7736726.8894825494</v>
      </c>
      <c r="AN150" s="235">
        <f t="shared" si="112"/>
        <v>70974809.156384453</v>
      </c>
      <c r="AO150" s="236">
        <f t="shared" si="113"/>
        <v>0</v>
      </c>
      <c r="AP150" s="236">
        <f t="shared" si="114"/>
        <v>35487404.578192227</v>
      </c>
      <c r="AQ150" s="236">
        <f t="shared" si="115"/>
        <v>50099865.286859684</v>
      </c>
      <c r="AR150" s="236">
        <f t="shared" si="116"/>
        <v>2087494.3869524871</v>
      </c>
      <c r="AS150" s="236">
        <f t="shared" si="82"/>
        <v>0</v>
      </c>
      <c r="AT150" s="242">
        <f t="shared" si="83"/>
        <v>158649573.40838885</v>
      </c>
      <c r="AU150" s="254">
        <v>0</v>
      </c>
      <c r="AV150" s="246">
        <f t="shared" si="84"/>
        <v>229.05378810268007</v>
      </c>
      <c r="AW150" s="257">
        <f t="shared" si="131"/>
        <v>3.8677777157507212</v>
      </c>
    </row>
    <row r="151" spans="1:49">
      <c r="A151" s="193">
        <f>'Input data'!A143</f>
        <v>2043</v>
      </c>
      <c r="B151" s="208">
        <f>'Input data'!B143</f>
        <v>77.302495984815266</v>
      </c>
      <c r="C151" s="417">
        <f>'Recycling - Case 1'!E123</f>
        <v>0.93950303030302995</v>
      </c>
      <c r="D151" s="525">
        <f>'Recycling - Case 1'!F123</f>
        <v>0.3507787878787878</v>
      </c>
      <c r="E151" s="235">
        <f t="shared" si="130"/>
        <v>1203175665.0368571</v>
      </c>
      <c r="F151" s="236">
        <v>0</v>
      </c>
      <c r="G151" s="237">
        <f t="shared" si="78"/>
        <v>1203175665.0368571</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24315086.394335777</v>
      </c>
      <c r="AA151" s="236">
        <f t="shared" si="101"/>
        <v>0</v>
      </c>
      <c r="AB151" s="236">
        <f t="shared" si="102"/>
        <v>24315086.394335777</v>
      </c>
      <c r="AC151" s="236">
        <f t="shared" si="103"/>
        <v>13616448.380828029</v>
      </c>
      <c r="AD151" s="236">
        <f t="shared" si="104"/>
        <v>1945206.9115468585</v>
      </c>
      <c r="AE151" s="236">
        <f t="shared" si="105"/>
        <v>0</v>
      </c>
      <c r="AF151" s="242">
        <f t="shared" si="80"/>
        <v>64191828.08104644</v>
      </c>
      <c r="AG151" s="235">
        <f t="shared" si="106"/>
        <v>0</v>
      </c>
      <c r="AH151" s="236">
        <f t="shared" si="107"/>
        <v>0</v>
      </c>
      <c r="AI151" s="236">
        <f t="shared" si="108"/>
        <v>6497148.5911990283</v>
      </c>
      <c r="AJ151" s="236">
        <f t="shared" si="109"/>
        <v>1299429.7182398057</v>
      </c>
      <c r="AK151" s="236">
        <f t="shared" si="110"/>
        <v>0</v>
      </c>
      <c r="AL151" s="236">
        <f t="shared" si="111"/>
        <v>0</v>
      </c>
      <c r="AM151" s="242">
        <f t="shared" si="81"/>
        <v>7796578.309438834</v>
      </c>
      <c r="AN151" s="235">
        <f t="shared" si="112"/>
        <v>71979437.262800366</v>
      </c>
      <c r="AO151" s="236">
        <f t="shared" si="113"/>
        <v>0</v>
      </c>
      <c r="AP151" s="236">
        <f t="shared" si="114"/>
        <v>35989718.631400183</v>
      </c>
      <c r="AQ151" s="236">
        <f t="shared" si="115"/>
        <v>50809014.538447402</v>
      </c>
      <c r="AR151" s="236">
        <f t="shared" si="116"/>
        <v>2117042.2724353084</v>
      </c>
      <c r="AS151" s="236">
        <f t="shared" si="82"/>
        <v>0</v>
      </c>
      <c r="AT151" s="242">
        <f t="shared" si="83"/>
        <v>160895212.70508325</v>
      </c>
      <c r="AU151" s="254">
        <v>0</v>
      </c>
      <c r="AV151" s="246">
        <f t="shared" si="84"/>
        <v>232.88361909556855</v>
      </c>
      <c r="AW151" s="257">
        <f t="shared" si="131"/>
        <v>3.8976988945217657</v>
      </c>
    </row>
    <row r="152" spans="1:49">
      <c r="A152" s="193">
        <f>'Input data'!A144</f>
        <v>2044</v>
      </c>
      <c r="B152" s="208">
        <f>'Input data'!B144</f>
        <v>77.881755043150378</v>
      </c>
      <c r="C152" s="417">
        <f>'Recycling - Case 1'!E124</f>
        <v>0.94814545454545418</v>
      </c>
      <c r="D152" s="525">
        <f>'Recycling - Case 1'!F124</f>
        <v>0.3531318181818181</v>
      </c>
      <c r="E152" s="235">
        <f t="shared" si="130"/>
        <v>1212191549.891052</v>
      </c>
      <c r="F152" s="236">
        <v>0</v>
      </c>
      <c r="G152" s="237">
        <f t="shared" si="78"/>
        <v>1212191549.891052</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24894006.465489898</v>
      </c>
      <c r="AA152" s="236">
        <f t="shared" si="101"/>
        <v>0</v>
      </c>
      <c r="AB152" s="236">
        <f t="shared" si="102"/>
        <v>24894006.465489898</v>
      </c>
      <c r="AC152" s="236">
        <f t="shared" si="103"/>
        <v>13940643.620674334</v>
      </c>
      <c r="AD152" s="236">
        <f t="shared" si="104"/>
        <v>1991520.5172391878</v>
      </c>
      <c r="AE152" s="236">
        <f t="shared" si="105"/>
        <v>0</v>
      </c>
      <c r="AF152" s="242">
        <f t="shared" si="80"/>
        <v>65720177.068893321</v>
      </c>
      <c r="AG152" s="235">
        <f t="shared" si="106"/>
        <v>0</v>
      </c>
      <c r="AH152" s="236">
        <f t="shared" si="107"/>
        <v>0</v>
      </c>
      <c r="AI152" s="236">
        <f t="shared" si="108"/>
        <v>6545834.3694116808</v>
      </c>
      <c r="AJ152" s="236">
        <f t="shared" si="109"/>
        <v>1309166.8738823361</v>
      </c>
      <c r="AK152" s="236">
        <f t="shared" si="110"/>
        <v>0</v>
      </c>
      <c r="AL152" s="236">
        <f t="shared" si="111"/>
        <v>0</v>
      </c>
      <c r="AM152" s="242">
        <f t="shared" si="81"/>
        <v>7855001.2432940174</v>
      </c>
      <c r="AN152" s="235">
        <f t="shared" si="112"/>
        <v>72977788.27655457</v>
      </c>
      <c r="AO152" s="236">
        <f t="shared" si="113"/>
        <v>0</v>
      </c>
      <c r="AP152" s="236">
        <f t="shared" si="114"/>
        <v>36488894.138277285</v>
      </c>
      <c r="AQ152" s="236">
        <f t="shared" si="115"/>
        <v>51513732.901097432</v>
      </c>
      <c r="AR152" s="236">
        <f t="shared" si="116"/>
        <v>2146405.5375457262</v>
      </c>
      <c r="AS152" s="236">
        <f t="shared" si="82"/>
        <v>0</v>
      </c>
      <c r="AT152" s="242">
        <f t="shared" si="83"/>
        <v>163126820.85347503</v>
      </c>
      <c r="AU152" s="254">
        <v>0</v>
      </c>
      <c r="AV152" s="246">
        <f t="shared" si="84"/>
        <v>236.70199916566239</v>
      </c>
      <c r="AW152" s="257">
        <f t="shared" si="131"/>
        <v>3.9269059383895084</v>
      </c>
    </row>
    <row r="153" spans="1:49">
      <c r="A153" s="193">
        <f>'Input data'!A145</f>
        <v>2045</v>
      </c>
      <c r="B153" s="208">
        <f>'Input data'!B145</f>
        <v>78.446460136387472</v>
      </c>
      <c r="C153" s="417">
        <f>'Recycling - Case 1'!E125</f>
        <v>0.95678787878787841</v>
      </c>
      <c r="D153" s="525">
        <f>'Recycling - Case 1'!F125</f>
        <v>0.3554848484848484</v>
      </c>
      <c r="E153" s="235">
        <f t="shared" si="130"/>
        <v>1220980909.3735547</v>
      </c>
      <c r="F153" s="236">
        <v>0</v>
      </c>
      <c r="G153" s="237">
        <f t="shared" si="78"/>
        <v>1220980909.3735547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25474101.700111911</v>
      </c>
      <c r="AA153" s="236">
        <f t="shared" si="101"/>
        <v>0</v>
      </c>
      <c r="AB153" s="236">
        <f t="shared" si="102"/>
        <v>25474101.700111911</v>
      </c>
      <c r="AC153" s="236">
        <f t="shared" si="103"/>
        <v>14265496.952062661</v>
      </c>
      <c r="AD153" s="236">
        <f t="shared" si="104"/>
        <v>2037928.1360089488</v>
      </c>
      <c r="AE153" s="236">
        <f t="shared" si="105"/>
        <v>0</v>
      </c>
      <c r="AF153" s="242">
        <f t="shared" si="80"/>
        <v>67251628.488295436</v>
      </c>
      <c r="AG153" s="235">
        <f t="shared" si="106"/>
        <v>0</v>
      </c>
      <c r="AH153" s="236">
        <f t="shared" si="107"/>
        <v>0</v>
      </c>
      <c r="AI153" s="236">
        <f t="shared" si="108"/>
        <v>6593296.9106171941</v>
      </c>
      <c r="AJ153" s="236">
        <f t="shared" si="109"/>
        <v>1318659.3821234391</v>
      </c>
      <c r="AK153" s="236">
        <f t="shared" si="110"/>
        <v>0</v>
      </c>
      <c r="AL153" s="236">
        <f t="shared" si="111"/>
        <v>0</v>
      </c>
      <c r="AM153" s="242">
        <f t="shared" si="81"/>
        <v>7911956.2927406337</v>
      </c>
      <c r="AN153" s="235">
        <f t="shared" si="112"/>
        <v>73969243.455139652</v>
      </c>
      <c r="AO153" s="236">
        <f t="shared" si="113"/>
        <v>0</v>
      </c>
      <c r="AP153" s="236">
        <f t="shared" si="114"/>
        <v>36984621.727569826</v>
      </c>
      <c r="AQ153" s="236">
        <f t="shared" si="115"/>
        <v>52213583.615392797</v>
      </c>
      <c r="AR153" s="236">
        <f t="shared" si="116"/>
        <v>2175565.9839746999</v>
      </c>
      <c r="AS153" s="236">
        <f t="shared" si="82"/>
        <v>0</v>
      </c>
      <c r="AT153" s="242">
        <f t="shared" si="83"/>
        <v>165343014.78207698</v>
      </c>
      <c r="AU153" s="254">
        <v>0</v>
      </c>
      <c r="AV153" s="246">
        <f t="shared" si="84"/>
        <v>240.50659956311304</v>
      </c>
      <c r="AW153" s="257">
        <f t="shared" si="131"/>
        <v>3.9553791511829659</v>
      </c>
    </row>
    <row r="154" spans="1:49">
      <c r="A154" s="193">
        <f>'Input data'!A146</f>
        <v>2046</v>
      </c>
      <c r="B154" s="208">
        <f>'Input data'!B146</f>
        <v>78.997842335977523</v>
      </c>
      <c r="C154" s="417">
        <f>'Recycling - Case 1'!E126</f>
        <v>0.96543030303030264</v>
      </c>
      <c r="D154" s="525">
        <f>'Recycling - Case 1'!F126</f>
        <v>0.3578378787878787</v>
      </c>
      <c r="E154" s="235">
        <f t="shared" si="130"/>
        <v>1229562904.5113513</v>
      </c>
      <c r="F154" s="236">
        <v>0</v>
      </c>
      <c r="G154" s="237">
        <f t="shared" si="78"/>
        <v>1229562904.5113513</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26055555.731054205</v>
      </c>
      <c r="AA154" s="236">
        <f t="shared" si="101"/>
        <v>0</v>
      </c>
      <c r="AB154" s="236">
        <f t="shared" si="102"/>
        <v>26055555.731054205</v>
      </c>
      <c r="AC154" s="236">
        <f t="shared" si="103"/>
        <v>14591111.209390344</v>
      </c>
      <c r="AD154" s="236">
        <f t="shared" si="104"/>
        <v>2084444.4584843318</v>
      </c>
      <c r="AE154" s="236">
        <f t="shared" si="105"/>
        <v>0</v>
      </c>
      <c r="AF154" s="242">
        <f t="shared" si="80"/>
        <v>68786667.129983082</v>
      </c>
      <c r="AG154" s="235">
        <f t="shared" si="106"/>
        <v>0</v>
      </c>
      <c r="AH154" s="236">
        <f t="shared" si="107"/>
        <v>0</v>
      </c>
      <c r="AI154" s="236">
        <f t="shared" si="108"/>
        <v>6639639.6843612967</v>
      </c>
      <c r="AJ154" s="236">
        <f t="shared" si="109"/>
        <v>1327927.9368722595</v>
      </c>
      <c r="AK154" s="236">
        <f t="shared" si="110"/>
        <v>0</v>
      </c>
      <c r="AL154" s="236">
        <f t="shared" si="111"/>
        <v>0</v>
      </c>
      <c r="AM154" s="242">
        <f t="shared" si="81"/>
        <v>7967567.6212335564</v>
      </c>
      <c r="AN154" s="235">
        <f t="shared" si="112"/>
        <v>74954713.551241249</v>
      </c>
      <c r="AO154" s="236">
        <f t="shared" si="113"/>
        <v>0</v>
      </c>
      <c r="AP154" s="236">
        <f t="shared" si="114"/>
        <v>37477356.775620624</v>
      </c>
      <c r="AQ154" s="236">
        <f t="shared" si="115"/>
        <v>52909209.565582156</v>
      </c>
      <c r="AR154" s="236">
        <f t="shared" si="116"/>
        <v>2204550.3985659229</v>
      </c>
      <c r="AS154" s="236">
        <f t="shared" si="82"/>
        <v>0</v>
      </c>
      <c r="AT154" s="242">
        <f t="shared" si="83"/>
        <v>167545830.29100993</v>
      </c>
      <c r="AU154" s="254">
        <v>0</v>
      </c>
      <c r="AV154" s="246">
        <f t="shared" si="84"/>
        <v>244.30006504222655</v>
      </c>
      <c r="AW154" s="257">
        <f t="shared" si="131"/>
        <v>3.9831806052294589</v>
      </c>
    </row>
    <row r="155" spans="1:49">
      <c r="A155" s="193">
        <f>'Input data'!A147</f>
        <v>2047</v>
      </c>
      <c r="B155" s="208">
        <f>'Input data'!B147</f>
        <v>79.535560193629763</v>
      </c>
      <c r="C155" s="417">
        <f>'Recycling - Case 1'!E127</f>
        <v>0.97407272727272687</v>
      </c>
      <c r="D155" s="525">
        <f>'Recycling - Case 1'!F127</f>
        <v>0.36019090909090901</v>
      </c>
      <c r="E155" s="235">
        <f t="shared" si="130"/>
        <v>1237932220.828253</v>
      </c>
      <c r="F155" s="236">
        <v>0</v>
      </c>
      <c r="G155" s="237">
        <f t="shared" si="78"/>
        <v>1237932220.828253</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26638050.606367979</v>
      </c>
      <c r="AA155" s="236">
        <f t="shared" si="101"/>
        <v>0</v>
      </c>
      <c r="AB155" s="236">
        <f t="shared" si="102"/>
        <v>26638050.606367979</v>
      </c>
      <c r="AC155" s="236">
        <f t="shared" si="103"/>
        <v>14917308.339566056</v>
      </c>
      <c r="AD155" s="236">
        <f t="shared" si="104"/>
        <v>2131044.0485094334</v>
      </c>
      <c r="AE155" s="236">
        <f t="shared" si="105"/>
        <v>0</v>
      </c>
      <c r="AF155" s="242">
        <f t="shared" si="80"/>
        <v>70324453.600811452</v>
      </c>
      <c r="AG155" s="235">
        <f t="shared" si="106"/>
        <v>0</v>
      </c>
      <c r="AH155" s="236">
        <f t="shared" si="107"/>
        <v>0</v>
      </c>
      <c r="AI155" s="236">
        <f t="shared" si="108"/>
        <v>6684833.9924725657</v>
      </c>
      <c r="AJ155" s="236">
        <f t="shared" si="109"/>
        <v>1336966.7984945131</v>
      </c>
      <c r="AK155" s="236">
        <f t="shared" si="110"/>
        <v>0</v>
      </c>
      <c r="AL155" s="236">
        <f t="shared" si="111"/>
        <v>0</v>
      </c>
      <c r="AM155" s="242">
        <f t="shared" si="81"/>
        <v>8021800.7909670789</v>
      </c>
      <c r="AN155" s="235">
        <f t="shared" si="112"/>
        <v>75933637.032676965</v>
      </c>
      <c r="AO155" s="236">
        <f t="shared" si="113"/>
        <v>0</v>
      </c>
      <c r="AP155" s="236">
        <f t="shared" si="114"/>
        <v>37966818.516338482</v>
      </c>
      <c r="AQ155" s="236">
        <f t="shared" si="115"/>
        <v>53600214.376007363</v>
      </c>
      <c r="AR155" s="236">
        <f t="shared" si="116"/>
        <v>2233342.2656669738</v>
      </c>
      <c r="AS155" s="236">
        <f t="shared" si="82"/>
        <v>0</v>
      </c>
      <c r="AT155" s="242">
        <f t="shared" si="83"/>
        <v>169734012.19068977</v>
      </c>
      <c r="AU155" s="254">
        <v>0</v>
      </c>
      <c r="AV155" s="246">
        <f t="shared" si="84"/>
        <v>248.08026658246831</v>
      </c>
      <c r="AW155" s="257">
        <f t="shared" si="131"/>
        <v>4.0102930842333384</v>
      </c>
    </row>
    <row r="156" spans="1:49">
      <c r="A156" s="193">
        <f>'Input data'!A148</f>
        <v>2048</v>
      </c>
      <c r="B156" s="208">
        <f>'Input data'!B148</f>
        <v>80.059278886956378</v>
      </c>
      <c r="C156" s="417">
        <f>'Recycling - Case 1'!E128</f>
        <v>0.9827151515151511</v>
      </c>
      <c r="D156" s="525">
        <f>'Recycling - Case 1'!F128</f>
        <v>0.36254393939393931</v>
      </c>
      <c r="E156" s="235">
        <f t="shared" si="130"/>
        <v>1246083646.9770188</v>
      </c>
      <c r="F156" s="236">
        <v>0</v>
      </c>
      <c r="G156" s="237">
        <f t="shared" si="78"/>
        <v>1246083646.9770188</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27221263.669870719</v>
      </c>
      <c r="AA156" s="236">
        <f t="shared" si="101"/>
        <v>0</v>
      </c>
      <c r="AB156" s="236">
        <f t="shared" si="102"/>
        <v>27221263.669870719</v>
      </c>
      <c r="AC156" s="236">
        <f t="shared" si="103"/>
        <v>15243907.655127587</v>
      </c>
      <c r="AD156" s="236">
        <f t="shared" si="104"/>
        <v>2177701.0935896523</v>
      </c>
      <c r="AE156" s="236">
        <f t="shared" si="105"/>
        <v>0</v>
      </c>
      <c r="AF156" s="242">
        <f t="shared" si="80"/>
        <v>71864136.088458672</v>
      </c>
      <c r="AG156" s="235">
        <f t="shared" si="106"/>
        <v>0</v>
      </c>
      <c r="AH156" s="236">
        <f t="shared" si="107"/>
        <v>0</v>
      </c>
      <c r="AI156" s="236">
        <f t="shared" si="108"/>
        <v>6728851.6936759017</v>
      </c>
      <c r="AJ156" s="236">
        <f t="shared" si="109"/>
        <v>1345770.3387351802</v>
      </c>
      <c r="AK156" s="236">
        <f t="shared" si="110"/>
        <v>0</v>
      </c>
      <c r="AL156" s="236">
        <f t="shared" si="111"/>
        <v>0</v>
      </c>
      <c r="AM156" s="242">
        <f t="shared" si="81"/>
        <v>8074622.0324110817</v>
      </c>
      <c r="AN156" s="235">
        <f t="shared" si="112"/>
        <v>76905450.683132946</v>
      </c>
      <c r="AO156" s="236">
        <f t="shared" si="113"/>
        <v>0</v>
      </c>
      <c r="AP156" s="236">
        <f t="shared" si="114"/>
        <v>38452725.341566473</v>
      </c>
      <c r="AQ156" s="236">
        <f t="shared" si="115"/>
        <v>54286200.482211605</v>
      </c>
      <c r="AR156" s="236">
        <f t="shared" si="116"/>
        <v>2261925.0200921502</v>
      </c>
      <c r="AS156" s="236">
        <f t="shared" si="82"/>
        <v>0</v>
      </c>
      <c r="AT156" s="242">
        <f t="shared" si="83"/>
        <v>171906301.5270032</v>
      </c>
      <c r="AU156" s="254">
        <v>0</v>
      </c>
      <c r="AV156" s="246">
        <f t="shared" si="84"/>
        <v>251.84505964787294</v>
      </c>
      <c r="AW156" s="257">
        <f t="shared" si="131"/>
        <v>4.0366997059861536</v>
      </c>
    </row>
    <row r="157" spans="1:49">
      <c r="A157" s="193">
        <f>'Input data'!A149</f>
        <v>2049</v>
      </c>
      <c r="B157" s="208">
        <f>'Input data'!B149</f>
        <v>80.568670564877792</v>
      </c>
      <c r="C157" s="417">
        <f>'Recycling - Case 1'!E129</f>
        <v>0.99135757575757533</v>
      </c>
      <c r="D157" s="525">
        <f>'Recycling - Case 1'!F129</f>
        <v>0.36489696969696961</v>
      </c>
      <c r="E157" s="235">
        <f t="shared" si="130"/>
        <v>1254012080.1154225</v>
      </c>
      <c r="F157" s="236">
        <v>0</v>
      </c>
      <c r="G157" s="237">
        <f t="shared" si="78"/>
        <v>1254012080.1154225</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27804867.849104706</v>
      </c>
      <c r="AA157" s="236">
        <f t="shared" si="101"/>
        <v>0</v>
      </c>
      <c r="AB157" s="236">
        <f t="shared" si="102"/>
        <v>27804867.849104706</v>
      </c>
      <c r="AC157" s="236">
        <f t="shared" si="103"/>
        <v>15570725.995498622</v>
      </c>
      <c r="AD157" s="236">
        <f t="shared" si="104"/>
        <v>2224389.4279283714</v>
      </c>
      <c r="AE157" s="236">
        <f t="shared" si="105"/>
        <v>0</v>
      </c>
      <c r="AF157" s="242">
        <f t="shared" si="80"/>
        <v>73404851.121636406</v>
      </c>
      <c r="AG157" s="235">
        <f t="shared" si="106"/>
        <v>0</v>
      </c>
      <c r="AH157" s="236">
        <f t="shared" si="107"/>
        <v>0</v>
      </c>
      <c r="AI157" s="236">
        <f t="shared" si="108"/>
        <v>6771665.232623281</v>
      </c>
      <c r="AJ157" s="236">
        <f t="shared" si="109"/>
        <v>1354333.0465246562</v>
      </c>
      <c r="AK157" s="236">
        <f t="shared" si="110"/>
        <v>0</v>
      </c>
      <c r="AL157" s="236">
        <f t="shared" si="111"/>
        <v>0</v>
      </c>
      <c r="AM157" s="242">
        <f t="shared" si="81"/>
        <v>8125998.279147937</v>
      </c>
      <c r="AN157" s="235">
        <f t="shared" si="112"/>
        <v>77869590.13123998</v>
      </c>
      <c r="AO157" s="236">
        <f t="shared" si="113"/>
        <v>0</v>
      </c>
      <c r="AP157" s="236">
        <f t="shared" si="114"/>
        <v>38934795.06561999</v>
      </c>
      <c r="AQ157" s="236">
        <f t="shared" si="115"/>
        <v>54966769.504404806</v>
      </c>
      <c r="AR157" s="236">
        <f t="shared" si="116"/>
        <v>2290282.0626835334</v>
      </c>
      <c r="AS157" s="236">
        <f t="shared" si="82"/>
        <v>0</v>
      </c>
      <c r="AT157" s="242">
        <f t="shared" si="83"/>
        <v>174061436.76394829</v>
      </c>
      <c r="AU157" s="254">
        <v>0</v>
      </c>
      <c r="AV157" s="246">
        <f t="shared" si="84"/>
        <v>255.59228616473263</v>
      </c>
      <c r="AW157" s="257">
        <f t="shared" si="131"/>
        <v>4.0623839397824701</v>
      </c>
    </row>
    <row r="158" spans="1:49" ht="15.75" thickBot="1">
      <c r="A158" s="195">
        <f>'Input data'!A150</f>
        <v>2050</v>
      </c>
      <c r="B158" s="209">
        <f>'Input data'!B150</f>
        <v>81.063414687793369</v>
      </c>
      <c r="C158" s="651">
        <f>'Recycling - Case 1'!E130</f>
        <v>1</v>
      </c>
      <c r="D158" s="652">
        <f>'Recycling - Case 1'!F130</f>
        <v>0.36725000000000002</v>
      </c>
      <c r="E158" s="238">
        <f>B158*$C$4*($C$7*$C$11+$C$8*$C$10+$C$7*$C$12)*10^6</f>
        <v>1261712531.2008436</v>
      </c>
      <c r="F158" s="239">
        <v>0</v>
      </c>
      <c r="G158" s="240">
        <f t="shared" si="78"/>
        <v>1261712531.2008436</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28388531.952018984</v>
      </c>
      <c r="AA158" s="239">
        <f t="shared" si="101"/>
        <v>0</v>
      </c>
      <c r="AB158" s="239">
        <f t="shared" si="102"/>
        <v>28388531.952018984</v>
      </c>
      <c r="AC158" s="239">
        <f t="shared" si="103"/>
        <v>15897577.893130634</v>
      </c>
      <c r="AD158" s="239">
        <f t="shared" si="104"/>
        <v>2271082.5561615187</v>
      </c>
      <c r="AE158" s="239">
        <f t="shared" si="105"/>
        <v>0</v>
      </c>
      <c r="AF158" s="243">
        <f t="shared" si="80"/>
        <v>74945724.35333012</v>
      </c>
      <c r="AG158" s="238">
        <f t="shared" si="106"/>
        <v>0</v>
      </c>
      <c r="AH158" s="239">
        <f t="shared" si="107"/>
        <v>0</v>
      </c>
      <c r="AI158" s="239">
        <f t="shared" si="108"/>
        <v>6813247.6684845546</v>
      </c>
      <c r="AJ158" s="239">
        <f t="shared" si="109"/>
        <v>1362649.5336969111</v>
      </c>
      <c r="AK158" s="239">
        <f t="shared" si="110"/>
        <v>0</v>
      </c>
      <c r="AL158" s="239">
        <f t="shared" si="111"/>
        <v>0</v>
      </c>
      <c r="AM158" s="243">
        <f t="shared" si="81"/>
        <v>8175897.2021814659</v>
      </c>
      <c r="AN158" s="238">
        <f t="shared" si="112"/>
        <v>78825490.386772707</v>
      </c>
      <c r="AO158" s="239">
        <f t="shared" si="113"/>
        <v>0</v>
      </c>
      <c r="AP158" s="239">
        <f t="shared" si="114"/>
        <v>39412745.193386354</v>
      </c>
      <c r="AQ158" s="239">
        <f t="shared" si="115"/>
        <v>55641522.625957198</v>
      </c>
      <c r="AR158" s="239">
        <f t="shared" si="116"/>
        <v>2318396.7760815499</v>
      </c>
      <c r="AS158" s="239">
        <f t="shared" si="82"/>
        <v>0</v>
      </c>
      <c r="AT158" s="243">
        <f t="shared" si="83"/>
        <v>176198154.98219782</v>
      </c>
      <c r="AU158" s="255">
        <v>0</v>
      </c>
      <c r="AV158" s="249">
        <f t="shared" si="84"/>
        <v>259.3197765377094</v>
      </c>
      <c r="AW158" s="258">
        <f t="shared" si="131"/>
        <v>4.0873296235717493</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4">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4">
        <f t="shared" ref="AT160:AT192" si="153">SUM(AN160:AS160)</f>
        <v>101794231.28593577</v>
      </c>
      <c r="AU160" s="1435">
        <v>0</v>
      </c>
      <c r="AV160" s="1436">
        <f>(AF160+AM160+AT160)/10^6-AU160</f>
        <v>137.16052165703309</v>
      </c>
      <c r="AW160" s="1437">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59.233695328537607</v>
      </c>
      <c r="C162" s="417">
        <f>'Recycling - Case 2'!E100</f>
        <v>0.78061538461538471</v>
      </c>
      <c r="D162" s="525">
        <f>'Recycling - Case 2'!F100</f>
        <v>0.30751923076923071</v>
      </c>
      <c r="E162" s="235">
        <f t="shared" si="155"/>
        <v>921943591.36221528</v>
      </c>
      <c r="F162" s="236">
        <v>0</v>
      </c>
      <c r="G162" s="237">
        <f t="shared" si="132"/>
        <v>921943591.36221528</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13084507.12356375</v>
      </c>
      <c r="AA162" s="236">
        <f t="shared" si="134"/>
        <v>0</v>
      </c>
      <c r="AB162" s="236">
        <f t="shared" si="135"/>
        <v>13084507.12356375</v>
      </c>
      <c r="AC162" s="236">
        <f t="shared" si="136"/>
        <v>7327323.9891956998</v>
      </c>
      <c r="AD162" s="236">
        <f t="shared" si="137"/>
        <v>1046760.5698850997</v>
      </c>
      <c r="AE162" s="236">
        <f t="shared" si="138"/>
        <v>0</v>
      </c>
      <c r="AF162" s="971">
        <f t="shared" si="139"/>
        <v>34543098.806208298</v>
      </c>
      <c r="AG162" s="235">
        <f t="shared" si="140"/>
        <v>0</v>
      </c>
      <c r="AH162" s="236">
        <f t="shared" si="141"/>
        <v>0</v>
      </c>
      <c r="AI162" s="236">
        <f t="shared" si="142"/>
        <v>4978495.3933559619</v>
      </c>
      <c r="AJ162" s="236">
        <f t="shared" si="143"/>
        <v>995699.07867119228</v>
      </c>
      <c r="AK162" s="236">
        <f t="shared" si="144"/>
        <v>0</v>
      </c>
      <c r="AL162" s="236">
        <f t="shared" si="145"/>
        <v>0</v>
      </c>
      <c r="AM162" s="242">
        <f t="shared" si="146"/>
        <v>5974194.4720271546</v>
      </c>
      <c r="AN162" s="235">
        <f t="shared" si="147"/>
        <v>48737129.582607567</v>
      </c>
      <c r="AO162" s="236">
        <f t="shared" si="148"/>
        <v>0</v>
      </c>
      <c r="AP162" s="236">
        <f t="shared" si="149"/>
        <v>24368564.791303784</v>
      </c>
      <c r="AQ162" s="236">
        <f t="shared" si="150"/>
        <v>34402679.705370039</v>
      </c>
      <c r="AR162" s="236">
        <f t="shared" si="151"/>
        <v>1433444.9877237517</v>
      </c>
      <c r="AS162" s="236">
        <f t="shared" si="152"/>
        <v>0</v>
      </c>
      <c r="AT162" s="242">
        <f t="shared" si="153"/>
        <v>108941819.06700514</v>
      </c>
      <c r="AU162" s="254">
        <v>0</v>
      </c>
      <c r="AV162" s="246">
        <f t="shared" si="167"/>
        <v>149.45911234524058</v>
      </c>
      <c r="AW162" s="257">
        <f t="shared" si="154"/>
        <v>2.9866449441145018</v>
      </c>
    </row>
    <row r="163" spans="1:49">
      <c r="A163" s="193">
        <f>'Input data'!A121</f>
        <v>2021</v>
      </c>
      <c r="B163" s="208">
        <f>'Input data'!B121</f>
        <v>60.170135702880636</v>
      </c>
      <c r="C163" s="417">
        <f>'Recycling - Case 2'!E101</f>
        <v>0.80255384615384628</v>
      </c>
      <c r="D163" s="525">
        <f>'Recycling - Case 2'!F101</f>
        <v>0.31349230769230763</v>
      </c>
      <c r="E163" s="235">
        <f t="shared" si="155"/>
        <v>936518829.27418208</v>
      </c>
      <c r="F163" s="236">
        <v>0</v>
      </c>
      <c r="G163" s="237">
        <f t="shared" si="132"/>
        <v>936518829.27418208</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14069394.412095984</v>
      </c>
      <c r="AA163" s="236">
        <f t="shared" si="134"/>
        <v>0</v>
      </c>
      <c r="AB163" s="236">
        <f t="shared" si="135"/>
        <v>14069394.412095984</v>
      </c>
      <c r="AC163" s="236">
        <f t="shared" si="136"/>
        <v>7878860.8707737522</v>
      </c>
      <c r="AD163" s="236">
        <f t="shared" si="137"/>
        <v>1125551.5529676785</v>
      </c>
      <c r="AE163" s="236">
        <f t="shared" si="138"/>
        <v>0</v>
      </c>
      <c r="AF163" s="971">
        <f t="shared" si="139"/>
        <v>37143201.247933395</v>
      </c>
      <c r="AG163" s="235">
        <f t="shared" si="140"/>
        <v>0</v>
      </c>
      <c r="AH163" s="236">
        <f t="shared" si="141"/>
        <v>0</v>
      </c>
      <c r="AI163" s="236">
        <f t="shared" si="142"/>
        <v>5057201.678080583</v>
      </c>
      <c r="AJ163" s="236">
        <f t="shared" si="143"/>
        <v>1011440.3356161166</v>
      </c>
      <c r="AK163" s="236">
        <f t="shared" si="144"/>
        <v>0</v>
      </c>
      <c r="AL163" s="236">
        <f t="shared" si="145"/>
        <v>0</v>
      </c>
      <c r="AM163" s="242">
        <f t="shared" si="146"/>
        <v>6068642.0136966994</v>
      </c>
      <c r="AN163" s="235">
        <f t="shared" si="147"/>
        <v>50407765.786133133</v>
      </c>
      <c r="AO163" s="236">
        <f t="shared" si="148"/>
        <v>0</v>
      </c>
      <c r="AP163" s="236">
        <f t="shared" si="149"/>
        <v>25203882.893066566</v>
      </c>
      <c r="AQ163" s="236">
        <f t="shared" si="150"/>
        <v>35581952.319623381</v>
      </c>
      <c r="AR163" s="236">
        <f t="shared" si="151"/>
        <v>1482581.3466509741</v>
      </c>
      <c r="AS163" s="236">
        <f t="shared" si="152"/>
        <v>0</v>
      </c>
      <c r="AT163" s="242">
        <f t="shared" si="153"/>
        <v>112676182.34547405</v>
      </c>
      <c r="AU163" s="254">
        <v>0</v>
      </c>
      <c r="AV163" s="246">
        <f t="shared" si="167"/>
        <v>155.88802560710414</v>
      </c>
      <c r="AW163" s="257">
        <f t="shared" si="154"/>
        <v>3.0338615645529843</v>
      </c>
    </row>
    <row r="164" spans="1:49">
      <c r="A164" s="193">
        <f>'Input data'!A122</f>
        <v>2022</v>
      </c>
      <c r="B164" s="208">
        <f>'Input data'!B122</f>
        <v>61.14166465104848</v>
      </c>
      <c r="C164" s="417">
        <f>'Recycling - Case 2'!E102</f>
        <v>0.82449230769230786</v>
      </c>
      <c r="D164" s="525">
        <f>'Recycling - Case 2'!F102</f>
        <v>0.31946538461538454</v>
      </c>
      <c r="E164" s="235">
        <f t="shared" si="155"/>
        <v>951640203.73205233</v>
      </c>
      <c r="F164" s="236">
        <v>0</v>
      </c>
      <c r="G164" s="237">
        <f t="shared" si="132"/>
        <v>951640203.73205233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15087157.38378277</v>
      </c>
      <c r="AA164" s="236">
        <f t="shared" si="134"/>
        <v>0</v>
      </c>
      <c r="AB164" s="236">
        <f t="shared" si="135"/>
        <v>15087157.38378277</v>
      </c>
      <c r="AC164" s="236">
        <f t="shared" si="136"/>
        <v>8448808.1349183526</v>
      </c>
      <c r="AD164" s="236">
        <f t="shared" si="137"/>
        <v>1206972.5907026213</v>
      </c>
      <c r="AE164" s="236">
        <f t="shared" si="138"/>
        <v>0</v>
      </c>
      <c r="AF164" s="971">
        <f t="shared" si="139"/>
        <v>39830095.493186519</v>
      </c>
      <c r="AG164" s="235">
        <f t="shared" si="140"/>
        <v>0</v>
      </c>
      <c r="AH164" s="236">
        <f t="shared" si="141"/>
        <v>0</v>
      </c>
      <c r="AI164" s="236">
        <f t="shared" si="142"/>
        <v>5138857.1001530821</v>
      </c>
      <c r="AJ164" s="236">
        <f t="shared" si="143"/>
        <v>1027771.4200306163</v>
      </c>
      <c r="AK164" s="236">
        <f t="shared" si="144"/>
        <v>0</v>
      </c>
      <c r="AL164" s="236">
        <f t="shared" si="145"/>
        <v>0</v>
      </c>
      <c r="AM164" s="242">
        <f t="shared" si="146"/>
        <v>6166628.5201836983</v>
      </c>
      <c r="AN164" s="235">
        <f t="shared" si="147"/>
        <v>52136340.592386447</v>
      </c>
      <c r="AO164" s="236">
        <f t="shared" si="148"/>
        <v>0</v>
      </c>
      <c r="AP164" s="236">
        <f t="shared" si="149"/>
        <v>26068170.296193223</v>
      </c>
      <c r="AQ164" s="236">
        <f t="shared" si="150"/>
        <v>36802122.771096312</v>
      </c>
      <c r="AR164" s="236">
        <f t="shared" si="151"/>
        <v>1533421.7821290123</v>
      </c>
      <c r="AS164" s="236">
        <f t="shared" si="152"/>
        <v>0</v>
      </c>
      <c r="AT164" s="242">
        <f t="shared" si="153"/>
        <v>116540055.44180501</v>
      </c>
      <c r="AU164" s="254">
        <v>0</v>
      </c>
      <c r="AV164" s="246">
        <f t="shared" si="167"/>
        <v>162.53677945517521</v>
      </c>
      <c r="AW164" s="257">
        <f t="shared" si="154"/>
        <v>3.0828473994736778</v>
      </c>
    </row>
    <row r="165" spans="1:49">
      <c r="A165" s="193">
        <f>'Input data'!A123</f>
        <v>2023</v>
      </c>
      <c r="B165" s="208">
        <f>'Input data'!B123</f>
        <v>62.126086164056694</v>
      </c>
      <c r="C165" s="417">
        <f>'Recycling - Case 2'!E103</f>
        <v>0.84643076923076943</v>
      </c>
      <c r="D165" s="525">
        <f>'Recycling - Case 2'!F103</f>
        <v>0.32543846153846145</v>
      </c>
      <c r="E165" s="235">
        <f t="shared" si="155"/>
        <v>966962244.67653763</v>
      </c>
      <c r="F165" s="236">
        <v>0</v>
      </c>
      <c r="G165" s="237">
        <f t="shared" si="132"/>
        <v>966962244.67653763</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16133393.143872388</v>
      </c>
      <c r="AA165" s="236">
        <f t="shared" si="134"/>
        <v>0</v>
      </c>
      <c r="AB165" s="236">
        <f t="shared" si="135"/>
        <v>16133393.143872388</v>
      </c>
      <c r="AC165" s="236">
        <f t="shared" si="136"/>
        <v>9034700.1605685391</v>
      </c>
      <c r="AD165" s="236">
        <f t="shared" si="137"/>
        <v>1290671.4515097905</v>
      </c>
      <c r="AE165" s="236">
        <f t="shared" si="138"/>
        <v>0</v>
      </c>
      <c r="AF165" s="971">
        <f t="shared" si="139"/>
        <v>42592157.899823099</v>
      </c>
      <c r="AG165" s="235">
        <f t="shared" si="140"/>
        <v>0</v>
      </c>
      <c r="AH165" s="236">
        <f t="shared" si="141"/>
        <v>0</v>
      </c>
      <c r="AI165" s="236">
        <f t="shared" si="142"/>
        <v>5221596.1212533033</v>
      </c>
      <c r="AJ165" s="236">
        <f t="shared" si="143"/>
        <v>1044319.2242506606</v>
      </c>
      <c r="AK165" s="236">
        <f t="shared" si="144"/>
        <v>0</v>
      </c>
      <c r="AL165" s="236">
        <f t="shared" si="145"/>
        <v>0</v>
      </c>
      <c r="AM165" s="242">
        <f t="shared" si="146"/>
        <v>6265915.3455039635</v>
      </c>
      <c r="AN165" s="235">
        <f t="shared" si="147"/>
        <v>53905169.872271821</v>
      </c>
      <c r="AO165" s="236">
        <f t="shared" si="148"/>
        <v>0</v>
      </c>
      <c r="AP165" s="236">
        <f t="shared" si="149"/>
        <v>26952584.93613591</v>
      </c>
      <c r="AQ165" s="236">
        <f t="shared" si="150"/>
        <v>38050708.145133048</v>
      </c>
      <c r="AR165" s="236">
        <f t="shared" si="151"/>
        <v>1585446.1727138765</v>
      </c>
      <c r="AS165" s="236">
        <f t="shared" si="152"/>
        <v>0</v>
      </c>
      <c r="AT165" s="242">
        <f t="shared" si="153"/>
        <v>120493909.12625465</v>
      </c>
      <c r="AU165" s="254">
        <v>0</v>
      </c>
      <c r="AV165" s="246">
        <f t="shared" si="167"/>
        <v>169.3519823715817</v>
      </c>
      <c r="AW165" s="257">
        <f t="shared" si="154"/>
        <v>3.132483295366991</v>
      </c>
    </row>
    <row r="166" spans="1:49">
      <c r="A166" s="193">
        <f>'Input data'!A124</f>
        <v>2024</v>
      </c>
      <c r="B166" s="208">
        <f>'Input data'!B124</f>
        <v>63.126357518916684</v>
      </c>
      <c r="C166" s="417">
        <f>'Recycling - Case 2'!E104</f>
        <v>0.868369230769231</v>
      </c>
      <c r="D166" s="525">
        <f>'Recycling - Case 2'!F104</f>
        <v>0.33141153846153837</v>
      </c>
      <c r="E166" s="235">
        <f t="shared" si="155"/>
        <v>982530980.68264782</v>
      </c>
      <c r="F166" s="236">
        <v>0</v>
      </c>
      <c r="G166" s="237">
        <f t="shared" si="132"/>
        <v>982530980.68264782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17209408.023187608</v>
      </c>
      <c r="AA166" s="236">
        <f t="shared" si="134"/>
        <v>0</v>
      </c>
      <c r="AB166" s="236">
        <f t="shared" si="135"/>
        <v>17209408.023187608</v>
      </c>
      <c r="AC166" s="236">
        <f t="shared" si="136"/>
        <v>9637268.492985066</v>
      </c>
      <c r="AD166" s="236">
        <f t="shared" si="137"/>
        <v>1376752.6418550084</v>
      </c>
      <c r="AE166" s="236">
        <f t="shared" si="138"/>
        <v>0</v>
      </c>
      <c r="AF166" s="971">
        <f t="shared" si="139"/>
        <v>45432837.181215294</v>
      </c>
      <c r="AG166" s="235">
        <f t="shared" si="140"/>
        <v>0</v>
      </c>
      <c r="AH166" s="236">
        <f t="shared" si="141"/>
        <v>0</v>
      </c>
      <c r="AI166" s="236">
        <f t="shared" si="142"/>
        <v>5305667.2956862971</v>
      </c>
      <c r="AJ166" s="236">
        <f t="shared" si="143"/>
        <v>1061133.4591372595</v>
      </c>
      <c r="AK166" s="236">
        <f t="shared" si="144"/>
        <v>0</v>
      </c>
      <c r="AL166" s="236">
        <f t="shared" si="145"/>
        <v>0</v>
      </c>
      <c r="AM166" s="242">
        <f t="shared" si="146"/>
        <v>6366800.7548235562</v>
      </c>
      <c r="AN166" s="235">
        <f t="shared" si="147"/>
        <v>55717442.431857802</v>
      </c>
      <c r="AO166" s="236">
        <f t="shared" si="148"/>
        <v>0</v>
      </c>
      <c r="AP166" s="236">
        <f t="shared" si="149"/>
        <v>27858721.215928901</v>
      </c>
      <c r="AQ166" s="236">
        <f t="shared" si="150"/>
        <v>39329959.363664337</v>
      </c>
      <c r="AR166" s="236">
        <f t="shared" si="151"/>
        <v>1638748.3068193463</v>
      </c>
      <c r="AS166" s="236">
        <f t="shared" si="152"/>
        <v>0</v>
      </c>
      <c r="AT166" s="242">
        <f t="shared" si="153"/>
        <v>124544871.31827039</v>
      </c>
      <c r="AU166" s="254">
        <v>0</v>
      </c>
      <c r="AV166" s="246">
        <f t="shared" si="167"/>
        <v>176.34450925430923</v>
      </c>
      <c r="AW166" s="257">
        <f t="shared" si="154"/>
        <v>3.1829183622350183</v>
      </c>
    </row>
    <row r="167" spans="1:49">
      <c r="A167" s="193">
        <f>'Input data'!A125</f>
        <v>2025</v>
      </c>
      <c r="B167" s="208">
        <f>'Input data'!B125</f>
        <v>64.142733908636146</v>
      </c>
      <c r="C167" s="417">
        <f>'Recycling - Case 2'!E105</f>
        <v>0.89030769230769258</v>
      </c>
      <c r="D167" s="525">
        <f>'Recycling - Case 2'!F105</f>
        <v>0.33738461538461528</v>
      </c>
      <c r="E167" s="235">
        <f t="shared" si="155"/>
        <v>998350383.70514131</v>
      </c>
      <c r="F167" s="236">
        <v>0</v>
      </c>
      <c r="G167" s="237">
        <f t="shared" si="132"/>
        <v>998350383.70514131</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18315889.731821243</v>
      </c>
      <c r="AA167" s="236">
        <f t="shared" si="134"/>
        <v>0</v>
      </c>
      <c r="AB167" s="236">
        <f t="shared" si="135"/>
        <v>18315889.731821243</v>
      </c>
      <c r="AC167" s="236">
        <f t="shared" si="136"/>
        <v>10256898.249819903</v>
      </c>
      <c r="AD167" s="236">
        <f t="shared" si="137"/>
        <v>1465271.1785456995</v>
      </c>
      <c r="AE167" s="236">
        <f t="shared" si="138"/>
        <v>0</v>
      </c>
      <c r="AF167" s="971">
        <f t="shared" si="139"/>
        <v>48353948.892008089</v>
      </c>
      <c r="AG167" s="235">
        <f t="shared" si="140"/>
        <v>0</v>
      </c>
      <c r="AH167" s="236">
        <f t="shared" si="141"/>
        <v>0</v>
      </c>
      <c r="AI167" s="236">
        <f t="shared" si="142"/>
        <v>5391092.0720077632</v>
      </c>
      <c r="AJ167" s="236">
        <f t="shared" si="143"/>
        <v>1078218.4144015524</v>
      </c>
      <c r="AK167" s="236">
        <f t="shared" si="144"/>
        <v>0</v>
      </c>
      <c r="AL167" s="236">
        <f t="shared" si="145"/>
        <v>0</v>
      </c>
      <c r="AM167" s="242">
        <f t="shared" si="146"/>
        <v>6469310.4864093158</v>
      </c>
      <c r="AN167" s="235">
        <f t="shared" si="147"/>
        <v>57574098.666441895</v>
      </c>
      <c r="AO167" s="236">
        <f t="shared" si="148"/>
        <v>0</v>
      </c>
      <c r="AP167" s="236">
        <f t="shared" si="149"/>
        <v>28787049.333220948</v>
      </c>
      <c r="AQ167" s="236">
        <f t="shared" si="150"/>
        <v>40640540.235135451</v>
      </c>
      <c r="AR167" s="236">
        <f t="shared" si="151"/>
        <v>1693355.8431306425</v>
      </c>
      <c r="AS167" s="236">
        <f t="shared" si="152"/>
        <v>0</v>
      </c>
      <c r="AT167" s="242">
        <f t="shared" si="153"/>
        <v>128695044.07792895</v>
      </c>
      <c r="AU167" s="254">
        <v>0</v>
      </c>
      <c r="AV167" s="246">
        <f t="shared" si="167"/>
        <v>183.51830345634633</v>
      </c>
      <c r="AW167" s="257">
        <f t="shared" si="154"/>
        <v>3.2341654672625948</v>
      </c>
    </row>
    <row r="168" spans="1:49">
      <c r="A168" s="193">
        <f>'Input data'!A126</f>
        <v>2026</v>
      </c>
      <c r="B168" s="208">
        <f>'Input data'!B126</f>
        <v>65.115730264701668</v>
      </c>
      <c r="C168" s="417">
        <f>'Recycling - Case 2'!E106</f>
        <v>0.91224615384615415</v>
      </c>
      <c r="D168" s="525">
        <f>'Recycling - Case 2'!F106</f>
        <v>0.3433576923076922</v>
      </c>
      <c r="E168" s="235">
        <f t="shared" si="155"/>
        <v>1013494597.6515775</v>
      </c>
      <c r="F168" s="236">
        <v>0</v>
      </c>
      <c r="G168" s="237">
        <f t="shared" si="132"/>
        <v>1013494597.6515775</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19435707.938041404</v>
      </c>
      <c r="AA168" s="236">
        <f t="shared" si="134"/>
        <v>0</v>
      </c>
      <c r="AB168" s="236">
        <f t="shared" si="135"/>
        <v>19435707.938041404</v>
      </c>
      <c r="AC168" s="236">
        <f t="shared" si="136"/>
        <v>10883996.44530319</v>
      </c>
      <c r="AD168" s="236">
        <f t="shared" si="137"/>
        <v>1554856.6350433123</v>
      </c>
      <c r="AE168" s="236">
        <f t="shared" si="138"/>
        <v>0</v>
      </c>
      <c r="AF168" s="971">
        <f t="shared" si="139"/>
        <v>51310268.95642931</v>
      </c>
      <c r="AG168" s="235">
        <f t="shared" si="140"/>
        <v>0</v>
      </c>
      <c r="AH168" s="236">
        <f t="shared" si="141"/>
        <v>0</v>
      </c>
      <c r="AI168" s="236">
        <f t="shared" si="142"/>
        <v>5472870.8273185184</v>
      </c>
      <c r="AJ168" s="236">
        <f t="shared" si="143"/>
        <v>1094574.1654637037</v>
      </c>
      <c r="AK168" s="236">
        <f t="shared" si="144"/>
        <v>0</v>
      </c>
      <c r="AL168" s="236">
        <f t="shared" si="145"/>
        <v>0</v>
      </c>
      <c r="AM168" s="242">
        <f t="shared" si="146"/>
        <v>6567444.9927822221</v>
      </c>
      <c r="AN168" s="235">
        <f t="shared" si="147"/>
        <v>59421578.065926477</v>
      </c>
      <c r="AO168" s="236">
        <f t="shared" si="148"/>
        <v>0</v>
      </c>
      <c r="AP168" s="236">
        <f t="shared" si="149"/>
        <v>29710789.032963239</v>
      </c>
      <c r="AQ168" s="236">
        <f t="shared" si="150"/>
        <v>41944643.340653993</v>
      </c>
      <c r="AR168" s="236">
        <f t="shared" si="151"/>
        <v>1747693.4725272481</v>
      </c>
      <c r="AS168" s="236">
        <f t="shared" si="152"/>
        <v>0</v>
      </c>
      <c r="AT168" s="242">
        <f t="shared" si="153"/>
        <v>132824703.91207094</v>
      </c>
      <c r="AU168" s="254">
        <v>0</v>
      </c>
      <c r="AV168" s="246">
        <f t="shared" si="167"/>
        <v>190.70241786128247</v>
      </c>
      <c r="AW168" s="257">
        <f t="shared" si="154"/>
        <v>3.2832252909215254</v>
      </c>
    </row>
    <row r="169" spans="1:49">
      <c r="A169" s="193">
        <f>'Input data'!A127</f>
        <v>2027</v>
      </c>
      <c r="B169" s="208">
        <f>'Input data'!B127</f>
        <v>66.042835586617315</v>
      </c>
      <c r="C169" s="417">
        <f>'Recycling - Case 2'!E107</f>
        <v>0.93418461538461572</v>
      </c>
      <c r="D169" s="525">
        <f>'Recycling - Case 2'!F107</f>
        <v>0.34933076923076911</v>
      </c>
      <c r="E169" s="235">
        <f t="shared" si="155"/>
        <v>1027924540.0233501</v>
      </c>
      <c r="F169" s="236">
        <v>0</v>
      </c>
      <c r="G169" s="237">
        <f t="shared" si="132"/>
        <v>1027924540.0233501</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20566397.912313335</v>
      </c>
      <c r="AA169" s="236">
        <f t="shared" si="134"/>
        <v>0</v>
      </c>
      <c r="AB169" s="236">
        <f t="shared" si="135"/>
        <v>20566397.912313335</v>
      </c>
      <c r="AC169" s="236">
        <f t="shared" si="136"/>
        <v>11517182.830895474</v>
      </c>
      <c r="AD169" s="236">
        <f t="shared" si="137"/>
        <v>1645311.832985067</v>
      </c>
      <c r="AE169" s="236">
        <f t="shared" si="138"/>
        <v>0</v>
      </c>
      <c r="AF169" s="971">
        <f t="shared" si="139"/>
        <v>54295290.488507211</v>
      </c>
      <c r="AG169" s="235">
        <f t="shared" si="140"/>
        <v>0</v>
      </c>
      <c r="AH169" s="236">
        <f t="shared" si="141"/>
        <v>0</v>
      </c>
      <c r="AI169" s="236">
        <f t="shared" si="142"/>
        <v>5550792.5161260897</v>
      </c>
      <c r="AJ169" s="236">
        <f t="shared" si="143"/>
        <v>1110158.503225218</v>
      </c>
      <c r="AK169" s="236">
        <f t="shared" si="144"/>
        <v>0</v>
      </c>
      <c r="AL169" s="236">
        <f t="shared" si="145"/>
        <v>0</v>
      </c>
      <c r="AM169" s="242">
        <f t="shared" si="146"/>
        <v>6660951.0193513073</v>
      </c>
      <c r="AN169" s="235">
        <f t="shared" si="147"/>
        <v>61255604.762360722</v>
      </c>
      <c r="AO169" s="236">
        <f t="shared" si="148"/>
        <v>0</v>
      </c>
      <c r="AP169" s="236">
        <f t="shared" si="149"/>
        <v>30627802.381180361</v>
      </c>
      <c r="AQ169" s="236">
        <f t="shared" si="150"/>
        <v>43239250.420489922</v>
      </c>
      <c r="AR169" s="236">
        <f t="shared" si="151"/>
        <v>1801635.4341870784</v>
      </c>
      <c r="AS169" s="236">
        <f t="shared" si="152"/>
        <v>0</v>
      </c>
      <c r="AT169" s="242">
        <f t="shared" si="153"/>
        <v>136924292.99821809</v>
      </c>
      <c r="AU169" s="254">
        <v>0</v>
      </c>
      <c r="AV169" s="246">
        <f t="shared" si="167"/>
        <v>197.8805345060766</v>
      </c>
      <c r="AW169" s="257">
        <f t="shared" si="154"/>
        <v>3.3299712250896238</v>
      </c>
    </row>
    <row r="170" spans="1:49">
      <c r="A170" s="193">
        <f>'Input data'!A128</f>
        <v>2028</v>
      </c>
      <c r="B170" s="208">
        <f>'Input data'!B128</f>
        <v>66.921626677758155</v>
      </c>
      <c r="C170" s="417">
        <f>'Recycling - Case 2'!E108</f>
        <v>0.9561230769230773</v>
      </c>
      <c r="D170" s="525">
        <f>'Recycling - Case 2'!F108</f>
        <v>0.35530384615384603</v>
      </c>
      <c r="E170" s="235">
        <f t="shared" si="155"/>
        <v>1041602494.9463006</v>
      </c>
      <c r="F170" s="236">
        <v>0</v>
      </c>
      <c r="G170" s="237">
        <f t="shared" si="132"/>
        <v>1041602494.9463006</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21705393.529304061</v>
      </c>
      <c r="AA170" s="236">
        <f t="shared" si="134"/>
        <v>0</v>
      </c>
      <c r="AB170" s="236">
        <f t="shared" si="135"/>
        <v>21705393.529304061</v>
      </c>
      <c r="AC170" s="236">
        <f t="shared" si="136"/>
        <v>12155020.376410283</v>
      </c>
      <c r="AD170" s="236">
        <f t="shared" si="137"/>
        <v>1736431.4823443252</v>
      </c>
      <c r="AE170" s="236">
        <f t="shared" si="138"/>
        <v>0</v>
      </c>
      <c r="AF170" s="971">
        <f t="shared" si="139"/>
        <v>57302238.917362727</v>
      </c>
      <c r="AG170" s="235">
        <f t="shared" si="140"/>
        <v>0</v>
      </c>
      <c r="AH170" s="236">
        <f t="shared" si="141"/>
        <v>0</v>
      </c>
      <c r="AI170" s="236">
        <f t="shared" si="142"/>
        <v>5624653.4727100236</v>
      </c>
      <c r="AJ170" s="236">
        <f t="shared" si="143"/>
        <v>1124930.6945420045</v>
      </c>
      <c r="AK170" s="236">
        <f t="shared" si="144"/>
        <v>0</v>
      </c>
      <c r="AL170" s="236">
        <f t="shared" si="145"/>
        <v>0</v>
      </c>
      <c r="AM170" s="242">
        <f t="shared" si="146"/>
        <v>6749584.1672520284</v>
      </c>
      <c r="AN170" s="235">
        <f t="shared" si="147"/>
        <v>63071835.383407988</v>
      </c>
      <c r="AO170" s="236">
        <f t="shared" si="148"/>
        <v>0</v>
      </c>
      <c r="AP170" s="236">
        <f t="shared" si="149"/>
        <v>31535917.691703994</v>
      </c>
      <c r="AQ170" s="236">
        <f t="shared" si="150"/>
        <v>44521295.564758591</v>
      </c>
      <c r="AR170" s="236">
        <f t="shared" si="151"/>
        <v>1855053.9818649392</v>
      </c>
      <c r="AS170" s="236">
        <f t="shared" si="152"/>
        <v>0</v>
      </c>
      <c r="AT170" s="242">
        <f t="shared" si="153"/>
        <v>140984102.62173551</v>
      </c>
      <c r="AU170" s="254">
        <v>0</v>
      </c>
      <c r="AV170" s="246">
        <f t="shared" si="167"/>
        <v>205.03592570635027</v>
      </c>
      <c r="AW170" s="257">
        <f t="shared" si="154"/>
        <v>3.3742810888374657</v>
      </c>
    </row>
    <row r="171" spans="1:49">
      <c r="A171" s="193">
        <f>'Input data'!A129</f>
        <v>2029</v>
      </c>
      <c r="B171" s="208">
        <f>'Input data'!B129</f>
        <v>67.749778587208695</v>
      </c>
      <c r="C171" s="417">
        <f>'Recycling - Case 2'!E109</f>
        <v>0.97806153846153887</v>
      </c>
      <c r="D171" s="525">
        <f>'Recycling - Case 2'!F109</f>
        <v>0.36127692307692294</v>
      </c>
      <c r="E171" s="235">
        <f t="shared" si="155"/>
        <v>1054492275.6928422</v>
      </c>
      <c r="F171" s="236">
        <v>0</v>
      </c>
      <c r="G171" s="237">
        <f t="shared" si="132"/>
        <v>1054492275.6928422</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22850036.466359511</v>
      </c>
      <c r="AA171" s="236">
        <f t="shared" si="134"/>
        <v>0</v>
      </c>
      <c r="AB171" s="236">
        <f t="shared" si="135"/>
        <v>22850036.466359511</v>
      </c>
      <c r="AC171" s="236">
        <f t="shared" si="136"/>
        <v>12796020.421161335</v>
      </c>
      <c r="AD171" s="236">
        <f t="shared" si="137"/>
        <v>1828002.917308761</v>
      </c>
      <c r="AE171" s="236">
        <f t="shared" si="138"/>
        <v>0</v>
      </c>
      <c r="AF171" s="971">
        <f t="shared" si="139"/>
        <v>60324096.271189123</v>
      </c>
      <c r="AG171" s="235">
        <f t="shared" si="140"/>
        <v>0</v>
      </c>
      <c r="AH171" s="236">
        <f t="shared" si="141"/>
        <v>0</v>
      </c>
      <c r="AI171" s="236">
        <f t="shared" si="142"/>
        <v>5694258.2887413483</v>
      </c>
      <c r="AJ171" s="236">
        <f t="shared" si="143"/>
        <v>1138851.6577482694</v>
      </c>
      <c r="AK171" s="236">
        <f t="shared" si="144"/>
        <v>0</v>
      </c>
      <c r="AL171" s="236">
        <f t="shared" si="145"/>
        <v>0</v>
      </c>
      <c r="AM171" s="242">
        <f t="shared" si="146"/>
        <v>6833109.9464896172</v>
      </c>
      <c r="AN171" s="235">
        <f t="shared" si="147"/>
        <v>64865875.617388636</v>
      </c>
      <c r="AO171" s="236">
        <f t="shared" si="148"/>
        <v>0</v>
      </c>
      <c r="AP171" s="236">
        <f t="shared" si="149"/>
        <v>32432937.808694318</v>
      </c>
      <c r="AQ171" s="236">
        <f t="shared" si="150"/>
        <v>45787676.906391986</v>
      </c>
      <c r="AR171" s="236">
        <f t="shared" si="151"/>
        <v>1907819.8710996641</v>
      </c>
      <c r="AS171" s="236">
        <f t="shared" si="152"/>
        <v>0</v>
      </c>
      <c r="AT171" s="242">
        <f t="shared" si="153"/>
        <v>144994310.2035746</v>
      </c>
      <c r="AU171" s="254">
        <v>0</v>
      </c>
      <c r="AV171" s="246">
        <f t="shared" si="167"/>
        <v>212.15151642125332</v>
      </c>
      <c r="AW171" s="257">
        <f t="shared" si="154"/>
        <v>3.4160376549203448</v>
      </c>
    </row>
    <row r="172" spans="1:49" s="1" customFormat="1">
      <c r="A172" s="123">
        <f>'Input data'!A130</f>
        <v>2030</v>
      </c>
      <c r="B172" s="208">
        <f>'Input data'!B130</f>
        <v>68.525074762177482</v>
      </c>
      <c r="C172" s="417">
        <f>'Recycling - Case 2'!E110</f>
        <v>1</v>
      </c>
      <c r="D172" s="525">
        <f>'Recycling - Case 2'!F110</f>
        <v>0.36725000000000002</v>
      </c>
      <c r="E172" s="766">
        <f t="shared" si="155"/>
        <v>1066559382.6993461</v>
      </c>
      <c r="F172" s="526">
        <v>0</v>
      </c>
      <c r="G172" s="663">
        <f t="shared" si="132"/>
        <v>1066559382.6993461</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23997586.110735286</v>
      </c>
      <c r="AA172" s="526">
        <f t="shared" si="134"/>
        <v>0</v>
      </c>
      <c r="AB172" s="526">
        <f t="shared" si="135"/>
        <v>23997586.110735286</v>
      </c>
      <c r="AC172" s="526">
        <f t="shared" si="136"/>
        <v>13438648.222011764</v>
      </c>
      <c r="AD172" s="526">
        <f t="shared" si="137"/>
        <v>1919806.8888588231</v>
      </c>
      <c r="AE172" s="526">
        <f t="shared" si="138"/>
        <v>0</v>
      </c>
      <c r="AF172" s="981">
        <f t="shared" si="139"/>
        <v>63353627.332341164</v>
      </c>
      <c r="AG172" s="766">
        <f t="shared" si="140"/>
        <v>0</v>
      </c>
      <c r="AH172" s="526">
        <f t="shared" si="141"/>
        <v>0</v>
      </c>
      <c r="AI172" s="526">
        <f t="shared" si="142"/>
        <v>5759420.6665764684</v>
      </c>
      <c r="AJ172" s="526">
        <f t="shared" si="143"/>
        <v>1151884.1333152936</v>
      </c>
      <c r="AK172" s="526">
        <f t="shared" si="144"/>
        <v>0</v>
      </c>
      <c r="AL172" s="526">
        <f t="shared" si="145"/>
        <v>0</v>
      </c>
      <c r="AM172" s="768">
        <f t="shared" si="146"/>
        <v>6911304.7998917624</v>
      </c>
      <c r="AN172" s="766">
        <f t="shared" si="147"/>
        <v>66633297.434141643</v>
      </c>
      <c r="AO172" s="526">
        <f t="shared" si="148"/>
        <v>0</v>
      </c>
      <c r="AP172" s="526">
        <f t="shared" si="149"/>
        <v>33316648.717070822</v>
      </c>
      <c r="AQ172" s="526">
        <f t="shared" si="150"/>
        <v>47035268.77704116</v>
      </c>
      <c r="AR172" s="526">
        <f t="shared" si="151"/>
        <v>1959802.8657100482</v>
      </c>
      <c r="AS172" s="526">
        <f t="shared" si="152"/>
        <v>0</v>
      </c>
      <c r="AT172" s="768">
        <f t="shared" si="153"/>
        <v>148945017.79396367</v>
      </c>
      <c r="AU172" s="254">
        <v>0</v>
      </c>
      <c r="AV172" s="246">
        <f t="shared" si="167"/>
        <v>219.2099499261966</v>
      </c>
      <c r="AW172" s="257">
        <f t="shared" si="154"/>
        <v>3.4551291616770792</v>
      </c>
    </row>
    <row r="173" spans="1:49">
      <c r="A173" s="193">
        <f>'Input data'!A131</f>
        <v>2031</v>
      </c>
      <c r="B173" s="208">
        <f>'Input data'!B131</f>
        <v>69.286388472916428</v>
      </c>
      <c r="C173" s="417">
        <f>'Recycling - Case 2'!E111</f>
        <v>1</v>
      </c>
      <c r="D173" s="525">
        <f>'Recycling - Case 2'!F111</f>
        <v>0.36725000000000002</v>
      </c>
      <c r="E173" s="235">
        <f t="shared" si="155"/>
        <v>1078408859.4665639</v>
      </c>
      <c r="F173" s="236">
        <v>0</v>
      </c>
      <c r="G173" s="237">
        <f t="shared" si="132"/>
        <v>1078408859.4665639</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24264199.33799769</v>
      </c>
      <c r="AA173" s="236">
        <f t="shared" si="134"/>
        <v>0</v>
      </c>
      <c r="AB173" s="236">
        <f t="shared" si="135"/>
        <v>24264199.33799769</v>
      </c>
      <c r="AC173" s="236">
        <f t="shared" si="136"/>
        <v>13587951.62927871</v>
      </c>
      <c r="AD173" s="236">
        <f t="shared" si="137"/>
        <v>1941135.9470398154</v>
      </c>
      <c r="AE173" s="236">
        <f t="shared" si="138"/>
        <v>0</v>
      </c>
      <c r="AF173" s="971">
        <f t="shared" si="139"/>
        <v>64057486.252313904</v>
      </c>
      <c r="AG173" s="235">
        <f t="shared" si="140"/>
        <v>0</v>
      </c>
      <c r="AH173" s="236">
        <f t="shared" si="141"/>
        <v>0</v>
      </c>
      <c r="AI173" s="236">
        <f t="shared" si="142"/>
        <v>5823407.841119444</v>
      </c>
      <c r="AJ173" s="236">
        <f t="shared" si="143"/>
        <v>1164681.568223889</v>
      </c>
      <c r="AK173" s="236">
        <f t="shared" si="144"/>
        <v>0</v>
      </c>
      <c r="AL173" s="236">
        <f t="shared" si="145"/>
        <v>0</v>
      </c>
      <c r="AM173" s="242">
        <f t="shared" si="146"/>
        <v>6988089.409343333</v>
      </c>
      <c r="AN173" s="235">
        <f t="shared" si="147"/>
        <v>67373593.495173588</v>
      </c>
      <c r="AO173" s="236">
        <f t="shared" si="148"/>
        <v>0</v>
      </c>
      <c r="AP173" s="236">
        <f t="shared" si="149"/>
        <v>33686796.747586794</v>
      </c>
      <c r="AQ173" s="236">
        <f t="shared" si="150"/>
        <v>47557830.702475466</v>
      </c>
      <c r="AR173" s="236">
        <f t="shared" si="151"/>
        <v>1981576.2792698112</v>
      </c>
      <c r="AS173" s="236">
        <f t="shared" si="152"/>
        <v>0</v>
      </c>
      <c r="AT173" s="242">
        <f t="shared" si="153"/>
        <v>150599797.22450566</v>
      </c>
      <c r="AU173" s="254">
        <v>0</v>
      </c>
      <c r="AV173" s="246">
        <f t="shared" si="167"/>
        <v>221.6453728861629</v>
      </c>
      <c r="AW173" s="257">
        <f t="shared" si="154"/>
        <v>3.493515653224704</v>
      </c>
    </row>
    <row r="174" spans="1:49">
      <c r="A174" s="193">
        <f>'Input data'!A132</f>
        <v>2032</v>
      </c>
      <c r="B174" s="208">
        <f>'Input data'!B132</f>
        <v>70.033051881823098</v>
      </c>
      <c r="C174" s="417">
        <f>'Recycling - Case 2'!E112</f>
        <v>1</v>
      </c>
      <c r="D174" s="525">
        <f>'Recycling - Case 2'!F112</f>
        <v>0.36725000000000002</v>
      </c>
      <c r="E174" s="235">
        <f t="shared" si="155"/>
        <v>1090030311.4277842</v>
      </c>
      <c r="F174" s="236">
        <v>0</v>
      </c>
      <c r="G174" s="237">
        <f t="shared" si="132"/>
        <v>1090030311.4277842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24525682.007125147</v>
      </c>
      <c r="AA174" s="236">
        <f t="shared" si="134"/>
        <v>0</v>
      </c>
      <c r="AB174" s="236">
        <f t="shared" si="135"/>
        <v>24525682.007125147</v>
      </c>
      <c r="AC174" s="236">
        <f t="shared" si="136"/>
        <v>13734381.923990086</v>
      </c>
      <c r="AD174" s="236">
        <f t="shared" si="137"/>
        <v>1962054.5605700121</v>
      </c>
      <c r="AE174" s="236">
        <f t="shared" si="138"/>
        <v>0</v>
      </c>
      <c r="AF174" s="971">
        <f t="shared" si="139"/>
        <v>64747800.498810388</v>
      </c>
      <c r="AG174" s="235">
        <f t="shared" si="140"/>
        <v>0</v>
      </c>
      <c r="AH174" s="236">
        <f t="shared" si="141"/>
        <v>0</v>
      </c>
      <c r="AI174" s="236">
        <f t="shared" si="142"/>
        <v>5886163.6817100337</v>
      </c>
      <c r="AJ174" s="236">
        <f t="shared" si="143"/>
        <v>1177232.7363420068</v>
      </c>
      <c r="AK174" s="236">
        <f t="shared" si="144"/>
        <v>0</v>
      </c>
      <c r="AL174" s="236">
        <f t="shared" si="145"/>
        <v>0</v>
      </c>
      <c r="AM174" s="242">
        <f t="shared" si="146"/>
        <v>7063396.41805204</v>
      </c>
      <c r="AN174" s="235">
        <f t="shared" si="147"/>
        <v>68099643.70645082</v>
      </c>
      <c r="AO174" s="236">
        <f t="shared" si="148"/>
        <v>0</v>
      </c>
      <c r="AP174" s="236">
        <f t="shared" si="149"/>
        <v>34049821.85322541</v>
      </c>
      <c r="AQ174" s="236">
        <f t="shared" si="150"/>
        <v>48070336.733965278</v>
      </c>
      <c r="AR174" s="236">
        <f t="shared" si="151"/>
        <v>2002930.6972485534</v>
      </c>
      <c r="AS174" s="236">
        <f t="shared" si="152"/>
        <v>0</v>
      </c>
      <c r="AT174" s="242">
        <f t="shared" si="153"/>
        <v>152222732.99089006</v>
      </c>
      <c r="AU174" s="254">
        <v>0</v>
      </c>
      <c r="AV174" s="246">
        <f t="shared" si="167"/>
        <v>224.03392990775248</v>
      </c>
      <c r="AW174" s="257">
        <f t="shared" si="154"/>
        <v>3.5311634562664973</v>
      </c>
    </row>
    <row r="175" spans="1:49">
      <c r="A175" s="193">
        <f>'Input data'!A133</f>
        <v>2033</v>
      </c>
      <c r="B175" s="208">
        <f>'Input data'!B133</f>
        <v>70.764404167450692</v>
      </c>
      <c r="C175" s="417">
        <f>'Recycling - Case 2'!E113</f>
        <v>1</v>
      </c>
      <c r="D175" s="525">
        <f>'Recycling - Case 2'!F113</f>
        <v>0.36725000000000002</v>
      </c>
      <c r="E175" s="235">
        <f t="shared" si="155"/>
        <v>1101413453.2193384</v>
      </c>
      <c r="F175" s="236">
        <v>0</v>
      </c>
      <c r="G175" s="237">
        <f t="shared" si="132"/>
        <v>1101413453.2193384</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24781802.697435118</v>
      </c>
      <c r="AA175" s="236">
        <f t="shared" si="134"/>
        <v>0</v>
      </c>
      <c r="AB175" s="236">
        <f t="shared" si="135"/>
        <v>24781802.697435118</v>
      </c>
      <c r="AC175" s="236">
        <f t="shared" si="136"/>
        <v>13877809.51056367</v>
      </c>
      <c r="AD175" s="236">
        <f t="shared" si="137"/>
        <v>1982544.2157948096</v>
      </c>
      <c r="AE175" s="236">
        <f t="shared" si="138"/>
        <v>0</v>
      </c>
      <c r="AF175" s="971">
        <f t="shared" si="139"/>
        <v>65423959.121228717</v>
      </c>
      <c r="AG175" s="235">
        <f t="shared" si="140"/>
        <v>0</v>
      </c>
      <c r="AH175" s="236">
        <f t="shared" si="141"/>
        <v>0</v>
      </c>
      <c r="AI175" s="236">
        <f t="shared" si="142"/>
        <v>5947632.6473844275</v>
      </c>
      <c r="AJ175" s="236">
        <f t="shared" si="143"/>
        <v>1189526.5294768855</v>
      </c>
      <c r="AK175" s="236">
        <f t="shared" si="144"/>
        <v>0</v>
      </c>
      <c r="AL175" s="236">
        <f t="shared" si="145"/>
        <v>0</v>
      </c>
      <c r="AM175" s="242">
        <f t="shared" si="146"/>
        <v>7137159.1768613132</v>
      </c>
      <c r="AN175" s="235">
        <f t="shared" si="147"/>
        <v>68810805.489878178</v>
      </c>
      <c r="AO175" s="236">
        <f t="shared" si="148"/>
        <v>0</v>
      </c>
      <c r="AP175" s="236">
        <f t="shared" si="149"/>
        <v>34405402.744939089</v>
      </c>
      <c r="AQ175" s="236">
        <f t="shared" si="150"/>
        <v>48572333.286972821</v>
      </c>
      <c r="AR175" s="236">
        <f t="shared" si="151"/>
        <v>2023847.2202905342</v>
      </c>
      <c r="AS175" s="236">
        <f t="shared" si="152"/>
        <v>0</v>
      </c>
      <c r="AT175" s="242">
        <f t="shared" si="153"/>
        <v>153812388.74208063</v>
      </c>
      <c r="AU175" s="254">
        <v>0</v>
      </c>
      <c r="AV175" s="246">
        <f t="shared" si="167"/>
        <v>226.37350704017067</v>
      </c>
      <c r="AW175" s="257">
        <f t="shared" si="154"/>
        <v>3.5680392512700192</v>
      </c>
    </row>
    <row r="176" spans="1:49">
      <c r="A176" s="193">
        <f>'Input data'!A134</f>
        <v>2034</v>
      </c>
      <c r="B176" s="208">
        <f>'Input data'!B134</f>
        <v>71.479792486390252</v>
      </c>
      <c r="C176" s="417">
        <f>'Recycling - Case 2'!E114</f>
        <v>1</v>
      </c>
      <c r="D176" s="525">
        <f>'Recycling - Case 2'!F114</f>
        <v>0.36725000000000002</v>
      </c>
      <c r="E176" s="235">
        <f t="shared" si="155"/>
        <v>1112548123.6518273</v>
      </c>
      <c r="F176" s="236">
        <v>0</v>
      </c>
      <c r="G176" s="237">
        <f t="shared" si="132"/>
        <v>1112548123.6518273</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25032332.782166116</v>
      </c>
      <c r="AA176" s="236">
        <f t="shared" si="134"/>
        <v>0</v>
      </c>
      <c r="AB176" s="236">
        <f t="shared" si="135"/>
        <v>25032332.782166116</v>
      </c>
      <c r="AC176" s="236">
        <f t="shared" si="136"/>
        <v>14018106.358013028</v>
      </c>
      <c r="AD176" s="236">
        <f t="shared" si="137"/>
        <v>2002586.6225732896</v>
      </c>
      <c r="AE176" s="236">
        <f t="shared" si="138"/>
        <v>0</v>
      </c>
      <c r="AF176" s="971">
        <f t="shared" si="139"/>
        <v>66085358.544918545</v>
      </c>
      <c r="AG176" s="235">
        <f t="shared" si="140"/>
        <v>0</v>
      </c>
      <c r="AH176" s="236">
        <f t="shared" si="141"/>
        <v>0</v>
      </c>
      <c r="AI176" s="236">
        <f t="shared" si="142"/>
        <v>6007759.8677198673</v>
      </c>
      <c r="AJ176" s="236">
        <f t="shared" si="143"/>
        <v>1201551.9735439734</v>
      </c>
      <c r="AK176" s="236">
        <f t="shared" si="144"/>
        <v>0</v>
      </c>
      <c r="AL176" s="236">
        <f t="shared" si="145"/>
        <v>0</v>
      </c>
      <c r="AM176" s="242">
        <f t="shared" si="146"/>
        <v>7209311.8412638409</v>
      </c>
      <c r="AN176" s="235">
        <f t="shared" si="147"/>
        <v>69506444.025147915</v>
      </c>
      <c r="AO176" s="236">
        <f t="shared" si="148"/>
        <v>0</v>
      </c>
      <c r="AP176" s="236">
        <f t="shared" si="149"/>
        <v>34753222.012573957</v>
      </c>
      <c r="AQ176" s="236">
        <f t="shared" si="150"/>
        <v>49063372.253045589</v>
      </c>
      <c r="AR176" s="236">
        <f t="shared" si="151"/>
        <v>2044307.1772102325</v>
      </c>
      <c r="AS176" s="236">
        <f t="shared" si="152"/>
        <v>0</v>
      </c>
      <c r="AT176" s="242">
        <f t="shared" si="153"/>
        <v>155367345.4679777</v>
      </c>
      <c r="AU176" s="254">
        <v>0</v>
      </c>
      <c r="AV176" s="246">
        <f t="shared" si="167"/>
        <v>228.66201585416007</v>
      </c>
      <c r="AW176" s="257">
        <f t="shared" si="154"/>
        <v>3.604110120966546</v>
      </c>
    </row>
    <row r="177" spans="1:49">
      <c r="A177" s="193">
        <f>'Input data'!A135</f>
        <v>2035</v>
      </c>
      <c r="B177" s="208">
        <f>'Input data'!B135</f>
        <v>72.178572932855872</v>
      </c>
      <c r="C177" s="417">
        <f>'Recycling - Case 2'!E115</f>
        <v>1</v>
      </c>
      <c r="D177" s="525">
        <f>'Recycling - Case 2'!F115</f>
        <v>0.36725000000000002</v>
      </c>
      <c r="E177" s="235">
        <f t="shared" si="155"/>
        <v>1123424300.645597</v>
      </c>
      <c r="F177" s="236">
        <v>0</v>
      </c>
      <c r="G177" s="237">
        <f t="shared" si="132"/>
        <v>1123424300.645597</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25277046.764525935</v>
      </c>
      <c r="AA177" s="236">
        <f t="shared" si="134"/>
        <v>0</v>
      </c>
      <c r="AB177" s="236">
        <f t="shared" si="135"/>
        <v>25277046.764525935</v>
      </c>
      <c r="AC177" s="236">
        <f t="shared" si="136"/>
        <v>14155146.188134527</v>
      </c>
      <c r="AD177" s="236">
        <f t="shared" si="137"/>
        <v>2022163.741162075</v>
      </c>
      <c r="AE177" s="236">
        <f t="shared" si="138"/>
        <v>0</v>
      </c>
      <c r="AF177" s="971">
        <f t="shared" si="139"/>
        <v>66731403.458348475</v>
      </c>
      <c r="AG177" s="235">
        <f t="shared" si="140"/>
        <v>0</v>
      </c>
      <c r="AH177" s="236">
        <f t="shared" si="141"/>
        <v>0</v>
      </c>
      <c r="AI177" s="236">
        <f t="shared" si="142"/>
        <v>6066491.2234862233</v>
      </c>
      <c r="AJ177" s="236">
        <f t="shared" si="143"/>
        <v>1213298.2446972446</v>
      </c>
      <c r="AK177" s="236">
        <f t="shared" si="144"/>
        <v>0</v>
      </c>
      <c r="AL177" s="236">
        <f t="shared" si="145"/>
        <v>0</v>
      </c>
      <c r="AM177" s="242">
        <f t="shared" si="146"/>
        <v>7279789.4681834681</v>
      </c>
      <c r="AN177" s="235">
        <f t="shared" si="147"/>
        <v>70185933.182833672</v>
      </c>
      <c r="AO177" s="236">
        <f t="shared" si="148"/>
        <v>0</v>
      </c>
      <c r="AP177" s="236">
        <f t="shared" si="149"/>
        <v>35092966.591416836</v>
      </c>
      <c r="AQ177" s="236">
        <f t="shared" si="150"/>
        <v>49543011.658470824</v>
      </c>
      <c r="AR177" s="236">
        <f t="shared" si="151"/>
        <v>2064292.1524362846</v>
      </c>
      <c r="AS177" s="236">
        <f t="shared" si="152"/>
        <v>0</v>
      </c>
      <c r="AT177" s="242">
        <f t="shared" si="153"/>
        <v>156886203.5851576</v>
      </c>
      <c r="AU177" s="254">
        <v>0</v>
      </c>
      <c r="AV177" s="246">
        <f t="shared" si="167"/>
        <v>230.89739651168955</v>
      </c>
      <c r="AW177" s="257">
        <f t="shared" si="154"/>
        <v>3.6393435987346821</v>
      </c>
    </row>
    <row r="178" spans="1:49">
      <c r="A178" s="193">
        <f>'Input data'!A136</f>
        <v>2036</v>
      </c>
      <c r="B178" s="208">
        <f>'Input data'!B136</f>
        <v>72.865243718484663</v>
      </c>
      <c r="C178" s="417">
        <f>'Recycling - Case 2'!E116</f>
        <v>1</v>
      </c>
      <c r="D178" s="525">
        <f>'Recycling - Case 2'!F116</f>
        <v>0.36725000000000002</v>
      </c>
      <c r="E178" s="235">
        <f t="shared" si="155"/>
        <v>1134111996.6719012</v>
      </c>
      <c r="F178" s="236">
        <v>0</v>
      </c>
      <c r="G178" s="237">
        <f t="shared" si="132"/>
        <v>1134111996.6719012</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25517519.92511778</v>
      </c>
      <c r="AA178" s="236">
        <f t="shared" si="134"/>
        <v>0</v>
      </c>
      <c r="AB178" s="236">
        <f t="shared" si="135"/>
        <v>25517519.92511778</v>
      </c>
      <c r="AC178" s="236">
        <f t="shared" si="136"/>
        <v>14289811.15806596</v>
      </c>
      <c r="AD178" s="236">
        <f t="shared" si="137"/>
        <v>2041401.5940094227</v>
      </c>
      <c r="AE178" s="236">
        <f t="shared" si="138"/>
        <v>0</v>
      </c>
      <c r="AF178" s="971">
        <f t="shared" si="139"/>
        <v>67366252.602310941</v>
      </c>
      <c r="AG178" s="235">
        <f t="shared" si="140"/>
        <v>0</v>
      </c>
      <c r="AH178" s="236">
        <f t="shared" si="141"/>
        <v>0</v>
      </c>
      <c r="AI178" s="236">
        <f t="shared" si="142"/>
        <v>6124204.7820282662</v>
      </c>
      <c r="AJ178" s="236">
        <f t="shared" si="143"/>
        <v>1224840.9564056532</v>
      </c>
      <c r="AK178" s="236">
        <f t="shared" si="144"/>
        <v>0</v>
      </c>
      <c r="AL178" s="236">
        <f t="shared" si="145"/>
        <v>0</v>
      </c>
      <c r="AM178" s="242">
        <f t="shared" si="146"/>
        <v>7349045.7384339198</v>
      </c>
      <c r="AN178" s="235">
        <f t="shared" si="147"/>
        <v>70853646.992077023</v>
      </c>
      <c r="AO178" s="236">
        <f t="shared" si="148"/>
        <v>0</v>
      </c>
      <c r="AP178" s="236">
        <f t="shared" si="149"/>
        <v>35426823.496038511</v>
      </c>
      <c r="AQ178" s="236">
        <f t="shared" si="150"/>
        <v>50014339.053230837</v>
      </c>
      <c r="AR178" s="236">
        <f t="shared" si="151"/>
        <v>2083930.7938846182</v>
      </c>
      <c r="AS178" s="236">
        <f t="shared" si="152"/>
        <v>0</v>
      </c>
      <c r="AT178" s="242">
        <f t="shared" si="153"/>
        <v>158378740.33523098</v>
      </c>
      <c r="AU178" s="254">
        <v>0</v>
      </c>
      <c r="AV178" s="246">
        <f t="shared" si="167"/>
        <v>233.09403867597584</v>
      </c>
      <c r="AW178" s="257">
        <f t="shared" si="154"/>
        <v>3.6739664906342075</v>
      </c>
    </row>
    <row r="179" spans="1:49">
      <c r="A179" s="193">
        <f>'Input data'!A137</f>
        <v>2037</v>
      </c>
      <c r="B179" s="208">
        <f>'Input data'!B137</f>
        <v>73.539326072165721</v>
      </c>
      <c r="C179" s="417">
        <f>'Recycling - Case 2'!E117</f>
        <v>1</v>
      </c>
      <c r="D179" s="525">
        <f>'Recycling - Case 2'!F117</f>
        <v>0.36725000000000002</v>
      </c>
      <c r="E179" s="235">
        <f t="shared" si="155"/>
        <v>1144603759.8917994</v>
      </c>
      <c r="F179" s="236">
        <v>0</v>
      </c>
      <c r="G179" s="237">
        <f t="shared" si="132"/>
        <v>1144603759.8917994</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25753584.597565491</v>
      </c>
      <c r="AA179" s="236">
        <f t="shared" si="134"/>
        <v>0</v>
      </c>
      <c r="AB179" s="236">
        <f t="shared" si="135"/>
        <v>25753584.597565491</v>
      </c>
      <c r="AC179" s="236">
        <f t="shared" si="136"/>
        <v>14422007.374636678</v>
      </c>
      <c r="AD179" s="236">
        <f t="shared" si="137"/>
        <v>2060286.7678052392</v>
      </c>
      <c r="AE179" s="236">
        <f t="shared" si="138"/>
        <v>0</v>
      </c>
      <c r="AF179" s="971">
        <f t="shared" si="139"/>
        <v>67989463.337572902</v>
      </c>
      <c r="AG179" s="235">
        <f t="shared" si="140"/>
        <v>0</v>
      </c>
      <c r="AH179" s="236">
        <f t="shared" si="141"/>
        <v>0</v>
      </c>
      <c r="AI179" s="236">
        <f t="shared" si="142"/>
        <v>6180860.3034157166</v>
      </c>
      <c r="AJ179" s="236">
        <f t="shared" si="143"/>
        <v>1236172.0606831433</v>
      </c>
      <c r="AK179" s="236">
        <f t="shared" si="144"/>
        <v>0</v>
      </c>
      <c r="AL179" s="236">
        <f t="shared" si="145"/>
        <v>0</v>
      </c>
      <c r="AM179" s="242">
        <f t="shared" si="146"/>
        <v>7417032.36409886</v>
      </c>
      <c r="AN179" s="235">
        <f t="shared" si="147"/>
        <v>71509119.899240166</v>
      </c>
      <c r="AO179" s="236">
        <f t="shared" si="148"/>
        <v>0</v>
      </c>
      <c r="AP179" s="236">
        <f t="shared" si="149"/>
        <v>35754559.949620083</v>
      </c>
      <c r="AQ179" s="236">
        <f t="shared" si="150"/>
        <v>50477025.811228357</v>
      </c>
      <c r="AR179" s="236">
        <f t="shared" si="151"/>
        <v>2103209.4088011812</v>
      </c>
      <c r="AS179" s="236">
        <f t="shared" si="152"/>
        <v>0</v>
      </c>
      <c r="AT179" s="242">
        <f t="shared" si="153"/>
        <v>159843915.06888977</v>
      </c>
      <c r="AU179" s="254">
        <v>0</v>
      </c>
      <c r="AV179" s="246">
        <f t="shared" si="167"/>
        <v>235.25041077056153</v>
      </c>
      <c r="AW179" s="257">
        <f t="shared" si="154"/>
        <v>3.7079546563627162</v>
      </c>
    </row>
    <row r="180" spans="1:49">
      <c r="A180" s="193">
        <f>'Input data'!A138</f>
        <v>2038</v>
      </c>
      <c r="B180" s="208">
        <f>'Input data'!B138</f>
        <v>74.200346452615136</v>
      </c>
      <c r="C180" s="417">
        <f>'Recycling - Case 2'!E118</f>
        <v>1</v>
      </c>
      <c r="D180" s="525">
        <f>'Recycling - Case 2'!F118</f>
        <v>0.36725000000000002</v>
      </c>
      <c r="E180" s="235">
        <f t="shared" si="155"/>
        <v>1154892219.8660591</v>
      </c>
      <c r="F180" s="236">
        <v>0</v>
      </c>
      <c r="G180" s="237">
        <f t="shared" si="132"/>
        <v>1154892219.8660591</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25985074.946986333</v>
      </c>
      <c r="AA180" s="236">
        <f t="shared" si="134"/>
        <v>0</v>
      </c>
      <c r="AB180" s="236">
        <f t="shared" si="135"/>
        <v>25985074.946986333</v>
      </c>
      <c r="AC180" s="236">
        <f t="shared" si="136"/>
        <v>14551641.970312349</v>
      </c>
      <c r="AD180" s="236">
        <f t="shared" si="137"/>
        <v>2078805.9957589065</v>
      </c>
      <c r="AE180" s="236">
        <f t="shared" si="138"/>
        <v>0</v>
      </c>
      <c r="AF180" s="971">
        <f t="shared" si="139"/>
        <v>68600597.860043928</v>
      </c>
      <c r="AG180" s="235">
        <f t="shared" si="140"/>
        <v>0</v>
      </c>
      <c r="AH180" s="236">
        <f t="shared" si="141"/>
        <v>0</v>
      </c>
      <c r="AI180" s="236">
        <f t="shared" si="142"/>
        <v>6236417.987276719</v>
      </c>
      <c r="AJ180" s="236">
        <f t="shared" si="143"/>
        <v>1247283.5974553435</v>
      </c>
      <c r="AK180" s="236">
        <f t="shared" si="144"/>
        <v>0</v>
      </c>
      <c r="AL180" s="236">
        <f t="shared" si="145"/>
        <v>0</v>
      </c>
      <c r="AM180" s="242">
        <f t="shared" si="146"/>
        <v>7483701.5847320622</v>
      </c>
      <c r="AN180" s="235">
        <f t="shared" si="147"/>
        <v>72151891.436132044</v>
      </c>
      <c r="AO180" s="236">
        <f t="shared" si="148"/>
        <v>0</v>
      </c>
      <c r="AP180" s="236">
        <f t="shared" si="149"/>
        <v>36075945.718066022</v>
      </c>
      <c r="AQ180" s="236">
        <f t="shared" si="150"/>
        <v>50930746.896093205</v>
      </c>
      <c r="AR180" s="236">
        <f t="shared" si="151"/>
        <v>2122114.4540038835</v>
      </c>
      <c r="AS180" s="236">
        <f t="shared" si="152"/>
        <v>0</v>
      </c>
      <c r="AT180" s="242">
        <f t="shared" si="153"/>
        <v>161280698.50429514</v>
      </c>
      <c r="AU180" s="254">
        <v>0</v>
      </c>
      <c r="AV180" s="246">
        <f t="shared" si="167"/>
        <v>237.3649979490711</v>
      </c>
      <c r="AW180" s="257">
        <f t="shared" si="154"/>
        <v>3.7412842193129237</v>
      </c>
    </row>
    <row r="181" spans="1:49">
      <c r="A181" s="193">
        <f>'Input data'!A139</f>
        <v>2039</v>
      </c>
      <c r="B181" s="208">
        <f>'Input data'!B139</f>
        <v>74.847837096563296</v>
      </c>
      <c r="C181" s="417">
        <f>'Recycling - Case 2'!E119</f>
        <v>1</v>
      </c>
      <c r="D181" s="525">
        <f>'Recycling - Case 2'!F119</f>
        <v>0.36725000000000002</v>
      </c>
      <c r="E181" s="235">
        <f t="shared" si="155"/>
        <v>1164970096.0874233</v>
      </c>
      <c r="F181" s="236">
        <v>0</v>
      </c>
      <c r="G181" s="237">
        <f t="shared" si="132"/>
        <v>1164970096.0874233</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26211827.161967028</v>
      </c>
      <c r="AA181" s="236">
        <f t="shared" si="134"/>
        <v>0</v>
      </c>
      <c r="AB181" s="236">
        <f t="shared" si="135"/>
        <v>26211827.161967028</v>
      </c>
      <c r="AC181" s="236">
        <f t="shared" si="136"/>
        <v>14678623.210701538</v>
      </c>
      <c r="AD181" s="236">
        <f t="shared" si="137"/>
        <v>2096946.1729573621</v>
      </c>
      <c r="AE181" s="236">
        <f t="shared" si="138"/>
        <v>0</v>
      </c>
      <c r="AF181" s="971">
        <f t="shared" si="139"/>
        <v>69199223.707592964</v>
      </c>
      <c r="AG181" s="235">
        <f t="shared" si="140"/>
        <v>0</v>
      </c>
      <c r="AH181" s="236">
        <f t="shared" si="141"/>
        <v>0</v>
      </c>
      <c r="AI181" s="236">
        <f t="shared" si="142"/>
        <v>6290838.518872086</v>
      </c>
      <c r="AJ181" s="236">
        <f t="shared" si="143"/>
        <v>1258167.7037744171</v>
      </c>
      <c r="AK181" s="236">
        <f t="shared" si="144"/>
        <v>0</v>
      </c>
      <c r="AL181" s="236">
        <f t="shared" si="145"/>
        <v>0</v>
      </c>
      <c r="AM181" s="242">
        <f t="shared" si="146"/>
        <v>7549006.2226465028</v>
      </c>
      <c r="AN181" s="235">
        <f t="shared" si="147"/>
        <v>72781506.753061771</v>
      </c>
      <c r="AO181" s="236">
        <f t="shared" si="148"/>
        <v>0</v>
      </c>
      <c r="AP181" s="236">
        <f t="shared" si="149"/>
        <v>36390753.376530886</v>
      </c>
      <c r="AQ181" s="236">
        <f t="shared" si="150"/>
        <v>51375181.237455368</v>
      </c>
      <c r="AR181" s="236">
        <f t="shared" si="151"/>
        <v>2140632.5515606403</v>
      </c>
      <c r="AS181" s="236">
        <f t="shared" si="152"/>
        <v>0</v>
      </c>
      <c r="AT181" s="242">
        <f t="shared" si="153"/>
        <v>162688073.91860867</v>
      </c>
      <c r="AU181" s="254">
        <v>0</v>
      </c>
      <c r="AV181" s="246">
        <f t="shared" si="167"/>
        <v>239.43630384884813</v>
      </c>
      <c r="AW181" s="257">
        <f t="shared" si="154"/>
        <v>3.7739315942130265</v>
      </c>
    </row>
    <row r="182" spans="1:49">
      <c r="A182" s="193">
        <f>'Input data'!A140</f>
        <v>2040</v>
      </c>
      <c r="B182" s="208">
        <f>'Input data'!B140</f>
        <v>75.481336564720067</v>
      </c>
      <c r="C182" s="417">
        <f>'Recycling - Case 2'!E120</f>
        <v>1</v>
      </c>
      <c r="D182" s="525">
        <f>'Recycling - Case 2'!F120</f>
        <v>0.36725000000000002</v>
      </c>
      <c r="E182" s="235">
        <f t="shared" si="155"/>
        <v>1174830206.4782927</v>
      </c>
      <c r="F182" s="236">
        <v>0</v>
      </c>
      <c r="G182" s="237">
        <f t="shared" si="132"/>
        <v>1174830206.4782927</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26433679.645761587</v>
      </c>
      <c r="AA182" s="236">
        <f t="shared" si="134"/>
        <v>0</v>
      </c>
      <c r="AB182" s="236">
        <f t="shared" si="135"/>
        <v>26433679.645761587</v>
      </c>
      <c r="AC182" s="236">
        <f t="shared" si="136"/>
        <v>14802860.601626491</v>
      </c>
      <c r="AD182" s="236">
        <f t="shared" si="137"/>
        <v>2114694.3716609268</v>
      </c>
      <c r="AE182" s="236">
        <f t="shared" si="138"/>
        <v>0</v>
      </c>
      <c r="AF182" s="971">
        <f t="shared" si="139"/>
        <v>69784914.264810592</v>
      </c>
      <c r="AG182" s="235">
        <f t="shared" si="140"/>
        <v>0</v>
      </c>
      <c r="AH182" s="236">
        <f t="shared" si="141"/>
        <v>0</v>
      </c>
      <c r="AI182" s="236">
        <f t="shared" si="142"/>
        <v>6344083.1149827801</v>
      </c>
      <c r="AJ182" s="236">
        <f t="shared" si="143"/>
        <v>1268816.6229965559</v>
      </c>
      <c r="AK182" s="236">
        <f t="shared" si="144"/>
        <v>0</v>
      </c>
      <c r="AL182" s="236">
        <f t="shared" si="145"/>
        <v>0</v>
      </c>
      <c r="AM182" s="242">
        <f t="shared" si="146"/>
        <v>7612899.7379793357</v>
      </c>
      <c r="AN182" s="235">
        <f t="shared" si="147"/>
        <v>73397517.149731338</v>
      </c>
      <c r="AO182" s="236">
        <f t="shared" si="148"/>
        <v>0</v>
      </c>
      <c r="AP182" s="236">
        <f t="shared" si="149"/>
        <v>36698758.574865669</v>
      </c>
      <c r="AQ182" s="236">
        <f t="shared" si="150"/>
        <v>51810012.1056927</v>
      </c>
      <c r="AR182" s="236">
        <f t="shared" si="151"/>
        <v>2158750.5044038631</v>
      </c>
      <c r="AS182" s="236">
        <f t="shared" si="152"/>
        <v>0</v>
      </c>
      <c r="AT182" s="242">
        <f t="shared" si="153"/>
        <v>164065038.33469358</v>
      </c>
      <c r="AU182" s="254">
        <v>0</v>
      </c>
      <c r="AV182" s="246">
        <f t="shared" si="167"/>
        <v>241.46285233748353</v>
      </c>
      <c r="AW182" s="257">
        <f t="shared" si="154"/>
        <v>3.8058735146550235</v>
      </c>
    </row>
    <row r="183" spans="1:49">
      <c r="A183" s="193">
        <f>'Input data'!A141</f>
        <v>2041</v>
      </c>
      <c r="B183" s="208">
        <f>'Input data'!B141</f>
        <v>76.101885632753024</v>
      </c>
      <c r="C183" s="417">
        <f>'Recycling - Case 2'!E121</f>
        <v>1</v>
      </c>
      <c r="D183" s="525">
        <f>'Recycling - Case 2'!F121</f>
        <v>0.36725000000000002</v>
      </c>
      <c r="E183" s="235">
        <f t="shared" si="155"/>
        <v>1184488750.2045548</v>
      </c>
      <c r="F183" s="236">
        <v>0</v>
      </c>
      <c r="G183" s="237">
        <f t="shared" si="132"/>
        <v>1184488750.2045548</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26650996.879602488</v>
      </c>
      <c r="AA183" s="236">
        <f t="shared" si="134"/>
        <v>0</v>
      </c>
      <c r="AB183" s="236">
        <f t="shared" si="135"/>
        <v>26650996.879602488</v>
      </c>
      <c r="AC183" s="236">
        <f t="shared" si="136"/>
        <v>14924558.252577396</v>
      </c>
      <c r="AD183" s="236">
        <f t="shared" si="137"/>
        <v>2132079.7503681988</v>
      </c>
      <c r="AE183" s="236">
        <f t="shared" si="138"/>
        <v>0</v>
      </c>
      <c r="AF183" s="971">
        <f t="shared" si="139"/>
        <v>70358631.762150571</v>
      </c>
      <c r="AG183" s="235">
        <f t="shared" si="140"/>
        <v>0</v>
      </c>
      <c r="AH183" s="236">
        <f t="shared" si="141"/>
        <v>0</v>
      </c>
      <c r="AI183" s="236">
        <f t="shared" si="142"/>
        <v>6396239.2511045951</v>
      </c>
      <c r="AJ183" s="236">
        <f t="shared" si="143"/>
        <v>1279247.8502209189</v>
      </c>
      <c r="AK183" s="236">
        <f t="shared" si="144"/>
        <v>0</v>
      </c>
      <c r="AL183" s="236">
        <f t="shared" si="145"/>
        <v>0</v>
      </c>
      <c r="AM183" s="242">
        <f t="shared" si="146"/>
        <v>7675487.1013255138</v>
      </c>
      <c r="AN183" s="235">
        <f t="shared" si="147"/>
        <v>74000934.669029549</v>
      </c>
      <c r="AO183" s="236">
        <f t="shared" si="148"/>
        <v>0</v>
      </c>
      <c r="AP183" s="236">
        <f t="shared" si="149"/>
        <v>37000467.334514774</v>
      </c>
      <c r="AQ183" s="236">
        <f t="shared" si="150"/>
        <v>52235953.884020858</v>
      </c>
      <c r="AR183" s="236">
        <f t="shared" si="151"/>
        <v>2176498.0785008692</v>
      </c>
      <c r="AS183" s="236">
        <f t="shared" si="152"/>
        <v>0</v>
      </c>
      <c r="AT183" s="242">
        <f t="shared" si="153"/>
        <v>165413853.96606606</v>
      </c>
      <c r="AU183" s="254">
        <v>0</v>
      </c>
      <c r="AV183" s="246">
        <f t="shared" si="167"/>
        <v>243.44797282954215</v>
      </c>
      <c r="AW183" s="257">
        <f t="shared" si="154"/>
        <v>3.8371624579893204</v>
      </c>
    </row>
    <row r="184" spans="1:49">
      <c r="A184" s="193">
        <f>'Input data'!A142</f>
        <v>2042</v>
      </c>
      <c r="B184" s="208">
        <f>'Input data'!B142</f>
        <v>76.709073592680113</v>
      </c>
      <c r="C184" s="417">
        <f>'Recycling - Case 2'!E122</f>
        <v>1</v>
      </c>
      <c r="D184" s="525">
        <f>'Recycling - Case 2'!F122</f>
        <v>0.36725000000000002</v>
      </c>
      <c r="E184" s="235">
        <f t="shared" si="155"/>
        <v>1193939334.7966897</v>
      </c>
      <c r="F184" s="236">
        <v>0</v>
      </c>
      <c r="G184" s="237">
        <f t="shared" si="132"/>
        <v>1193939334.7966897</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26863635.032925524</v>
      </c>
      <c r="AA184" s="236">
        <f t="shared" si="134"/>
        <v>0</v>
      </c>
      <c r="AB184" s="236">
        <f t="shared" si="135"/>
        <v>26863635.032925524</v>
      </c>
      <c r="AC184" s="236">
        <f t="shared" si="136"/>
        <v>15043635.618438294</v>
      </c>
      <c r="AD184" s="236">
        <f t="shared" si="137"/>
        <v>2149090.8026340418</v>
      </c>
      <c r="AE184" s="236">
        <f t="shared" si="138"/>
        <v>0</v>
      </c>
      <c r="AF184" s="971">
        <f t="shared" si="139"/>
        <v>70919996.486923382</v>
      </c>
      <c r="AG184" s="235">
        <f t="shared" si="140"/>
        <v>0</v>
      </c>
      <c r="AH184" s="236">
        <f t="shared" si="141"/>
        <v>0</v>
      </c>
      <c r="AI184" s="236">
        <f t="shared" si="142"/>
        <v>6447272.4079021243</v>
      </c>
      <c r="AJ184" s="236">
        <f t="shared" si="143"/>
        <v>1289454.4815804248</v>
      </c>
      <c r="AK184" s="236">
        <f t="shared" si="144"/>
        <v>0</v>
      </c>
      <c r="AL184" s="236">
        <f t="shared" si="145"/>
        <v>0</v>
      </c>
      <c r="AM184" s="242">
        <f t="shared" si="146"/>
        <v>7736726.8894825494</v>
      </c>
      <c r="AN184" s="235">
        <f t="shared" si="147"/>
        <v>74591359.941423193</v>
      </c>
      <c r="AO184" s="236">
        <f t="shared" si="148"/>
        <v>0</v>
      </c>
      <c r="AP184" s="236">
        <f t="shared" si="149"/>
        <v>37295679.970711596</v>
      </c>
      <c r="AQ184" s="236">
        <f t="shared" si="150"/>
        <v>52652724.664534017</v>
      </c>
      <c r="AR184" s="236">
        <f t="shared" si="151"/>
        <v>2193863.5276889172</v>
      </c>
      <c r="AS184" s="236">
        <f t="shared" si="152"/>
        <v>0</v>
      </c>
      <c r="AT184" s="242">
        <f t="shared" si="153"/>
        <v>166733628.10435772</v>
      </c>
      <c r="AU184" s="254">
        <v>0</v>
      </c>
      <c r="AV184" s="246">
        <f t="shared" si="167"/>
        <v>245.39035148076366</v>
      </c>
      <c r="AW184" s="257">
        <f t="shared" si="154"/>
        <v>3.8677777157507212</v>
      </c>
    </row>
    <row r="185" spans="1:49">
      <c r="A185" s="193">
        <f>'Input data'!A143</f>
        <v>2043</v>
      </c>
      <c r="B185" s="208">
        <f>'Input data'!B143</f>
        <v>77.302495984815266</v>
      </c>
      <c r="C185" s="417">
        <f>'Recycling - Case 2'!E123</f>
        <v>1</v>
      </c>
      <c r="D185" s="525">
        <f>'Recycling - Case 2'!F123</f>
        <v>0.36725000000000002</v>
      </c>
      <c r="E185" s="235">
        <f t="shared" si="155"/>
        <v>1203175665.0368571</v>
      </c>
      <c r="F185" s="236">
        <v>0</v>
      </c>
      <c r="G185" s="237">
        <f t="shared" si="132"/>
        <v>1203175665.0368571</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27071452.463329285</v>
      </c>
      <c r="AA185" s="236">
        <f t="shared" si="134"/>
        <v>0</v>
      </c>
      <c r="AB185" s="236">
        <f t="shared" si="135"/>
        <v>27071452.463329285</v>
      </c>
      <c r="AC185" s="236">
        <f t="shared" si="136"/>
        <v>15160013.379464405</v>
      </c>
      <c r="AD185" s="236">
        <f t="shared" si="137"/>
        <v>2165716.1970663434</v>
      </c>
      <c r="AE185" s="236">
        <f t="shared" si="138"/>
        <v>0</v>
      </c>
      <c r="AF185" s="971">
        <f t="shared" si="139"/>
        <v>71468634.50318931</v>
      </c>
      <c r="AG185" s="235">
        <f t="shared" si="140"/>
        <v>0</v>
      </c>
      <c r="AH185" s="236">
        <f t="shared" si="141"/>
        <v>0</v>
      </c>
      <c r="AI185" s="236">
        <f t="shared" si="142"/>
        <v>6497148.5911990283</v>
      </c>
      <c r="AJ185" s="236">
        <f t="shared" si="143"/>
        <v>1299429.7182398057</v>
      </c>
      <c r="AK185" s="236">
        <f t="shared" si="144"/>
        <v>0</v>
      </c>
      <c r="AL185" s="236">
        <f t="shared" si="145"/>
        <v>0</v>
      </c>
      <c r="AM185" s="242">
        <f t="shared" si="146"/>
        <v>7796578.309438834</v>
      </c>
      <c r="AN185" s="235">
        <f t="shared" si="147"/>
        <v>75168399.673177645</v>
      </c>
      <c r="AO185" s="236">
        <f t="shared" si="148"/>
        <v>0</v>
      </c>
      <c r="AP185" s="236">
        <f t="shared" si="149"/>
        <v>37584199.836588822</v>
      </c>
      <c r="AQ185" s="236">
        <f t="shared" si="150"/>
        <v>53060046.828125395</v>
      </c>
      <c r="AR185" s="236">
        <f t="shared" si="151"/>
        <v>2210835.2845052248</v>
      </c>
      <c r="AS185" s="236">
        <f t="shared" si="152"/>
        <v>0</v>
      </c>
      <c r="AT185" s="242">
        <f t="shared" si="153"/>
        <v>168023481.62239707</v>
      </c>
      <c r="AU185" s="254">
        <v>0</v>
      </c>
      <c r="AV185" s="246">
        <f t="shared" si="167"/>
        <v>247.28869443502521</v>
      </c>
      <c r="AW185" s="257">
        <f t="shared" si="154"/>
        <v>3.8976988945217657</v>
      </c>
    </row>
    <row r="186" spans="1:49">
      <c r="A186" s="193">
        <f>'Input data'!A144</f>
        <v>2044</v>
      </c>
      <c r="B186" s="208">
        <f>'Input data'!B144</f>
        <v>77.881755043150378</v>
      </c>
      <c r="C186" s="417">
        <f>'Recycling - Case 2'!E124</f>
        <v>1</v>
      </c>
      <c r="D186" s="525">
        <f>'Recycling - Case 2'!F124</f>
        <v>0.36725000000000002</v>
      </c>
      <c r="E186" s="235">
        <f t="shared" si="155"/>
        <v>1212191549.891052</v>
      </c>
      <c r="F186" s="236">
        <v>0</v>
      </c>
      <c r="G186" s="237">
        <f t="shared" si="132"/>
        <v>1212191549.891052</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27274309.872548673</v>
      </c>
      <c r="AA186" s="236">
        <f t="shared" si="134"/>
        <v>0</v>
      </c>
      <c r="AB186" s="236">
        <f t="shared" si="135"/>
        <v>27274309.872548673</v>
      </c>
      <c r="AC186" s="236">
        <f t="shared" si="136"/>
        <v>15273613.52862726</v>
      </c>
      <c r="AD186" s="236">
        <f t="shared" si="137"/>
        <v>2181944.7898038938</v>
      </c>
      <c r="AE186" s="236">
        <f t="shared" si="138"/>
        <v>0</v>
      </c>
      <c r="AF186" s="971">
        <f t="shared" si="139"/>
        <v>72004178.063528493</v>
      </c>
      <c r="AG186" s="235">
        <f t="shared" si="140"/>
        <v>0</v>
      </c>
      <c r="AH186" s="236">
        <f t="shared" si="141"/>
        <v>0</v>
      </c>
      <c r="AI186" s="236">
        <f t="shared" si="142"/>
        <v>6545834.3694116808</v>
      </c>
      <c r="AJ186" s="236">
        <f t="shared" si="143"/>
        <v>1309166.8738823361</v>
      </c>
      <c r="AK186" s="236">
        <f t="shared" si="144"/>
        <v>0</v>
      </c>
      <c r="AL186" s="236">
        <f t="shared" si="145"/>
        <v>0</v>
      </c>
      <c r="AM186" s="242">
        <f t="shared" si="146"/>
        <v>7855001.2432940174</v>
      </c>
      <c r="AN186" s="235">
        <f t="shared" si="147"/>
        <v>75731667.07944347</v>
      </c>
      <c r="AO186" s="236">
        <f t="shared" si="148"/>
        <v>0</v>
      </c>
      <c r="AP186" s="236">
        <f t="shared" si="149"/>
        <v>37865833.539721735</v>
      </c>
      <c r="AQ186" s="236">
        <f t="shared" si="150"/>
        <v>53457647.350195393</v>
      </c>
      <c r="AR186" s="236">
        <f t="shared" si="151"/>
        <v>2227401.972924808</v>
      </c>
      <c r="AS186" s="236">
        <f t="shared" si="152"/>
        <v>0</v>
      </c>
      <c r="AT186" s="242">
        <f t="shared" si="153"/>
        <v>169282549.94228539</v>
      </c>
      <c r="AU186" s="254">
        <v>0</v>
      </c>
      <c r="AV186" s="246">
        <f t="shared" si="167"/>
        <v>249.1417292491079</v>
      </c>
      <c r="AW186" s="257">
        <f t="shared" si="154"/>
        <v>3.9269059383895084</v>
      </c>
    </row>
    <row r="187" spans="1:49">
      <c r="A187" s="193">
        <f>'Input data'!A145</f>
        <v>2045</v>
      </c>
      <c r="B187" s="208">
        <f>'Input data'!B145</f>
        <v>78.446460136387472</v>
      </c>
      <c r="C187" s="417">
        <f>'Recycling - Case 2'!E125</f>
        <v>1</v>
      </c>
      <c r="D187" s="525">
        <f>'Recycling - Case 2'!F125</f>
        <v>0.36725000000000002</v>
      </c>
      <c r="E187" s="235">
        <f t="shared" si="155"/>
        <v>1220980909.3735547</v>
      </c>
      <c r="F187" s="236">
        <v>0</v>
      </c>
      <c r="G187" s="237">
        <f t="shared" si="132"/>
        <v>1220980909.3735547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27472070.460904982</v>
      </c>
      <c r="AA187" s="236">
        <f t="shared" si="134"/>
        <v>0</v>
      </c>
      <c r="AB187" s="236">
        <f t="shared" si="135"/>
        <v>27472070.460904982</v>
      </c>
      <c r="AC187" s="236">
        <f t="shared" si="136"/>
        <v>15384359.458106793</v>
      </c>
      <c r="AD187" s="236">
        <f t="shared" si="137"/>
        <v>2197765.6368723987</v>
      </c>
      <c r="AE187" s="236">
        <f t="shared" si="138"/>
        <v>0</v>
      </c>
      <c r="AF187" s="971">
        <f t="shared" si="139"/>
        <v>72526266.016789153</v>
      </c>
      <c r="AG187" s="235">
        <f t="shared" si="140"/>
        <v>0</v>
      </c>
      <c r="AH187" s="236">
        <f t="shared" si="141"/>
        <v>0</v>
      </c>
      <c r="AI187" s="236">
        <f t="shared" si="142"/>
        <v>6593296.9106171941</v>
      </c>
      <c r="AJ187" s="236">
        <f t="shared" si="143"/>
        <v>1318659.3821234391</v>
      </c>
      <c r="AK187" s="236">
        <f t="shared" si="144"/>
        <v>0</v>
      </c>
      <c r="AL187" s="236">
        <f t="shared" si="145"/>
        <v>0</v>
      </c>
      <c r="AM187" s="242">
        <f t="shared" si="146"/>
        <v>7911956.2927406337</v>
      </c>
      <c r="AN187" s="235">
        <f t="shared" si="147"/>
        <v>76280782.313112825</v>
      </c>
      <c r="AO187" s="236">
        <f t="shared" si="148"/>
        <v>0</v>
      </c>
      <c r="AP187" s="236">
        <f t="shared" si="149"/>
        <v>38140391.156556413</v>
      </c>
      <c r="AQ187" s="236">
        <f t="shared" si="150"/>
        <v>53845258.103373758</v>
      </c>
      <c r="AR187" s="236">
        <f t="shared" si="151"/>
        <v>2243552.4209739063</v>
      </c>
      <c r="AS187" s="236">
        <f t="shared" si="152"/>
        <v>0</v>
      </c>
      <c r="AT187" s="242">
        <f t="shared" si="153"/>
        <v>170509983.99401689</v>
      </c>
      <c r="AU187" s="254">
        <v>0</v>
      </c>
      <c r="AV187" s="246">
        <f t="shared" si="167"/>
        <v>250.94820630354667</v>
      </c>
      <c r="AW187" s="257">
        <f t="shared" si="154"/>
        <v>3.9553791511829659</v>
      </c>
    </row>
    <row r="188" spans="1:49">
      <c r="A188" s="193">
        <f>'Input data'!A146</f>
        <v>2046</v>
      </c>
      <c r="B188" s="208">
        <f>'Input data'!B146</f>
        <v>78.997842335977523</v>
      </c>
      <c r="C188" s="417">
        <f>'Recycling - Case 2'!E126</f>
        <v>1</v>
      </c>
      <c r="D188" s="525">
        <f>'Recycling - Case 2'!F126</f>
        <v>0.36725000000000002</v>
      </c>
      <c r="E188" s="235">
        <f t="shared" si="155"/>
        <v>1229562904.5113513</v>
      </c>
      <c r="F188" s="236">
        <v>0</v>
      </c>
      <c r="G188" s="237">
        <f t="shared" si="132"/>
        <v>1229562904.5113513</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27665165.351505406</v>
      </c>
      <c r="AA188" s="236">
        <f t="shared" si="134"/>
        <v>0</v>
      </c>
      <c r="AB188" s="236">
        <f t="shared" si="135"/>
        <v>27665165.351505406</v>
      </c>
      <c r="AC188" s="236">
        <f t="shared" si="136"/>
        <v>15492492.59684303</v>
      </c>
      <c r="AD188" s="236">
        <f t="shared" si="137"/>
        <v>2213213.2281204327</v>
      </c>
      <c r="AE188" s="236">
        <f t="shared" si="138"/>
        <v>0</v>
      </c>
      <c r="AF188" s="971">
        <f t="shared" si="139"/>
        <v>73036036.527974278</v>
      </c>
      <c r="AG188" s="235">
        <f t="shared" si="140"/>
        <v>0</v>
      </c>
      <c r="AH188" s="236">
        <f t="shared" si="141"/>
        <v>0</v>
      </c>
      <c r="AI188" s="236">
        <f t="shared" si="142"/>
        <v>6639639.6843612967</v>
      </c>
      <c r="AJ188" s="236">
        <f t="shared" si="143"/>
        <v>1327927.9368722595</v>
      </c>
      <c r="AK188" s="236">
        <f t="shared" si="144"/>
        <v>0</v>
      </c>
      <c r="AL188" s="236">
        <f t="shared" si="145"/>
        <v>0</v>
      </c>
      <c r="AM188" s="242">
        <f t="shared" si="146"/>
        <v>7967567.6212335564</v>
      </c>
      <c r="AN188" s="235">
        <f t="shared" si="147"/>
        <v>76816942.459346682</v>
      </c>
      <c r="AO188" s="236">
        <f t="shared" si="148"/>
        <v>0</v>
      </c>
      <c r="AP188" s="236">
        <f t="shared" si="149"/>
        <v>38408471.229673341</v>
      </c>
      <c r="AQ188" s="236">
        <f t="shared" si="150"/>
        <v>54223724.088950589</v>
      </c>
      <c r="AR188" s="236">
        <f t="shared" si="151"/>
        <v>2259321.837039608</v>
      </c>
      <c r="AS188" s="236">
        <f t="shared" si="152"/>
        <v>0</v>
      </c>
      <c r="AT188" s="242">
        <f t="shared" si="153"/>
        <v>171708459.61501023</v>
      </c>
      <c r="AU188" s="254">
        <v>0</v>
      </c>
      <c r="AV188" s="246">
        <f t="shared" si="167"/>
        <v>252.71206376421807</v>
      </c>
      <c r="AW188" s="257">
        <f t="shared" si="154"/>
        <v>3.9831806052294589</v>
      </c>
    </row>
    <row r="189" spans="1:49">
      <c r="A189" s="193">
        <f>'Input data'!A147</f>
        <v>2047</v>
      </c>
      <c r="B189" s="208">
        <f>'Input data'!B147</f>
        <v>79.535560193629763</v>
      </c>
      <c r="C189" s="417">
        <f>'Recycling - Case 2'!E127</f>
        <v>1</v>
      </c>
      <c r="D189" s="525">
        <f>'Recycling - Case 2'!F127</f>
        <v>0.36725000000000002</v>
      </c>
      <c r="E189" s="235">
        <f t="shared" si="155"/>
        <v>1237932220.828253</v>
      </c>
      <c r="F189" s="236">
        <v>0</v>
      </c>
      <c r="G189" s="237">
        <f t="shared" si="132"/>
        <v>1237932220.828253</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27853474.968635697</v>
      </c>
      <c r="AA189" s="236">
        <f t="shared" si="134"/>
        <v>0</v>
      </c>
      <c r="AB189" s="236">
        <f t="shared" si="135"/>
        <v>27853474.968635697</v>
      </c>
      <c r="AC189" s="236">
        <f t="shared" si="136"/>
        <v>15597945.982435992</v>
      </c>
      <c r="AD189" s="236">
        <f t="shared" si="137"/>
        <v>2228277.9974908559</v>
      </c>
      <c r="AE189" s="236">
        <f t="shared" si="138"/>
        <v>0</v>
      </c>
      <c r="AF189" s="971">
        <f t="shared" si="139"/>
        <v>73533173.917198241</v>
      </c>
      <c r="AG189" s="235">
        <f t="shared" si="140"/>
        <v>0</v>
      </c>
      <c r="AH189" s="236">
        <f t="shared" si="141"/>
        <v>0</v>
      </c>
      <c r="AI189" s="236">
        <f t="shared" si="142"/>
        <v>6684833.9924725657</v>
      </c>
      <c r="AJ189" s="236">
        <f t="shared" si="143"/>
        <v>1336966.7984945131</v>
      </c>
      <c r="AK189" s="236">
        <f t="shared" si="144"/>
        <v>0</v>
      </c>
      <c r="AL189" s="236">
        <f t="shared" si="145"/>
        <v>0</v>
      </c>
      <c r="AM189" s="242">
        <f t="shared" si="146"/>
        <v>8021800.7909670789</v>
      </c>
      <c r="AN189" s="235">
        <f t="shared" si="147"/>
        <v>77339815.496245116</v>
      </c>
      <c r="AO189" s="236">
        <f t="shared" si="148"/>
        <v>0</v>
      </c>
      <c r="AP189" s="236">
        <f t="shared" si="149"/>
        <v>38669907.748122558</v>
      </c>
      <c r="AQ189" s="236">
        <f t="shared" si="150"/>
        <v>54592810.93852596</v>
      </c>
      <c r="AR189" s="236">
        <f t="shared" si="151"/>
        <v>2274700.4557719147</v>
      </c>
      <c r="AS189" s="236">
        <f t="shared" si="152"/>
        <v>0</v>
      </c>
      <c r="AT189" s="242">
        <f t="shared" si="153"/>
        <v>172877234.63866556</v>
      </c>
      <c r="AU189" s="254">
        <v>0</v>
      </c>
      <c r="AV189" s="246">
        <f t="shared" si="167"/>
        <v>254.43220934683089</v>
      </c>
      <c r="AW189" s="257">
        <f t="shared" si="154"/>
        <v>4.0102930842333384</v>
      </c>
    </row>
    <row r="190" spans="1:49">
      <c r="A190" s="193">
        <f>'Input data'!A148</f>
        <v>2048</v>
      </c>
      <c r="B190" s="208">
        <f>'Input data'!B148</f>
        <v>80.059278886956378</v>
      </c>
      <c r="C190" s="417">
        <f>'Recycling - Case 2'!E128</f>
        <v>1</v>
      </c>
      <c r="D190" s="525">
        <f>'Recycling - Case 2'!F128</f>
        <v>0.36725000000000002</v>
      </c>
      <c r="E190" s="235">
        <f t="shared" si="155"/>
        <v>1246083646.9770188</v>
      </c>
      <c r="F190" s="236">
        <v>0</v>
      </c>
      <c r="G190" s="237">
        <f t="shared" si="132"/>
        <v>1246083646.9770188</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28036882.056982927</v>
      </c>
      <c r="AA190" s="236">
        <f t="shared" si="134"/>
        <v>0</v>
      </c>
      <c r="AB190" s="236">
        <f t="shared" si="135"/>
        <v>28036882.056982927</v>
      </c>
      <c r="AC190" s="236">
        <f t="shared" si="136"/>
        <v>15700653.951910442</v>
      </c>
      <c r="AD190" s="236">
        <f t="shared" si="137"/>
        <v>2242950.5645586341</v>
      </c>
      <c r="AE190" s="236">
        <f t="shared" si="138"/>
        <v>0</v>
      </c>
      <c r="AF190" s="971">
        <f t="shared" si="139"/>
        <v>74017368.63043493</v>
      </c>
      <c r="AG190" s="235">
        <f t="shared" si="140"/>
        <v>0</v>
      </c>
      <c r="AH190" s="236">
        <f t="shared" si="141"/>
        <v>0</v>
      </c>
      <c r="AI190" s="236">
        <f t="shared" si="142"/>
        <v>6728851.6936759017</v>
      </c>
      <c r="AJ190" s="236">
        <f t="shared" si="143"/>
        <v>1345770.3387351802</v>
      </c>
      <c r="AK190" s="236">
        <f t="shared" si="144"/>
        <v>0</v>
      </c>
      <c r="AL190" s="236">
        <f t="shared" si="145"/>
        <v>0</v>
      </c>
      <c r="AM190" s="242">
        <f t="shared" si="146"/>
        <v>8074622.0324110817</v>
      </c>
      <c r="AN190" s="235">
        <f t="shared" si="147"/>
        <v>77849075.844889253</v>
      </c>
      <c r="AO190" s="236">
        <f t="shared" si="148"/>
        <v>0</v>
      </c>
      <c r="AP190" s="236">
        <f t="shared" si="149"/>
        <v>38924537.922444627</v>
      </c>
      <c r="AQ190" s="236">
        <f t="shared" si="150"/>
        <v>54952288.831686527</v>
      </c>
      <c r="AR190" s="236">
        <f t="shared" si="151"/>
        <v>2289678.7013202719</v>
      </c>
      <c r="AS190" s="236">
        <f t="shared" si="152"/>
        <v>0</v>
      </c>
      <c r="AT190" s="242">
        <f t="shared" si="153"/>
        <v>174015581.30034068</v>
      </c>
      <c r="AU190" s="254">
        <v>0</v>
      </c>
      <c r="AV190" s="246">
        <f t="shared" si="167"/>
        <v>256.10757196318667</v>
      </c>
      <c r="AW190" s="257">
        <f t="shared" si="154"/>
        <v>4.0366997059861536</v>
      </c>
    </row>
    <row r="191" spans="1:49">
      <c r="A191" s="193">
        <f>'Input data'!A149</f>
        <v>2049</v>
      </c>
      <c r="B191" s="208">
        <f>'Input data'!B149</f>
        <v>80.568670564877792</v>
      </c>
      <c r="C191" s="417">
        <f>'Recycling - Case 2'!E129</f>
        <v>1</v>
      </c>
      <c r="D191" s="525">
        <f>'Recycling - Case 2'!F129</f>
        <v>0.36725000000000002</v>
      </c>
      <c r="E191" s="235">
        <f t="shared" si="155"/>
        <v>1254012080.1154225</v>
      </c>
      <c r="F191" s="236">
        <v>0</v>
      </c>
      <c r="G191" s="237">
        <f t="shared" si="132"/>
        <v>1254012080.1154225</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28215271.802597012</v>
      </c>
      <c r="AA191" s="236">
        <f t="shared" si="134"/>
        <v>0</v>
      </c>
      <c r="AB191" s="236">
        <f t="shared" si="135"/>
        <v>28215271.802597012</v>
      </c>
      <c r="AC191" s="236">
        <f t="shared" si="136"/>
        <v>15800552.209454328</v>
      </c>
      <c r="AD191" s="236">
        <f t="shared" si="137"/>
        <v>2257221.7442077608</v>
      </c>
      <c r="AE191" s="236">
        <f t="shared" si="138"/>
        <v>0</v>
      </c>
      <c r="AF191" s="971">
        <f t="shared" si="139"/>
        <v>74488317.558856115</v>
      </c>
      <c r="AG191" s="235">
        <f t="shared" si="140"/>
        <v>0</v>
      </c>
      <c r="AH191" s="236">
        <f t="shared" si="141"/>
        <v>0</v>
      </c>
      <c r="AI191" s="236">
        <f t="shared" si="142"/>
        <v>6771665.232623281</v>
      </c>
      <c r="AJ191" s="236">
        <f t="shared" si="143"/>
        <v>1354333.0465246562</v>
      </c>
      <c r="AK191" s="236">
        <f t="shared" si="144"/>
        <v>0</v>
      </c>
      <c r="AL191" s="236">
        <f t="shared" si="145"/>
        <v>0</v>
      </c>
      <c r="AM191" s="242">
        <f t="shared" si="146"/>
        <v>8125998.279147937</v>
      </c>
      <c r="AN191" s="235">
        <f t="shared" si="147"/>
        <v>78344404.705211028</v>
      </c>
      <c r="AO191" s="236">
        <f t="shared" si="148"/>
        <v>0</v>
      </c>
      <c r="AP191" s="236">
        <f t="shared" si="149"/>
        <v>39172202.352605514</v>
      </c>
      <c r="AQ191" s="236">
        <f t="shared" si="150"/>
        <v>55301932.733090125</v>
      </c>
      <c r="AR191" s="236">
        <f t="shared" si="151"/>
        <v>2304247.1972120884</v>
      </c>
      <c r="AS191" s="236">
        <f t="shared" si="152"/>
        <v>0</v>
      </c>
      <c r="AT191" s="242">
        <f t="shared" si="153"/>
        <v>175122786.98811877</v>
      </c>
      <c r="AU191" s="254">
        <v>0</v>
      </c>
      <c r="AV191" s="246">
        <f t="shared" si="167"/>
        <v>257.73710282612279</v>
      </c>
      <c r="AW191" s="257">
        <f t="shared" si="154"/>
        <v>4.0623839397824701</v>
      </c>
    </row>
    <row r="192" spans="1:49" ht="15.75" thickBot="1">
      <c r="A192" s="195">
        <f>'Input data'!A150</f>
        <v>2050</v>
      </c>
      <c r="B192" s="209">
        <f>'Input data'!B150</f>
        <v>81.063414687793369</v>
      </c>
      <c r="C192" s="651">
        <f>'Recycling - Case 2'!E130</f>
        <v>1</v>
      </c>
      <c r="D192" s="652">
        <f>'Recycling - Case 2'!F130</f>
        <v>0.36725000000000002</v>
      </c>
      <c r="E192" s="238">
        <f>B192*$C$4*($C$7*$C$11+$C$8*$C$10+$C$7*$C$12)*10^6</f>
        <v>1261712531.2008436</v>
      </c>
      <c r="F192" s="239">
        <v>0</v>
      </c>
      <c r="G192" s="240">
        <f t="shared" si="132"/>
        <v>1261712531.2008436</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28388531.952018984</v>
      </c>
      <c r="AA192" s="239">
        <f t="shared" si="134"/>
        <v>0</v>
      </c>
      <c r="AB192" s="239">
        <f t="shared" si="135"/>
        <v>28388531.952018984</v>
      </c>
      <c r="AC192" s="239">
        <f t="shared" si="136"/>
        <v>15897577.893130634</v>
      </c>
      <c r="AD192" s="239">
        <f t="shared" si="137"/>
        <v>2271082.5561615187</v>
      </c>
      <c r="AE192" s="239">
        <f t="shared" si="138"/>
        <v>0</v>
      </c>
      <c r="AF192" s="972">
        <f t="shared" si="139"/>
        <v>74945724.35333012</v>
      </c>
      <c r="AG192" s="238">
        <f t="shared" si="140"/>
        <v>0</v>
      </c>
      <c r="AH192" s="239">
        <f t="shared" si="141"/>
        <v>0</v>
      </c>
      <c r="AI192" s="239">
        <f t="shared" si="142"/>
        <v>6813247.6684845546</v>
      </c>
      <c r="AJ192" s="239">
        <f t="shared" si="143"/>
        <v>1362649.5336969111</v>
      </c>
      <c r="AK192" s="239">
        <f t="shared" si="144"/>
        <v>0</v>
      </c>
      <c r="AL192" s="239">
        <f t="shared" si="145"/>
        <v>0</v>
      </c>
      <c r="AM192" s="243">
        <f t="shared" si="146"/>
        <v>8175897.2021814659</v>
      </c>
      <c r="AN192" s="238">
        <f t="shared" si="147"/>
        <v>78825490.386772707</v>
      </c>
      <c r="AO192" s="239">
        <f t="shared" si="148"/>
        <v>0</v>
      </c>
      <c r="AP192" s="239">
        <f t="shared" si="149"/>
        <v>39412745.193386354</v>
      </c>
      <c r="AQ192" s="239">
        <f t="shared" si="150"/>
        <v>55641522.625957198</v>
      </c>
      <c r="AR192" s="239">
        <f t="shared" si="151"/>
        <v>2318396.7760815499</v>
      </c>
      <c r="AS192" s="239">
        <f t="shared" si="152"/>
        <v>0</v>
      </c>
      <c r="AT192" s="243">
        <f t="shared" si="153"/>
        <v>176198154.98219782</v>
      </c>
      <c r="AU192" s="255">
        <v>0</v>
      </c>
      <c r="AV192" s="249">
        <f t="shared" si="167"/>
        <v>259.3197765377094</v>
      </c>
      <c r="AW192" s="258">
        <f t="shared" si="154"/>
        <v>4.0873296235717493</v>
      </c>
    </row>
    <row r="193" spans="1:49" ht="21.75" thickBot="1">
      <c r="A193" s="975" t="s">
        <v>620</v>
      </c>
      <c r="B193" s="976"/>
      <c r="C193" s="943"/>
      <c r="D193" s="976"/>
      <c r="E193" s="977"/>
      <c r="F193" s="977"/>
      <c r="G193" s="1438"/>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59.233695328537607</v>
      </c>
      <c r="C196" s="417">
        <f>'Recycling - Case 3'!E100</f>
        <v>0.78061538461538471</v>
      </c>
      <c r="D196" s="525">
        <f>'Recycling - Case 3'!F100</f>
        <v>0.30815384615384617</v>
      </c>
      <c r="E196" s="235">
        <f t="shared" si="188"/>
        <v>921943591.36221528</v>
      </c>
      <c r="F196" s="236">
        <v>0</v>
      </c>
      <c r="G196" s="237">
        <f t="shared" si="189"/>
        <v>921943591.36221528</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13084507.12356375</v>
      </c>
      <c r="AA196" s="236">
        <f t="shared" si="192"/>
        <v>0</v>
      </c>
      <c r="AB196" s="236">
        <f t="shared" si="193"/>
        <v>13084507.12356375</v>
      </c>
      <c r="AC196" s="236">
        <f t="shared" si="194"/>
        <v>7327323.9891956998</v>
      </c>
      <c r="AD196" s="236">
        <f t="shared" si="195"/>
        <v>1046760.5698850997</v>
      </c>
      <c r="AE196" s="236">
        <f t="shared" si="196"/>
        <v>0</v>
      </c>
      <c r="AF196" s="242">
        <f t="shared" si="197"/>
        <v>34543098.806208298</v>
      </c>
      <c r="AG196" s="235">
        <f t="shared" si="198"/>
        <v>0</v>
      </c>
      <c r="AH196" s="236">
        <f t="shared" si="199"/>
        <v>0</v>
      </c>
      <c r="AI196" s="236">
        <f t="shared" si="200"/>
        <v>4978495.3933559619</v>
      </c>
      <c r="AJ196" s="236">
        <f t="shared" si="201"/>
        <v>995699.07867119228</v>
      </c>
      <c r="AK196" s="236">
        <f t="shared" si="202"/>
        <v>0</v>
      </c>
      <c r="AL196" s="236">
        <f t="shared" si="203"/>
        <v>0</v>
      </c>
      <c r="AM196" s="971">
        <f t="shared" si="204"/>
        <v>5974194.4720271546</v>
      </c>
      <c r="AN196" s="235">
        <f t="shared" si="205"/>
        <v>48737129.582607567</v>
      </c>
      <c r="AO196" s="236">
        <f t="shared" si="206"/>
        <v>0</v>
      </c>
      <c r="AP196" s="236">
        <f t="shared" si="207"/>
        <v>24368564.791303784</v>
      </c>
      <c r="AQ196" s="236">
        <f t="shared" si="208"/>
        <v>34402679.705370039</v>
      </c>
      <c r="AR196" s="236">
        <f t="shared" si="209"/>
        <v>1433444.9877237517</v>
      </c>
      <c r="AS196" s="236">
        <f t="shared" si="210"/>
        <v>0</v>
      </c>
      <c r="AT196" s="242">
        <f t="shared" si="211"/>
        <v>108941819.06700514</v>
      </c>
      <c r="AU196" s="254">
        <v>0</v>
      </c>
      <c r="AV196" s="246">
        <f t="shared" si="212"/>
        <v>149.45911234524058</v>
      </c>
      <c r="AW196" s="973">
        <f t="shared" si="213"/>
        <v>2.9866449441145018</v>
      </c>
    </row>
    <row r="197" spans="1:49">
      <c r="A197" s="127">
        <f>'Input data'!A121</f>
        <v>2021</v>
      </c>
      <c r="B197" s="105">
        <f>'Input data'!B121</f>
        <v>60.170135702880636</v>
      </c>
      <c r="C197" s="417">
        <f>'Recycling - Case 3'!E101</f>
        <v>0.80255384615384628</v>
      </c>
      <c r="D197" s="525">
        <f>'Recycling - Case 3'!F101</f>
        <v>0.31433846153846157</v>
      </c>
      <c r="E197" s="235">
        <f t="shared" si="188"/>
        <v>936518829.27418208</v>
      </c>
      <c r="F197" s="236">
        <v>0</v>
      </c>
      <c r="G197" s="237">
        <f t="shared" si="189"/>
        <v>936518829.27418208</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14069394.412095984</v>
      </c>
      <c r="AA197" s="236">
        <f t="shared" si="192"/>
        <v>0</v>
      </c>
      <c r="AB197" s="236">
        <f t="shared" si="193"/>
        <v>14069394.412095984</v>
      </c>
      <c r="AC197" s="236">
        <f t="shared" si="194"/>
        <v>7878860.8707737522</v>
      </c>
      <c r="AD197" s="236">
        <f t="shared" si="195"/>
        <v>1125551.5529676785</v>
      </c>
      <c r="AE197" s="236">
        <f t="shared" si="196"/>
        <v>0</v>
      </c>
      <c r="AF197" s="242">
        <f t="shared" si="197"/>
        <v>37143201.247933395</v>
      </c>
      <c r="AG197" s="235">
        <f t="shared" si="198"/>
        <v>0</v>
      </c>
      <c r="AH197" s="236">
        <f t="shared" si="199"/>
        <v>0</v>
      </c>
      <c r="AI197" s="236">
        <f t="shared" si="200"/>
        <v>5057201.678080583</v>
      </c>
      <c r="AJ197" s="236">
        <f t="shared" si="201"/>
        <v>1011440.3356161166</v>
      </c>
      <c r="AK197" s="236">
        <f t="shared" si="202"/>
        <v>0</v>
      </c>
      <c r="AL197" s="236">
        <f t="shared" si="203"/>
        <v>0</v>
      </c>
      <c r="AM197" s="971">
        <f t="shared" si="204"/>
        <v>6068642.0136966994</v>
      </c>
      <c r="AN197" s="235">
        <f t="shared" si="205"/>
        <v>50407765.786133133</v>
      </c>
      <c r="AO197" s="236">
        <f t="shared" si="206"/>
        <v>0</v>
      </c>
      <c r="AP197" s="236">
        <f t="shared" si="207"/>
        <v>25203882.893066566</v>
      </c>
      <c r="AQ197" s="236">
        <f t="shared" si="208"/>
        <v>35581952.319623381</v>
      </c>
      <c r="AR197" s="236">
        <f t="shared" si="209"/>
        <v>1482581.3466509741</v>
      </c>
      <c r="AS197" s="236">
        <f t="shared" si="210"/>
        <v>0</v>
      </c>
      <c r="AT197" s="242">
        <f t="shared" si="211"/>
        <v>112676182.34547405</v>
      </c>
      <c r="AU197" s="254">
        <v>0</v>
      </c>
      <c r="AV197" s="246">
        <f t="shared" si="212"/>
        <v>155.88802560710414</v>
      </c>
      <c r="AW197" s="973">
        <f t="shared" si="213"/>
        <v>3.0338615645529843</v>
      </c>
    </row>
    <row r="198" spans="1:49">
      <c r="A198" s="127">
        <f>'Input data'!A122</f>
        <v>2022</v>
      </c>
      <c r="B198" s="105">
        <f>'Input data'!B122</f>
        <v>61.14166465104848</v>
      </c>
      <c r="C198" s="417">
        <f>'Recycling - Case 3'!E102</f>
        <v>0.82449230769230786</v>
      </c>
      <c r="D198" s="525">
        <f>'Recycling - Case 3'!F102</f>
        <v>0.32052307692307697</v>
      </c>
      <c r="E198" s="235">
        <f t="shared" si="188"/>
        <v>951640203.73205233</v>
      </c>
      <c r="F198" s="236">
        <v>0</v>
      </c>
      <c r="G198" s="237">
        <f t="shared" si="189"/>
        <v>951640203.73205233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15087157.38378277</v>
      </c>
      <c r="AA198" s="236">
        <f t="shared" si="192"/>
        <v>0</v>
      </c>
      <c r="AB198" s="236">
        <f t="shared" si="193"/>
        <v>15087157.38378277</v>
      </c>
      <c r="AC198" s="236">
        <f t="shared" si="194"/>
        <v>8448808.1349183526</v>
      </c>
      <c r="AD198" s="236">
        <f t="shared" si="195"/>
        <v>1206972.5907026213</v>
      </c>
      <c r="AE198" s="236">
        <f t="shared" si="196"/>
        <v>0</v>
      </c>
      <c r="AF198" s="242">
        <f t="shared" si="197"/>
        <v>39830095.493186519</v>
      </c>
      <c r="AG198" s="235">
        <f t="shared" si="198"/>
        <v>0</v>
      </c>
      <c r="AH198" s="236">
        <f t="shared" si="199"/>
        <v>0</v>
      </c>
      <c r="AI198" s="236">
        <f t="shared" si="200"/>
        <v>5138857.1001530821</v>
      </c>
      <c r="AJ198" s="236">
        <f t="shared" si="201"/>
        <v>1027771.4200306163</v>
      </c>
      <c r="AK198" s="236">
        <f t="shared" si="202"/>
        <v>0</v>
      </c>
      <c r="AL198" s="236">
        <f t="shared" si="203"/>
        <v>0</v>
      </c>
      <c r="AM198" s="971">
        <f t="shared" si="204"/>
        <v>6166628.5201836983</v>
      </c>
      <c r="AN198" s="235">
        <f t="shared" si="205"/>
        <v>52136340.592386447</v>
      </c>
      <c r="AO198" s="236">
        <f t="shared" si="206"/>
        <v>0</v>
      </c>
      <c r="AP198" s="236">
        <f t="shared" si="207"/>
        <v>26068170.296193223</v>
      </c>
      <c r="AQ198" s="236">
        <f t="shared" si="208"/>
        <v>36802122.771096312</v>
      </c>
      <c r="AR198" s="236">
        <f t="shared" si="209"/>
        <v>1533421.7821290123</v>
      </c>
      <c r="AS198" s="236">
        <f t="shared" si="210"/>
        <v>0</v>
      </c>
      <c r="AT198" s="242">
        <f t="shared" si="211"/>
        <v>116540055.44180501</v>
      </c>
      <c r="AU198" s="254">
        <v>0</v>
      </c>
      <c r="AV198" s="246">
        <f t="shared" si="212"/>
        <v>162.53677945517521</v>
      </c>
      <c r="AW198" s="973">
        <f t="shared" si="213"/>
        <v>3.0828473994736778</v>
      </c>
    </row>
    <row r="199" spans="1:49">
      <c r="A199" s="127">
        <f>'Input data'!A123</f>
        <v>2023</v>
      </c>
      <c r="B199" s="105">
        <f>'Input data'!B123</f>
        <v>62.126086164056694</v>
      </c>
      <c r="C199" s="417">
        <f>'Recycling - Case 3'!E103</f>
        <v>0.84643076923076943</v>
      </c>
      <c r="D199" s="525">
        <f>'Recycling - Case 3'!F103</f>
        <v>0.32670769230769237</v>
      </c>
      <c r="E199" s="235">
        <f t="shared" si="188"/>
        <v>966962244.67653763</v>
      </c>
      <c r="F199" s="236">
        <v>0</v>
      </c>
      <c r="G199" s="237">
        <f t="shared" si="189"/>
        <v>966962244.67653763</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16133393.143872388</v>
      </c>
      <c r="AA199" s="236">
        <f t="shared" si="192"/>
        <v>0</v>
      </c>
      <c r="AB199" s="236">
        <f t="shared" si="193"/>
        <v>16133393.143872388</v>
      </c>
      <c r="AC199" s="236">
        <f t="shared" si="194"/>
        <v>9034700.1605685391</v>
      </c>
      <c r="AD199" s="236">
        <f t="shared" si="195"/>
        <v>1290671.4515097905</v>
      </c>
      <c r="AE199" s="236">
        <f t="shared" si="196"/>
        <v>0</v>
      </c>
      <c r="AF199" s="242">
        <f t="shared" si="197"/>
        <v>42592157.899823099</v>
      </c>
      <c r="AG199" s="235">
        <f t="shared" si="198"/>
        <v>0</v>
      </c>
      <c r="AH199" s="236">
        <f t="shared" si="199"/>
        <v>0</v>
      </c>
      <c r="AI199" s="236">
        <f t="shared" si="200"/>
        <v>5221596.1212533033</v>
      </c>
      <c r="AJ199" s="236">
        <f t="shared" si="201"/>
        <v>1044319.2242506606</v>
      </c>
      <c r="AK199" s="236">
        <f t="shared" si="202"/>
        <v>0</v>
      </c>
      <c r="AL199" s="236">
        <f t="shared" si="203"/>
        <v>0</v>
      </c>
      <c r="AM199" s="971">
        <f t="shared" si="204"/>
        <v>6265915.3455039635</v>
      </c>
      <c r="AN199" s="235">
        <f t="shared" si="205"/>
        <v>53905169.872271821</v>
      </c>
      <c r="AO199" s="236">
        <f t="shared" si="206"/>
        <v>0</v>
      </c>
      <c r="AP199" s="236">
        <f t="shared" si="207"/>
        <v>26952584.93613591</v>
      </c>
      <c r="AQ199" s="236">
        <f t="shared" si="208"/>
        <v>38050708.145133048</v>
      </c>
      <c r="AR199" s="236">
        <f t="shared" si="209"/>
        <v>1585446.1727138765</v>
      </c>
      <c r="AS199" s="236">
        <f t="shared" si="210"/>
        <v>0</v>
      </c>
      <c r="AT199" s="242">
        <f t="shared" si="211"/>
        <v>120493909.12625465</v>
      </c>
      <c r="AU199" s="254">
        <v>0</v>
      </c>
      <c r="AV199" s="246">
        <f t="shared" si="212"/>
        <v>169.3519823715817</v>
      </c>
      <c r="AW199" s="973">
        <f t="shared" si="213"/>
        <v>3.132483295366991</v>
      </c>
    </row>
    <row r="200" spans="1:49">
      <c r="A200" s="127">
        <f>'Input data'!A124</f>
        <v>2024</v>
      </c>
      <c r="B200" s="105">
        <f>'Input data'!B124</f>
        <v>63.126357518916684</v>
      </c>
      <c r="C200" s="417">
        <f>'Recycling - Case 3'!E104</f>
        <v>0.868369230769231</v>
      </c>
      <c r="D200" s="525">
        <f>'Recycling - Case 3'!F104</f>
        <v>0.33289230769230777</v>
      </c>
      <c r="E200" s="235">
        <f t="shared" si="188"/>
        <v>982530980.68264782</v>
      </c>
      <c r="F200" s="236">
        <v>0</v>
      </c>
      <c r="G200" s="237">
        <f t="shared" si="189"/>
        <v>982530980.68264782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17209408.023187608</v>
      </c>
      <c r="AA200" s="236">
        <f t="shared" si="192"/>
        <v>0</v>
      </c>
      <c r="AB200" s="236">
        <f t="shared" si="193"/>
        <v>17209408.023187608</v>
      </c>
      <c r="AC200" s="236">
        <f t="shared" si="194"/>
        <v>9637268.492985066</v>
      </c>
      <c r="AD200" s="236">
        <f t="shared" si="195"/>
        <v>1376752.6418550084</v>
      </c>
      <c r="AE200" s="236">
        <f t="shared" si="196"/>
        <v>0</v>
      </c>
      <c r="AF200" s="242">
        <f t="shared" si="197"/>
        <v>45432837.181215294</v>
      </c>
      <c r="AG200" s="235">
        <f t="shared" si="198"/>
        <v>0</v>
      </c>
      <c r="AH200" s="236">
        <f t="shared" si="199"/>
        <v>0</v>
      </c>
      <c r="AI200" s="236">
        <f t="shared" si="200"/>
        <v>5305667.2956862971</v>
      </c>
      <c r="AJ200" s="236">
        <f t="shared" si="201"/>
        <v>1061133.4591372595</v>
      </c>
      <c r="AK200" s="236">
        <f t="shared" si="202"/>
        <v>0</v>
      </c>
      <c r="AL200" s="236">
        <f t="shared" si="203"/>
        <v>0</v>
      </c>
      <c r="AM200" s="971">
        <f t="shared" si="204"/>
        <v>6366800.7548235562</v>
      </c>
      <c r="AN200" s="235">
        <f t="shared" si="205"/>
        <v>55717442.431857802</v>
      </c>
      <c r="AO200" s="236">
        <f t="shared" si="206"/>
        <v>0</v>
      </c>
      <c r="AP200" s="236">
        <f t="shared" si="207"/>
        <v>27858721.215928901</v>
      </c>
      <c r="AQ200" s="236">
        <f t="shared" si="208"/>
        <v>39329959.363664337</v>
      </c>
      <c r="AR200" s="236">
        <f t="shared" si="209"/>
        <v>1638748.3068193463</v>
      </c>
      <c r="AS200" s="236">
        <f t="shared" si="210"/>
        <v>0</v>
      </c>
      <c r="AT200" s="242">
        <f t="shared" si="211"/>
        <v>124544871.31827039</v>
      </c>
      <c r="AU200" s="254">
        <v>0</v>
      </c>
      <c r="AV200" s="246">
        <f t="shared" si="212"/>
        <v>176.34450925430923</v>
      </c>
      <c r="AW200" s="973">
        <f t="shared" si="213"/>
        <v>3.1829183622350183</v>
      </c>
    </row>
    <row r="201" spans="1:49">
      <c r="A201" s="127">
        <f>'Input data'!A125</f>
        <v>2025</v>
      </c>
      <c r="B201" s="105">
        <f>'Input data'!B125</f>
        <v>64.142733908636146</v>
      </c>
      <c r="C201" s="417">
        <f>'Recycling - Case 3'!E105</f>
        <v>0.89030769230769258</v>
      </c>
      <c r="D201" s="525">
        <f>'Recycling - Case 3'!F105</f>
        <v>0.33907692307692316</v>
      </c>
      <c r="E201" s="235">
        <f t="shared" si="188"/>
        <v>998350383.70514131</v>
      </c>
      <c r="F201" s="236">
        <v>0</v>
      </c>
      <c r="G201" s="237">
        <f t="shared" si="189"/>
        <v>998350383.70514131</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18315889.731821243</v>
      </c>
      <c r="AA201" s="236">
        <f t="shared" si="192"/>
        <v>0</v>
      </c>
      <c r="AB201" s="236">
        <f t="shared" si="193"/>
        <v>18315889.731821243</v>
      </c>
      <c r="AC201" s="236">
        <f t="shared" si="194"/>
        <v>10256898.249819903</v>
      </c>
      <c r="AD201" s="236">
        <f t="shared" si="195"/>
        <v>1465271.1785456995</v>
      </c>
      <c r="AE201" s="236">
        <f t="shared" si="196"/>
        <v>0</v>
      </c>
      <c r="AF201" s="242">
        <f t="shared" si="197"/>
        <v>48353948.892008089</v>
      </c>
      <c r="AG201" s="235">
        <f t="shared" si="198"/>
        <v>0</v>
      </c>
      <c r="AH201" s="236">
        <f t="shared" si="199"/>
        <v>0</v>
      </c>
      <c r="AI201" s="236">
        <f t="shared" si="200"/>
        <v>5391092.0720077632</v>
      </c>
      <c r="AJ201" s="236">
        <f t="shared" si="201"/>
        <v>1078218.4144015524</v>
      </c>
      <c r="AK201" s="236">
        <f t="shared" si="202"/>
        <v>0</v>
      </c>
      <c r="AL201" s="236">
        <f t="shared" si="203"/>
        <v>0</v>
      </c>
      <c r="AM201" s="971">
        <f t="shared" si="204"/>
        <v>6469310.4864093158</v>
      </c>
      <c r="AN201" s="235">
        <f t="shared" si="205"/>
        <v>57574098.666441895</v>
      </c>
      <c r="AO201" s="236">
        <f t="shared" si="206"/>
        <v>0</v>
      </c>
      <c r="AP201" s="236">
        <f t="shared" si="207"/>
        <v>28787049.333220948</v>
      </c>
      <c r="AQ201" s="236">
        <f t="shared" si="208"/>
        <v>40640540.235135451</v>
      </c>
      <c r="AR201" s="236">
        <f t="shared" si="209"/>
        <v>1693355.8431306425</v>
      </c>
      <c r="AS201" s="236">
        <f t="shared" si="210"/>
        <v>0</v>
      </c>
      <c r="AT201" s="242">
        <f t="shared" si="211"/>
        <v>128695044.07792895</v>
      </c>
      <c r="AU201" s="254">
        <v>0</v>
      </c>
      <c r="AV201" s="246">
        <f t="shared" si="212"/>
        <v>183.51830345634633</v>
      </c>
      <c r="AW201" s="973">
        <f t="shared" si="213"/>
        <v>3.2341654672625948</v>
      </c>
    </row>
    <row r="202" spans="1:49">
      <c r="A202" s="127">
        <f>'Input data'!A126</f>
        <v>2026</v>
      </c>
      <c r="B202" s="105">
        <f>'Input data'!B126</f>
        <v>65.115730264701668</v>
      </c>
      <c r="C202" s="417">
        <f>'Recycling - Case 3'!E106</f>
        <v>0.91224615384615415</v>
      </c>
      <c r="D202" s="525">
        <f>'Recycling - Case 3'!F106</f>
        <v>0.34526153846153856</v>
      </c>
      <c r="E202" s="235">
        <f t="shared" si="188"/>
        <v>1013494597.6515775</v>
      </c>
      <c r="F202" s="236">
        <v>0</v>
      </c>
      <c r="G202" s="237">
        <f t="shared" si="189"/>
        <v>1013494597.6515775</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19435707.938041404</v>
      </c>
      <c r="AA202" s="236">
        <f t="shared" si="192"/>
        <v>0</v>
      </c>
      <c r="AB202" s="236">
        <f t="shared" si="193"/>
        <v>19435707.938041404</v>
      </c>
      <c r="AC202" s="236">
        <f t="shared" si="194"/>
        <v>10883996.44530319</v>
      </c>
      <c r="AD202" s="236">
        <f t="shared" si="195"/>
        <v>1554856.6350433123</v>
      </c>
      <c r="AE202" s="236">
        <f t="shared" si="196"/>
        <v>0</v>
      </c>
      <c r="AF202" s="242">
        <f t="shared" si="197"/>
        <v>51310268.95642931</v>
      </c>
      <c r="AG202" s="235">
        <f t="shared" si="198"/>
        <v>0</v>
      </c>
      <c r="AH202" s="236">
        <f t="shared" si="199"/>
        <v>0</v>
      </c>
      <c r="AI202" s="236">
        <f t="shared" si="200"/>
        <v>5472870.8273185184</v>
      </c>
      <c r="AJ202" s="236">
        <f t="shared" si="201"/>
        <v>1094574.1654637037</v>
      </c>
      <c r="AK202" s="236">
        <f t="shared" si="202"/>
        <v>0</v>
      </c>
      <c r="AL202" s="236">
        <f t="shared" si="203"/>
        <v>0</v>
      </c>
      <c r="AM202" s="971">
        <f t="shared" si="204"/>
        <v>6567444.9927822221</v>
      </c>
      <c r="AN202" s="235">
        <f t="shared" si="205"/>
        <v>59421578.065926477</v>
      </c>
      <c r="AO202" s="236">
        <f t="shared" si="206"/>
        <v>0</v>
      </c>
      <c r="AP202" s="236">
        <f t="shared" si="207"/>
        <v>29710789.032963239</v>
      </c>
      <c r="AQ202" s="236">
        <f t="shared" si="208"/>
        <v>41944643.340653993</v>
      </c>
      <c r="AR202" s="236">
        <f t="shared" si="209"/>
        <v>1747693.4725272481</v>
      </c>
      <c r="AS202" s="236">
        <f t="shared" si="210"/>
        <v>0</v>
      </c>
      <c r="AT202" s="242">
        <f t="shared" si="211"/>
        <v>132824703.91207094</v>
      </c>
      <c r="AU202" s="254">
        <v>0</v>
      </c>
      <c r="AV202" s="246">
        <f t="shared" si="212"/>
        <v>190.70241786128247</v>
      </c>
      <c r="AW202" s="973">
        <f t="shared" si="213"/>
        <v>3.2832252909215254</v>
      </c>
    </row>
    <row r="203" spans="1:49">
      <c r="A203" s="127">
        <f>'Input data'!A127</f>
        <v>2027</v>
      </c>
      <c r="B203" s="105">
        <f>'Input data'!B127</f>
        <v>66.042835586617315</v>
      </c>
      <c r="C203" s="417">
        <f>'Recycling - Case 3'!E107</f>
        <v>0.93418461538461572</v>
      </c>
      <c r="D203" s="525">
        <f>'Recycling - Case 3'!F107</f>
        <v>0.35144615384615396</v>
      </c>
      <c r="E203" s="235">
        <f t="shared" si="188"/>
        <v>1027924540.0233501</v>
      </c>
      <c r="F203" s="236">
        <v>0</v>
      </c>
      <c r="G203" s="237">
        <f t="shared" si="189"/>
        <v>1027924540.0233501</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20566397.912313335</v>
      </c>
      <c r="AA203" s="236">
        <f t="shared" ref="AA203:AA219" si="232">I203*$C$36*G203*$C$10</f>
        <v>0</v>
      </c>
      <c r="AB203" s="236">
        <f t="shared" ref="AB203:AB219" si="233">J203*$C$37*G203*$C$10</f>
        <v>20566397.912313335</v>
      </c>
      <c r="AC203" s="236">
        <f t="shared" ref="AC203:AC219" si="234">K203*$C$40*G203*$C$10</f>
        <v>11517182.830895474</v>
      </c>
      <c r="AD203" s="236">
        <f t="shared" ref="AD203:AD219" si="235">L203*$C$41*G203*$C$10</f>
        <v>1645311.832985067</v>
      </c>
      <c r="AE203" s="236">
        <f t="shared" ref="AE203:AE219" si="236">M203*$C$42*G203*$C$10</f>
        <v>0</v>
      </c>
      <c r="AF203" s="242">
        <f t="shared" ref="AF203:AF219" si="237">SUM(Z203:AE203)</f>
        <v>54295290.488507211</v>
      </c>
      <c r="AG203" s="235">
        <f t="shared" ref="AG203:AG219" si="238">N203*$C$35*G203*$C$11</f>
        <v>0</v>
      </c>
      <c r="AH203" s="236">
        <f t="shared" ref="AH203:AH219" si="239">O203*$C$36*G203*$C$11</f>
        <v>0</v>
      </c>
      <c r="AI203" s="236">
        <f t="shared" ref="AI203:AI219" si="240">P203*$C$37*G203*$C$11</f>
        <v>5550792.5161260897</v>
      </c>
      <c r="AJ203" s="236">
        <f t="shared" ref="AJ203:AJ219" si="241">Q203*$C$38*G203*$C$11</f>
        <v>1110158.503225218</v>
      </c>
      <c r="AK203" s="236">
        <f t="shared" ref="AK203:AK219" si="242">R203*$C$41*G203*$C$11</f>
        <v>0</v>
      </c>
      <c r="AL203" s="236">
        <f t="shared" ref="AL203:AL219" si="243">S203*$C$42*G203*$C$11</f>
        <v>0</v>
      </c>
      <c r="AM203" s="971">
        <f t="shared" ref="AM203:AM219" si="244">SUM(AG203:AL203)</f>
        <v>6660951.0193513073</v>
      </c>
      <c r="AN203" s="235">
        <f t="shared" ref="AN203:AN219" si="245">T203*$C$35*G203*$C$12</f>
        <v>61255604.762360722</v>
      </c>
      <c r="AO203" s="236">
        <f t="shared" ref="AO203:AO219" si="246">U203*$C$36*G203*$C$12</f>
        <v>0</v>
      </c>
      <c r="AP203" s="236">
        <f t="shared" ref="AP203:AP219" si="247">V203*$C$37*G203*$C$12</f>
        <v>30627802.381180361</v>
      </c>
      <c r="AQ203" s="236">
        <f t="shared" ref="AQ203:AQ219" si="248">W203*$C$39*G203*$C$12</f>
        <v>43239250.420489922</v>
      </c>
      <c r="AR203" s="236">
        <f t="shared" ref="AR203:AR219" si="249">X203*$C$41*G203*$C$12</f>
        <v>1801635.4341870784</v>
      </c>
      <c r="AS203" s="236">
        <f t="shared" ref="AS203:AS219" si="250">Y203*$C$42*N203*$C$12</f>
        <v>0</v>
      </c>
      <c r="AT203" s="242">
        <f t="shared" ref="AT203:AT219" si="251">SUM(AN203:AS203)</f>
        <v>136924292.99821809</v>
      </c>
      <c r="AU203" s="254">
        <v>0</v>
      </c>
      <c r="AV203" s="246">
        <f t="shared" ref="AV203:AV219" si="252">(AF203+AM203+AT203)/10^6-AU203</f>
        <v>197.8805345060766</v>
      </c>
      <c r="AW203" s="973">
        <f t="shared" ref="AW203:AW219" si="253">((B203*$C$46*$C$47*$C$48*$C$49)-$C$50)*$C$51*$C$52</f>
        <v>3.3299712250896238</v>
      </c>
    </row>
    <row r="204" spans="1:49">
      <c r="A204" s="127">
        <f>'Input data'!A128</f>
        <v>2028</v>
      </c>
      <c r="B204" s="105">
        <f>'Input data'!B128</f>
        <v>66.921626677758155</v>
      </c>
      <c r="C204" s="417">
        <f>'Recycling - Case 3'!E108</f>
        <v>0.9561230769230773</v>
      </c>
      <c r="D204" s="525">
        <f>'Recycling - Case 3'!F108</f>
        <v>0.35763076923076936</v>
      </c>
      <c r="E204" s="235">
        <f t="shared" si="188"/>
        <v>1041602494.9463006</v>
      </c>
      <c r="F204" s="236">
        <v>0</v>
      </c>
      <c r="G204" s="237">
        <f t="shared" si="189"/>
        <v>1041602494.9463006</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21705393.529304061</v>
      </c>
      <c r="AA204" s="236">
        <f t="shared" si="232"/>
        <v>0</v>
      </c>
      <c r="AB204" s="236">
        <f t="shared" si="233"/>
        <v>21705393.529304061</v>
      </c>
      <c r="AC204" s="236">
        <f t="shared" si="234"/>
        <v>12155020.376410283</v>
      </c>
      <c r="AD204" s="236">
        <f t="shared" si="235"/>
        <v>1736431.4823443252</v>
      </c>
      <c r="AE204" s="236">
        <f t="shared" si="236"/>
        <v>0</v>
      </c>
      <c r="AF204" s="242">
        <f t="shared" si="237"/>
        <v>57302238.917362727</v>
      </c>
      <c r="AG204" s="235">
        <f t="shared" si="238"/>
        <v>0</v>
      </c>
      <c r="AH204" s="236">
        <f t="shared" si="239"/>
        <v>0</v>
      </c>
      <c r="AI204" s="236">
        <f t="shared" si="240"/>
        <v>5624653.4727100236</v>
      </c>
      <c r="AJ204" s="236">
        <f t="shared" si="241"/>
        <v>1124930.6945420045</v>
      </c>
      <c r="AK204" s="236">
        <f t="shared" si="242"/>
        <v>0</v>
      </c>
      <c r="AL204" s="236">
        <f t="shared" si="243"/>
        <v>0</v>
      </c>
      <c r="AM204" s="971">
        <f t="shared" si="244"/>
        <v>6749584.1672520284</v>
      </c>
      <c r="AN204" s="235">
        <f t="shared" si="245"/>
        <v>63071835.383407988</v>
      </c>
      <c r="AO204" s="236">
        <f t="shared" si="246"/>
        <v>0</v>
      </c>
      <c r="AP204" s="236">
        <f t="shared" si="247"/>
        <v>31535917.691703994</v>
      </c>
      <c r="AQ204" s="236">
        <f t="shared" si="248"/>
        <v>44521295.564758591</v>
      </c>
      <c r="AR204" s="236">
        <f t="shared" si="249"/>
        <v>1855053.9818649392</v>
      </c>
      <c r="AS204" s="236">
        <f t="shared" si="250"/>
        <v>0</v>
      </c>
      <c r="AT204" s="242">
        <f t="shared" si="251"/>
        <v>140984102.62173551</v>
      </c>
      <c r="AU204" s="254">
        <v>0</v>
      </c>
      <c r="AV204" s="246">
        <f t="shared" si="252"/>
        <v>205.03592570635027</v>
      </c>
      <c r="AW204" s="973">
        <f t="shared" si="253"/>
        <v>3.3742810888374657</v>
      </c>
    </row>
    <row r="205" spans="1:49">
      <c r="A205" s="127">
        <f>'Input data'!A129</f>
        <v>2029</v>
      </c>
      <c r="B205" s="105">
        <f>'Input data'!B129</f>
        <v>67.749778587208695</v>
      </c>
      <c r="C205" s="417">
        <f>'Recycling - Case 3'!E109</f>
        <v>0.97806153846153887</v>
      </c>
      <c r="D205" s="525">
        <f>'Recycling - Case 3'!F109</f>
        <v>0.36381538461538476</v>
      </c>
      <c r="E205" s="235">
        <f t="shared" si="188"/>
        <v>1054492275.6928422</v>
      </c>
      <c r="F205" s="236">
        <v>0</v>
      </c>
      <c r="G205" s="237">
        <f t="shared" si="189"/>
        <v>1054492275.6928422</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22850036.466359511</v>
      </c>
      <c r="AA205" s="236">
        <f t="shared" si="232"/>
        <v>0</v>
      </c>
      <c r="AB205" s="236">
        <f t="shared" si="233"/>
        <v>22850036.466359511</v>
      </c>
      <c r="AC205" s="236">
        <f t="shared" si="234"/>
        <v>12796020.421161335</v>
      </c>
      <c r="AD205" s="236">
        <f t="shared" si="235"/>
        <v>1828002.917308761</v>
      </c>
      <c r="AE205" s="236">
        <f t="shared" si="236"/>
        <v>0</v>
      </c>
      <c r="AF205" s="242">
        <f t="shared" si="237"/>
        <v>60324096.271189123</v>
      </c>
      <c r="AG205" s="235">
        <f t="shared" si="238"/>
        <v>0</v>
      </c>
      <c r="AH205" s="236">
        <f t="shared" si="239"/>
        <v>0</v>
      </c>
      <c r="AI205" s="236">
        <f t="shared" si="240"/>
        <v>5694258.2887413483</v>
      </c>
      <c r="AJ205" s="236">
        <f t="shared" si="241"/>
        <v>1138851.6577482694</v>
      </c>
      <c r="AK205" s="236">
        <f t="shared" si="242"/>
        <v>0</v>
      </c>
      <c r="AL205" s="236">
        <f t="shared" si="243"/>
        <v>0</v>
      </c>
      <c r="AM205" s="971">
        <f t="shared" si="244"/>
        <v>6833109.9464896172</v>
      </c>
      <c r="AN205" s="235">
        <f t="shared" si="245"/>
        <v>64865875.617388636</v>
      </c>
      <c r="AO205" s="236">
        <f t="shared" si="246"/>
        <v>0</v>
      </c>
      <c r="AP205" s="236">
        <f t="shared" si="247"/>
        <v>32432937.808694318</v>
      </c>
      <c r="AQ205" s="236">
        <f t="shared" si="248"/>
        <v>45787676.906391986</v>
      </c>
      <c r="AR205" s="236">
        <f t="shared" si="249"/>
        <v>1907819.8710996641</v>
      </c>
      <c r="AS205" s="236">
        <f t="shared" si="250"/>
        <v>0</v>
      </c>
      <c r="AT205" s="242">
        <f t="shared" si="251"/>
        <v>144994310.2035746</v>
      </c>
      <c r="AU205" s="254">
        <v>0</v>
      </c>
      <c r="AV205" s="246">
        <f t="shared" si="252"/>
        <v>212.15151642125332</v>
      </c>
      <c r="AW205" s="973">
        <f t="shared" si="253"/>
        <v>3.4160376549203448</v>
      </c>
    </row>
    <row r="206" spans="1:49">
      <c r="A206" s="127">
        <f>'Input data'!A130</f>
        <v>2030</v>
      </c>
      <c r="B206" s="105">
        <f>'Input data'!B130</f>
        <v>68.525074762177482</v>
      </c>
      <c r="C206" s="417">
        <f>'Recycling - Case 3'!E110</f>
        <v>1</v>
      </c>
      <c r="D206" s="525">
        <f>'Recycling - Case 3'!F110</f>
        <v>0.37</v>
      </c>
      <c r="E206" s="235">
        <f t="shared" si="188"/>
        <v>1066559382.6993461</v>
      </c>
      <c r="F206" s="236">
        <v>0</v>
      </c>
      <c r="G206" s="237">
        <f t="shared" si="189"/>
        <v>1066559382.6993461</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23997586.110735286</v>
      </c>
      <c r="AA206" s="236">
        <f t="shared" si="232"/>
        <v>0</v>
      </c>
      <c r="AB206" s="236">
        <f t="shared" si="233"/>
        <v>23997586.110735286</v>
      </c>
      <c r="AC206" s="236">
        <f t="shared" si="234"/>
        <v>13438648.222011764</v>
      </c>
      <c r="AD206" s="236">
        <f t="shared" si="235"/>
        <v>1919806.8888588231</v>
      </c>
      <c r="AE206" s="236">
        <f t="shared" si="236"/>
        <v>0</v>
      </c>
      <c r="AF206" s="242">
        <f t="shared" si="237"/>
        <v>63353627.332341164</v>
      </c>
      <c r="AG206" s="235">
        <f t="shared" si="238"/>
        <v>0</v>
      </c>
      <c r="AH206" s="236">
        <f t="shared" si="239"/>
        <v>0</v>
      </c>
      <c r="AI206" s="236">
        <f t="shared" si="240"/>
        <v>5759420.6665764684</v>
      </c>
      <c r="AJ206" s="236">
        <f t="shared" si="241"/>
        <v>1151884.1333152936</v>
      </c>
      <c r="AK206" s="236">
        <f t="shared" si="242"/>
        <v>0</v>
      </c>
      <c r="AL206" s="236">
        <f t="shared" si="243"/>
        <v>0</v>
      </c>
      <c r="AM206" s="971">
        <f t="shared" si="244"/>
        <v>6911304.7998917624</v>
      </c>
      <c r="AN206" s="235">
        <f t="shared" si="245"/>
        <v>66633297.434141643</v>
      </c>
      <c r="AO206" s="236">
        <f t="shared" si="246"/>
        <v>0</v>
      </c>
      <c r="AP206" s="236">
        <f t="shared" si="247"/>
        <v>33316648.717070822</v>
      </c>
      <c r="AQ206" s="236">
        <f t="shared" si="248"/>
        <v>47035268.77704116</v>
      </c>
      <c r="AR206" s="236">
        <f t="shared" si="249"/>
        <v>1959802.8657100482</v>
      </c>
      <c r="AS206" s="236">
        <f t="shared" si="250"/>
        <v>0</v>
      </c>
      <c r="AT206" s="242">
        <f t="shared" si="251"/>
        <v>148945017.79396367</v>
      </c>
      <c r="AU206" s="254">
        <v>0</v>
      </c>
      <c r="AV206" s="246">
        <f t="shared" si="252"/>
        <v>219.2099499261966</v>
      </c>
      <c r="AW206" s="973">
        <f t="shared" si="253"/>
        <v>3.4551291616770792</v>
      </c>
    </row>
    <row r="207" spans="1:49">
      <c r="A207" s="127">
        <f>'Input data'!A131</f>
        <v>2031</v>
      </c>
      <c r="B207" s="105">
        <f>'Input data'!B131</f>
        <v>69.286388472916428</v>
      </c>
      <c r="C207" s="417">
        <f>'Recycling - Case 3'!E111</f>
        <v>1</v>
      </c>
      <c r="D207" s="525">
        <f>'Recycling - Case 3'!F111</f>
        <v>0.37</v>
      </c>
      <c r="E207" s="235">
        <f t="shared" si="188"/>
        <v>1078408859.4665639</v>
      </c>
      <c r="F207" s="236">
        <v>0</v>
      </c>
      <c r="G207" s="237">
        <f t="shared" si="189"/>
        <v>1078408859.4665639</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24264199.33799769</v>
      </c>
      <c r="AA207" s="236">
        <f t="shared" si="232"/>
        <v>0</v>
      </c>
      <c r="AB207" s="236">
        <f t="shared" si="233"/>
        <v>24264199.33799769</v>
      </c>
      <c r="AC207" s="236">
        <f t="shared" si="234"/>
        <v>13587951.62927871</v>
      </c>
      <c r="AD207" s="236">
        <f t="shared" si="235"/>
        <v>1941135.9470398154</v>
      </c>
      <c r="AE207" s="236">
        <f t="shared" si="236"/>
        <v>0</v>
      </c>
      <c r="AF207" s="242">
        <f t="shared" si="237"/>
        <v>64057486.252313904</v>
      </c>
      <c r="AG207" s="235">
        <f t="shared" si="238"/>
        <v>0</v>
      </c>
      <c r="AH207" s="236">
        <f t="shared" si="239"/>
        <v>0</v>
      </c>
      <c r="AI207" s="236">
        <f t="shared" si="240"/>
        <v>5823407.841119444</v>
      </c>
      <c r="AJ207" s="236">
        <f t="shared" si="241"/>
        <v>1164681.568223889</v>
      </c>
      <c r="AK207" s="236">
        <f t="shared" si="242"/>
        <v>0</v>
      </c>
      <c r="AL207" s="236">
        <f t="shared" si="243"/>
        <v>0</v>
      </c>
      <c r="AM207" s="971">
        <f t="shared" si="244"/>
        <v>6988089.409343333</v>
      </c>
      <c r="AN207" s="235">
        <f t="shared" si="245"/>
        <v>67373593.495173588</v>
      </c>
      <c r="AO207" s="236">
        <f t="shared" si="246"/>
        <v>0</v>
      </c>
      <c r="AP207" s="236">
        <f t="shared" si="247"/>
        <v>33686796.747586794</v>
      </c>
      <c r="AQ207" s="236">
        <f t="shared" si="248"/>
        <v>47557830.702475466</v>
      </c>
      <c r="AR207" s="236">
        <f t="shared" si="249"/>
        <v>1981576.2792698112</v>
      </c>
      <c r="AS207" s="236">
        <f t="shared" si="250"/>
        <v>0</v>
      </c>
      <c r="AT207" s="242">
        <f t="shared" si="251"/>
        <v>150599797.22450566</v>
      </c>
      <c r="AU207" s="254">
        <v>0</v>
      </c>
      <c r="AV207" s="246">
        <f t="shared" si="252"/>
        <v>221.6453728861629</v>
      </c>
      <c r="AW207" s="973">
        <f t="shared" si="253"/>
        <v>3.493515653224704</v>
      </c>
    </row>
    <row r="208" spans="1:49">
      <c r="A208" s="127">
        <f>'Input data'!A132</f>
        <v>2032</v>
      </c>
      <c r="B208" s="105">
        <f>'Input data'!B132</f>
        <v>70.033051881823098</v>
      </c>
      <c r="C208" s="417">
        <f>'Recycling - Case 3'!E112</f>
        <v>1</v>
      </c>
      <c r="D208" s="525">
        <f>'Recycling - Case 3'!F112</f>
        <v>0.37</v>
      </c>
      <c r="E208" s="235">
        <f t="shared" si="188"/>
        <v>1090030311.4277842</v>
      </c>
      <c r="F208" s="236">
        <v>0</v>
      </c>
      <c r="G208" s="237">
        <f t="shared" si="189"/>
        <v>1090030311.4277842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24525682.007125147</v>
      </c>
      <c r="AA208" s="236">
        <f t="shared" si="232"/>
        <v>0</v>
      </c>
      <c r="AB208" s="236">
        <f t="shared" si="233"/>
        <v>24525682.007125147</v>
      </c>
      <c r="AC208" s="236">
        <f t="shared" si="234"/>
        <v>13734381.923990086</v>
      </c>
      <c r="AD208" s="236">
        <f t="shared" si="235"/>
        <v>1962054.5605700121</v>
      </c>
      <c r="AE208" s="236">
        <f t="shared" si="236"/>
        <v>0</v>
      </c>
      <c r="AF208" s="242">
        <f t="shared" si="237"/>
        <v>64747800.498810388</v>
      </c>
      <c r="AG208" s="235">
        <f t="shared" si="238"/>
        <v>0</v>
      </c>
      <c r="AH208" s="236">
        <f t="shared" si="239"/>
        <v>0</v>
      </c>
      <c r="AI208" s="236">
        <f t="shared" si="240"/>
        <v>5886163.6817100337</v>
      </c>
      <c r="AJ208" s="236">
        <f t="shared" si="241"/>
        <v>1177232.7363420068</v>
      </c>
      <c r="AK208" s="236">
        <f t="shared" si="242"/>
        <v>0</v>
      </c>
      <c r="AL208" s="236">
        <f t="shared" si="243"/>
        <v>0</v>
      </c>
      <c r="AM208" s="971">
        <f t="shared" si="244"/>
        <v>7063396.41805204</v>
      </c>
      <c r="AN208" s="235">
        <f t="shared" si="245"/>
        <v>68099643.70645082</v>
      </c>
      <c r="AO208" s="236">
        <f t="shared" si="246"/>
        <v>0</v>
      </c>
      <c r="AP208" s="236">
        <f t="shared" si="247"/>
        <v>34049821.85322541</v>
      </c>
      <c r="AQ208" s="236">
        <f t="shared" si="248"/>
        <v>48070336.733965278</v>
      </c>
      <c r="AR208" s="236">
        <f t="shared" si="249"/>
        <v>2002930.6972485534</v>
      </c>
      <c r="AS208" s="236">
        <f t="shared" si="250"/>
        <v>0</v>
      </c>
      <c r="AT208" s="242">
        <f t="shared" si="251"/>
        <v>152222732.99089006</v>
      </c>
      <c r="AU208" s="254">
        <v>0</v>
      </c>
      <c r="AV208" s="246">
        <f t="shared" si="252"/>
        <v>224.03392990775248</v>
      </c>
      <c r="AW208" s="973">
        <f t="shared" si="253"/>
        <v>3.5311634562664973</v>
      </c>
    </row>
    <row r="209" spans="1:49">
      <c r="A209" s="127">
        <f>'Input data'!A133</f>
        <v>2033</v>
      </c>
      <c r="B209" s="105">
        <f>'Input data'!B133</f>
        <v>70.764404167450692</v>
      </c>
      <c r="C209" s="417">
        <f>'Recycling - Case 3'!E113</f>
        <v>1</v>
      </c>
      <c r="D209" s="525">
        <f>'Recycling - Case 3'!F113</f>
        <v>0.37</v>
      </c>
      <c r="E209" s="235">
        <f t="shared" si="188"/>
        <v>1101413453.2193384</v>
      </c>
      <c r="F209" s="236">
        <v>0</v>
      </c>
      <c r="G209" s="237">
        <f t="shared" si="189"/>
        <v>1101413453.2193384</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24781802.697435118</v>
      </c>
      <c r="AA209" s="236">
        <f t="shared" si="232"/>
        <v>0</v>
      </c>
      <c r="AB209" s="236">
        <f t="shared" si="233"/>
        <v>24781802.697435118</v>
      </c>
      <c r="AC209" s="236">
        <f t="shared" si="234"/>
        <v>13877809.51056367</v>
      </c>
      <c r="AD209" s="236">
        <f t="shared" si="235"/>
        <v>1982544.2157948096</v>
      </c>
      <c r="AE209" s="236">
        <f t="shared" si="236"/>
        <v>0</v>
      </c>
      <c r="AF209" s="242">
        <f t="shared" si="237"/>
        <v>65423959.121228717</v>
      </c>
      <c r="AG209" s="235">
        <f t="shared" si="238"/>
        <v>0</v>
      </c>
      <c r="AH209" s="236">
        <f t="shared" si="239"/>
        <v>0</v>
      </c>
      <c r="AI209" s="236">
        <f t="shared" si="240"/>
        <v>5947632.6473844275</v>
      </c>
      <c r="AJ209" s="236">
        <f t="shared" si="241"/>
        <v>1189526.5294768855</v>
      </c>
      <c r="AK209" s="236">
        <f t="shared" si="242"/>
        <v>0</v>
      </c>
      <c r="AL209" s="236">
        <f t="shared" si="243"/>
        <v>0</v>
      </c>
      <c r="AM209" s="971">
        <f t="shared" si="244"/>
        <v>7137159.1768613132</v>
      </c>
      <c r="AN209" s="235">
        <f t="shared" si="245"/>
        <v>68810805.489878178</v>
      </c>
      <c r="AO209" s="236">
        <f t="shared" si="246"/>
        <v>0</v>
      </c>
      <c r="AP209" s="236">
        <f t="shared" si="247"/>
        <v>34405402.744939089</v>
      </c>
      <c r="AQ209" s="236">
        <f t="shared" si="248"/>
        <v>48572333.286972821</v>
      </c>
      <c r="AR209" s="236">
        <f t="shared" si="249"/>
        <v>2023847.2202905342</v>
      </c>
      <c r="AS209" s="236">
        <f t="shared" si="250"/>
        <v>0</v>
      </c>
      <c r="AT209" s="242">
        <f t="shared" si="251"/>
        <v>153812388.74208063</v>
      </c>
      <c r="AU209" s="254">
        <v>0</v>
      </c>
      <c r="AV209" s="246">
        <f t="shared" si="252"/>
        <v>226.37350704017067</v>
      </c>
      <c r="AW209" s="973">
        <f t="shared" si="253"/>
        <v>3.5680392512700192</v>
      </c>
    </row>
    <row r="210" spans="1:49">
      <c r="A210" s="127">
        <f>'Input data'!A134</f>
        <v>2034</v>
      </c>
      <c r="B210" s="105">
        <f>'Input data'!B134</f>
        <v>71.479792486390252</v>
      </c>
      <c r="C210" s="417">
        <f>'Recycling - Case 3'!E114</f>
        <v>1</v>
      </c>
      <c r="D210" s="525">
        <f>'Recycling - Case 3'!F114</f>
        <v>0.37</v>
      </c>
      <c r="E210" s="235">
        <f t="shared" si="188"/>
        <v>1112548123.6518273</v>
      </c>
      <c r="F210" s="236">
        <v>0</v>
      </c>
      <c r="G210" s="237">
        <f t="shared" si="189"/>
        <v>1112548123.6518273</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25032332.782166116</v>
      </c>
      <c r="AA210" s="236">
        <f t="shared" si="232"/>
        <v>0</v>
      </c>
      <c r="AB210" s="236">
        <f t="shared" si="233"/>
        <v>25032332.782166116</v>
      </c>
      <c r="AC210" s="236">
        <f t="shared" si="234"/>
        <v>14018106.358013028</v>
      </c>
      <c r="AD210" s="236">
        <f t="shared" si="235"/>
        <v>2002586.6225732896</v>
      </c>
      <c r="AE210" s="236">
        <f t="shared" si="236"/>
        <v>0</v>
      </c>
      <c r="AF210" s="242">
        <f t="shared" si="237"/>
        <v>66085358.544918545</v>
      </c>
      <c r="AG210" s="235">
        <f t="shared" si="238"/>
        <v>0</v>
      </c>
      <c r="AH210" s="236">
        <f t="shared" si="239"/>
        <v>0</v>
      </c>
      <c r="AI210" s="236">
        <f t="shared" si="240"/>
        <v>6007759.8677198673</v>
      </c>
      <c r="AJ210" s="236">
        <f t="shared" si="241"/>
        <v>1201551.9735439734</v>
      </c>
      <c r="AK210" s="236">
        <f t="shared" si="242"/>
        <v>0</v>
      </c>
      <c r="AL210" s="236">
        <f t="shared" si="243"/>
        <v>0</v>
      </c>
      <c r="AM210" s="971">
        <f t="shared" si="244"/>
        <v>7209311.8412638409</v>
      </c>
      <c r="AN210" s="235">
        <f t="shared" si="245"/>
        <v>69506444.025147915</v>
      </c>
      <c r="AO210" s="236">
        <f t="shared" si="246"/>
        <v>0</v>
      </c>
      <c r="AP210" s="236">
        <f t="shared" si="247"/>
        <v>34753222.012573957</v>
      </c>
      <c r="AQ210" s="236">
        <f t="shared" si="248"/>
        <v>49063372.253045589</v>
      </c>
      <c r="AR210" s="236">
        <f t="shared" si="249"/>
        <v>2044307.1772102325</v>
      </c>
      <c r="AS210" s="236">
        <f t="shared" si="250"/>
        <v>0</v>
      </c>
      <c r="AT210" s="242">
        <f t="shared" si="251"/>
        <v>155367345.4679777</v>
      </c>
      <c r="AU210" s="254">
        <v>0</v>
      </c>
      <c r="AV210" s="246">
        <f t="shared" si="252"/>
        <v>228.66201585416007</v>
      </c>
      <c r="AW210" s="973">
        <f t="shared" si="253"/>
        <v>3.604110120966546</v>
      </c>
    </row>
    <row r="211" spans="1:49">
      <c r="A211" s="127">
        <f>'Input data'!A135</f>
        <v>2035</v>
      </c>
      <c r="B211" s="105">
        <f>'Input data'!B135</f>
        <v>72.178572932855872</v>
      </c>
      <c r="C211" s="417">
        <f>'Recycling - Case 3'!E115</f>
        <v>1</v>
      </c>
      <c r="D211" s="525">
        <f>'Recycling - Case 3'!F115</f>
        <v>0.37</v>
      </c>
      <c r="E211" s="235">
        <f t="shared" si="188"/>
        <v>1123424300.645597</v>
      </c>
      <c r="F211" s="236">
        <v>0</v>
      </c>
      <c r="G211" s="237">
        <f t="shared" si="189"/>
        <v>1123424300.645597</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25277046.764525935</v>
      </c>
      <c r="AA211" s="236">
        <f t="shared" si="232"/>
        <v>0</v>
      </c>
      <c r="AB211" s="236">
        <f t="shared" si="233"/>
        <v>25277046.764525935</v>
      </c>
      <c r="AC211" s="236">
        <f t="shared" si="234"/>
        <v>14155146.188134527</v>
      </c>
      <c r="AD211" s="236">
        <f t="shared" si="235"/>
        <v>2022163.741162075</v>
      </c>
      <c r="AE211" s="236">
        <f t="shared" si="236"/>
        <v>0</v>
      </c>
      <c r="AF211" s="242">
        <f t="shared" si="237"/>
        <v>66731403.458348475</v>
      </c>
      <c r="AG211" s="235">
        <f t="shared" si="238"/>
        <v>0</v>
      </c>
      <c r="AH211" s="236">
        <f t="shared" si="239"/>
        <v>0</v>
      </c>
      <c r="AI211" s="236">
        <f t="shared" si="240"/>
        <v>6066491.2234862233</v>
      </c>
      <c r="AJ211" s="236">
        <f t="shared" si="241"/>
        <v>1213298.2446972446</v>
      </c>
      <c r="AK211" s="236">
        <f t="shared" si="242"/>
        <v>0</v>
      </c>
      <c r="AL211" s="236">
        <f t="shared" si="243"/>
        <v>0</v>
      </c>
      <c r="AM211" s="971">
        <f t="shared" si="244"/>
        <v>7279789.4681834681</v>
      </c>
      <c r="AN211" s="235">
        <f t="shared" si="245"/>
        <v>70185933.182833672</v>
      </c>
      <c r="AO211" s="236">
        <f t="shared" si="246"/>
        <v>0</v>
      </c>
      <c r="AP211" s="236">
        <f t="shared" si="247"/>
        <v>35092966.591416836</v>
      </c>
      <c r="AQ211" s="236">
        <f t="shared" si="248"/>
        <v>49543011.658470824</v>
      </c>
      <c r="AR211" s="236">
        <f t="shared" si="249"/>
        <v>2064292.1524362846</v>
      </c>
      <c r="AS211" s="236">
        <f t="shared" si="250"/>
        <v>0</v>
      </c>
      <c r="AT211" s="242">
        <f t="shared" si="251"/>
        <v>156886203.5851576</v>
      </c>
      <c r="AU211" s="254">
        <v>0</v>
      </c>
      <c r="AV211" s="246">
        <f t="shared" si="252"/>
        <v>230.89739651168955</v>
      </c>
      <c r="AW211" s="973">
        <f t="shared" si="253"/>
        <v>3.6393435987346821</v>
      </c>
    </row>
    <row r="212" spans="1:49">
      <c r="A212" s="127">
        <f>'Input data'!A136</f>
        <v>2036</v>
      </c>
      <c r="B212" s="105">
        <f>'Input data'!B136</f>
        <v>72.865243718484663</v>
      </c>
      <c r="C212" s="417">
        <f>'Recycling - Case 3'!E116</f>
        <v>1</v>
      </c>
      <c r="D212" s="525">
        <f>'Recycling - Case 3'!F116</f>
        <v>0.37</v>
      </c>
      <c r="E212" s="235">
        <f t="shared" si="188"/>
        <v>1134111996.6719012</v>
      </c>
      <c r="F212" s="236">
        <v>0</v>
      </c>
      <c r="G212" s="237">
        <f t="shared" si="189"/>
        <v>1134111996.6719012</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25517519.92511778</v>
      </c>
      <c r="AA212" s="236">
        <f t="shared" si="232"/>
        <v>0</v>
      </c>
      <c r="AB212" s="236">
        <f t="shared" si="233"/>
        <v>25517519.92511778</v>
      </c>
      <c r="AC212" s="236">
        <f t="shared" si="234"/>
        <v>14289811.15806596</v>
      </c>
      <c r="AD212" s="236">
        <f t="shared" si="235"/>
        <v>2041401.5940094227</v>
      </c>
      <c r="AE212" s="236">
        <f t="shared" si="236"/>
        <v>0</v>
      </c>
      <c r="AF212" s="242">
        <f t="shared" si="237"/>
        <v>67366252.602310941</v>
      </c>
      <c r="AG212" s="235">
        <f t="shared" si="238"/>
        <v>0</v>
      </c>
      <c r="AH212" s="236">
        <f t="shared" si="239"/>
        <v>0</v>
      </c>
      <c r="AI212" s="236">
        <f t="shared" si="240"/>
        <v>6124204.7820282662</v>
      </c>
      <c r="AJ212" s="236">
        <f t="shared" si="241"/>
        <v>1224840.9564056532</v>
      </c>
      <c r="AK212" s="236">
        <f t="shared" si="242"/>
        <v>0</v>
      </c>
      <c r="AL212" s="236">
        <f t="shared" si="243"/>
        <v>0</v>
      </c>
      <c r="AM212" s="971">
        <f t="shared" si="244"/>
        <v>7349045.7384339198</v>
      </c>
      <c r="AN212" s="235">
        <f t="shared" si="245"/>
        <v>70853646.992077023</v>
      </c>
      <c r="AO212" s="236">
        <f t="shared" si="246"/>
        <v>0</v>
      </c>
      <c r="AP212" s="236">
        <f t="shared" si="247"/>
        <v>35426823.496038511</v>
      </c>
      <c r="AQ212" s="236">
        <f t="shared" si="248"/>
        <v>50014339.053230837</v>
      </c>
      <c r="AR212" s="236">
        <f t="shared" si="249"/>
        <v>2083930.7938846182</v>
      </c>
      <c r="AS212" s="236">
        <f t="shared" si="250"/>
        <v>0</v>
      </c>
      <c r="AT212" s="242">
        <f t="shared" si="251"/>
        <v>158378740.33523098</v>
      </c>
      <c r="AU212" s="254">
        <v>0</v>
      </c>
      <c r="AV212" s="246">
        <f t="shared" si="252"/>
        <v>233.09403867597584</v>
      </c>
      <c r="AW212" s="973">
        <f t="shared" si="253"/>
        <v>3.6739664906342075</v>
      </c>
    </row>
    <row r="213" spans="1:49">
      <c r="A213" s="127">
        <f>'Input data'!A137</f>
        <v>2037</v>
      </c>
      <c r="B213" s="105">
        <f>'Input data'!B137</f>
        <v>73.539326072165721</v>
      </c>
      <c r="C213" s="417">
        <f>'Recycling - Case 3'!E117</f>
        <v>1</v>
      </c>
      <c r="D213" s="525">
        <f>'Recycling - Case 3'!F117</f>
        <v>0.37</v>
      </c>
      <c r="E213" s="235">
        <f t="shared" si="188"/>
        <v>1144603759.8917994</v>
      </c>
      <c r="F213" s="236">
        <v>0</v>
      </c>
      <c r="G213" s="237">
        <f t="shared" si="189"/>
        <v>1144603759.8917994</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25753584.597565491</v>
      </c>
      <c r="AA213" s="236">
        <f t="shared" si="232"/>
        <v>0</v>
      </c>
      <c r="AB213" s="236">
        <f t="shared" si="233"/>
        <v>25753584.597565491</v>
      </c>
      <c r="AC213" s="236">
        <f t="shared" si="234"/>
        <v>14422007.374636678</v>
      </c>
      <c r="AD213" s="236">
        <f t="shared" si="235"/>
        <v>2060286.7678052392</v>
      </c>
      <c r="AE213" s="236">
        <f t="shared" si="236"/>
        <v>0</v>
      </c>
      <c r="AF213" s="242">
        <f t="shared" si="237"/>
        <v>67989463.337572902</v>
      </c>
      <c r="AG213" s="235">
        <f t="shared" si="238"/>
        <v>0</v>
      </c>
      <c r="AH213" s="236">
        <f t="shared" si="239"/>
        <v>0</v>
      </c>
      <c r="AI213" s="236">
        <f t="shared" si="240"/>
        <v>6180860.3034157166</v>
      </c>
      <c r="AJ213" s="236">
        <f t="shared" si="241"/>
        <v>1236172.0606831433</v>
      </c>
      <c r="AK213" s="236">
        <f t="shared" si="242"/>
        <v>0</v>
      </c>
      <c r="AL213" s="236">
        <f t="shared" si="243"/>
        <v>0</v>
      </c>
      <c r="AM213" s="971">
        <f t="shared" si="244"/>
        <v>7417032.36409886</v>
      </c>
      <c r="AN213" s="235">
        <f t="shared" si="245"/>
        <v>71509119.899240166</v>
      </c>
      <c r="AO213" s="236">
        <f t="shared" si="246"/>
        <v>0</v>
      </c>
      <c r="AP213" s="236">
        <f t="shared" si="247"/>
        <v>35754559.949620083</v>
      </c>
      <c r="AQ213" s="236">
        <f t="shared" si="248"/>
        <v>50477025.811228357</v>
      </c>
      <c r="AR213" s="236">
        <f t="shared" si="249"/>
        <v>2103209.4088011812</v>
      </c>
      <c r="AS213" s="236">
        <f t="shared" si="250"/>
        <v>0</v>
      </c>
      <c r="AT213" s="242">
        <f t="shared" si="251"/>
        <v>159843915.06888977</v>
      </c>
      <c r="AU213" s="254">
        <v>0</v>
      </c>
      <c r="AV213" s="246">
        <f t="shared" si="252"/>
        <v>235.25041077056153</v>
      </c>
      <c r="AW213" s="973">
        <f t="shared" si="253"/>
        <v>3.7079546563627162</v>
      </c>
    </row>
    <row r="214" spans="1:49">
      <c r="A214" s="127">
        <f>'Input data'!A138</f>
        <v>2038</v>
      </c>
      <c r="B214" s="105">
        <f>'Input data'!B138</f>
        <v>74.200346452615136</v>
      </c>
      <c r="C214" s="417">
        <f>'Recycling - Case 3'!E118</f>
        <v>1</v>
      </c>
      <c r="D214" s="525">
        <f>'Recycling - Case 3'!F118</f>
        <v>0.37</v>
      </c>
      <c r="E214" s="235">
        <f t="shared" si="188"/>
        <v>1154892219.8660591</v>
      </c>
      <c r="F214" s="236">
        <v>0</v>
      </c>
      <c r="G214" s="237">
        <f t="shared" si="189"/>
        <v>1154892219.8660591</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25985074.946986333</v>
      </c>
      <c r="AA214" s="236">
        <f t="shared" si="232"/>
        <v>0</v>
      </c>
      <c r="AB214" s="236">
        <f t="shared" si="233"/>
        <v>25985074.946986333</v>
      </c>
      <c r="AC214" s="236">
        <f t="shared" si="234"/>
        <v>14551641.970312349</v>
      </c>
      <c r="AD214" s="236">
        <f t="shared" si="235"/>
        <v>2078805.9957589065</v>
      </c>
      <c r="AE214" s="236">
        <f t="shared" si="236"/>
        <v>0</v>
      </c>
      <c r="AF214" s="242">
        <f t="shared" si="237"/>
        <v>68600597.860043928</v>
      </c>
      <c r="AG214" s="235">
        <f t="shared" si="238"/>
        <v>0</v>
      </c>
      <c r="AH214" s="236">
        <f t="shared" si="239"/>
        <v>0</v>
      </c>
      <c r="AI214" s="236">
        <f t="shared" si="240"/>
        <v>6236417.987276719</v>
      </c>
      <c r="AJ214" s="236">
        <f t="shared" si="241"/>
        <v>1247283.5974553435</v>
      </c>
      <c r="AK214" s="236">
        <f t="shared" si="242"/>
        <v>0</v>
      </c>
      <c r="AL214" s="236">
        <f t="shared" si="243"/>
        <v>0</v>
      </c>
      <c r="AM214" s="971">
        <f t="shared" si="244"/>
        <v>7483701.5847320622</v>
      </c>
      <c r="AN214" s="235">
        <f t="shared" si="245"/>
        <v>72151891.436132044</v>
      </c>
      <c r="AO214" s="236">
        <f t="shared" si="246"/>
        <v>0</v>
      </c>
      <c r="AP214" s="236">
        <f t="shared" si="247"/>
        <v>36075945.718066022</v>
      </c>
      <c r="AQ214" s="236">
        <f t="shared" si="248"/>
        <v>50930746.896093205</v>
      </c>
      <c r="AR214" s="236">
        <f t="shared" si="249"/>
        <v>2122114.4540038835</v>
      </c>
      <c r="AS214" s="236">
        <f t="shared" si="250"/>
        <v>0</v>
      </c>
      <c r="AT214" s="242">
        <f t="shared" si="251"/>
        <v>161280698.50429514</v>
      </c>
      <c r="AU214" s="254">
        <v>0</v>
      </c>
      <c r="AV214" s="246">
        <f t="shared" si="252"/>
        <v>237.3649979490711</v>
      </c>
      <c r="AW214" s="973">
        <f t="shared" si="253"/>
        <v>3.7412842193129237</v>
      </c>
    </row>
    <row r="215" spans="1:49">
      <c r="A215" s="127">
        <f>'Input data'!A139</f>
        <v>2039</v>
      </c>
      <c r="B215" s="105">
        <f>'Input data'!B139</f>
        <v>74.847837096563296</v>
      </c>
      <c r="C215" s="417">
        <f>'Recycling - Case 3'!E119</f>
        <v>1</v>
      </c>
      <c r="D215" s="525">
        <f>'Recycling - Case 3'!F119</f>
        <v>0.37</v>
      </c>
      <c r="E215" s="235">
        <f t="shared" si="188"/>
        <v>1164970096.0874233</v>
      </c>
      <c r="F215" s="236">
        <v>0</v>
      </c>
      <c r="G215" s="237">
        <f t="shared" si="189"/>
        <v>1164970096.0874233</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26211827.161967028</v>
      </c>
      <c r="AA215" s="236">
        <f t="shared" si="232"/>
        <v>0</v>
      </c>
      <c r="AB215" s="236">
        <f t="shared" si="233"/>
        <v>26211827.161967028</v>
      </c>
      <c r="AC215" s="236">
        <f t="shared" si="234"/>
        <v>14678623.210701538</v>
      </c>
      <c r="AD215" s="236">
        <f t="shared" si="235"/>
        <v>2096946.1729573621</v>
      </c>
      <c r="AE215" s="236">
        <f t="shared" si="236"/>
        <v>0</v>
      </c>
      <c r="AF215" s="242">
        <f t="shared" si="237"/>
        <v>69199223.707592964</v>
      </c>
      <c r="AG215" s="235">
        <f t="shared" si="238"/>
        <v>0</v>
      </c>
      <c r="AH215" s="236">
        <f t="shared" si="239"/>
        <v>0</v>
      </c>
      <c r="AI215" s="236">
        <f t="shared" si="240"/>
        <v>6290838.518872086</v>
      </c>
      <c r="AJ215" s="236">
        <f t="shared" si="241"/>
        <v>1258167.7037744171</v>
      </c>
      <c r="AK215" s="236">
        <f t="shared" si="242"/>
        <v>0</v>
      </c>
      <c r="AL215" s="236">
        <f t="shared" si="243"/>
        <v>0</v>
      </c>
      <c r="AM215" s="971">
        <f t="shared" si="244"/>
        <v>7549006.2226465028</v>
      </c>
      <c r="AN215" s="235">
        <f t="shared" si="245"/>
        <v>72781506.753061771</v>
      </c>
      <c r="AO215" s="236">
        <f t="shared" si="246"/>
        <v>0</v>
      </c>
      <c r="AP215" s="236">
        <f t="shared" si="247"/>
        <v>36390753.376530886</v>
      </c>
      <c r="AQ215" s="236">
        <f t="shared" si="248"/>
        <v>51375181.237455368</v>
      </c>
      <c r="AR215" s="236">
        <f t="shared" si="249"/>
        <v>2140632.5515606403</v>
      </c>
      <c r="AS215" s="236">
        <f t="shared" si="250"/>
        <v>0</v>
      </c>
      <c r="AT215" s="242">
        <f t="shared" si="251"/>
        <v>162688073.91860867</v>
      </c>
      <c r="AU215" s="254">
        <v>0</v>
      </c>
      <c r="AV215" s="246">
        <f t="shared" si="252"/>
        <v>239.43630384884813</v>
      </c>
      <c r="AW215" s="973">
        <f t="shared" si="253"/>
        <v>3.7739315942130265</v>
      </c>
    </row>
    <row r="216" spans="1:49">
      <c r="A216" s="127">
        <f>'Input data'!A140</f>
        <v>2040</v>
      </c>
      <c r="B216" s="105">
        <f>'Input data'!B140</f>
        <v>75.481336564720067</v>
      </c>
      <c r="C216" s="417">
        <f>'Recycling - Case 3'!E120</f>
        <v>1</v>
      </c>
      <c r="D216" s="525">
        <f>'Recycling - Case 3'!F120</f>
        <v>0.37</v>
      </c>
      <c r="E216" s="235">
        <f t="shared" si="188"/>
        <v>1174830206.4782927</v>
      </c>
      <c r="F216" s="236">
        <v>0</v>
      </c>
      <c r="G216" s="237">
        <f t="shared" si="189"/>
        <v>1174830206.4782927</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26433679.645761587</v>
      </c>
      <c r="AA216" s="236">
        <f t="shared" si="232"/>
        <v>0</v>
      </c>
      <c r="AB216" s="236">
        <f t="shared" si="233"/>
        <v>26433679.645761587</v>
      </c>
      <c r="AC216" s="236">
        <f t="shared" si="234"/>
        <v>14802860.601626491</v>
      </c>
      <c r="AD216" s="236">
        <f t="shared" si="235"/>
        <v>2114694.3716609268</v>
      </c>
      <c r="AE216" s="236">
        <f t="shared" si="236"/>
        <v>0</v>
      </c>
      <c r="AF216" s="242">
        <f t="shared" si="237"/>
        <v>69784914.264810592</v>
      </c>
      <c r="AG216" s="235">
        <f t="shared" si="238"/>
        <v>0</v>
      </c>
      <c r="AH216" s="236">
        <f t="shared" si="239"/>
        <v>0</v>
      </c>
      <c r="AI216" s="236">
        <f t="shared" si="240"/>
        <v>6344083.1149827801</v>
      </c>
      <c r="AJ216" s="236">
        <f t="shared" si="241"/>
        <v>1268816.6229965559</v>
      </c>
      <c r="AK216" s="236">
        <f t="shared" si="242"/>
        <v>0</v>
      </c>
      <c r="AL216" s="236">
        <f t="shared" si="243"/>
        <v>0</v>
      </c>
      <c r="AM216" s="971">
        <f t="shared" si="244"/>
        <v>7612899.7379793357</v>
      </c>
      <c r="AN216" s="235">
        <f t="shared" si="245"/>
        <v>73397517.149731338</v>
      </c>
      <c r="AO216" s="236">
        <f t="shared" si="246"/>
        <v>0</v>
      </c>
      <c r="AP216" s="236">
        <f t="shared" si="247"/>
        <v>36698758.574865669</v>
      </c>
      <c r="AQ216" s="236">
        <f t="shared" si="248"/>
        <v>51810012.1056927</v>
      </c>
      <c r="AR216" s="236">
        <f t="shared" si="249"/>
        <v>2158750.5044038631</v>
      </c>
      <c r="AS216" s="236">
        <f t="shared" si="250"/>
        <v>0</v>
      </c>
      <c r="AT216" s="242">
        <f t="shared" si="251"/>
        <v>164065038.33469358</v>
      </c>
      <c r="AU216" s="254">
        <v>0</v>
      </c>
      <c r="AV216" s="246">
        <f t="shared" si="252"/>
        <v>241.46285233748353</v>
      </c>
      <c r="AW216" s="973">
        <f t="shared" si="253"/>
        <v>3.8058735146550235</v>
      </c>
    </row>
    <row r="217" spans="1:49">
      <c r="A217" s="127">
        <f>'Input data'!A141</f>
        <v>2041</v>
      </c>
      <c r="B217" s="105">
        <f>'Input data'!B141</f>
        <v>76.101885632753024</v>
      </c>
      <c r="C217" s="417">
        <f>'Recycling - Case 3'!E121</f>
        <v>1</v>
      </c>
      <c r="D217" s="525">
        <f>'Recycling - Case 3'!F121</f>
        <v>0.37</v>
      </c>
      <c r="E217" s="235">
        <f t="shared" si="188"/>
        <v>1184488750.2045548</v>
      </c>
      <c r="F217" s="236">
        <v>0</v>
      </c>
      <c r="G217" s="237">
        <f t="shared" si="189"/>
        <v>1184488750.2045548</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26650996.879602488</v>
      </c>
      <c r="AA217" s="236">
        <f t="shared" si="232"/>
        <v>0</v>
      </c>
      <c r="AB217" s="236">
        <f t="shared" si="233"/>
        <v>26650996.879602488</v>
      </c>
      <c r="AC217" s="236">
        <f t="shared" si="234"/>
        <v>14924558.252577396</v>
      </c>
      <c r="AD217" s="236">
        <f t="shared" si="235"/>
        <v>2132079.7503681988</v>
      </c>
      <c r="AE217" s="236">
        <f t="shared" si="236"/>
        <v>0</v>
      </c>
      <c r="AF217" s="242">
        <f t="shared" si="237"/>
        <v>70358631.762150571</v>
      </c>
      <c r="AG217" s="235">
        <f t="shared" si="238"/>
        <v>0</v>
      </c>
      <c r="AH217" s="236">
        <f t="shared" si="239"/>
        <v>0</v>
      </c>
      <c r="AI217" s="236">
        <f t="shared" si="240"/>
        <v>6396239.2511045951</v>
      </c>
      <c r="AJ217" s="236">
        <f t="shared" si="241"/>
        <v>1279247.8502209189</v>
      </c>
      <c r="AK217" s="236">
        <f t="shared" si="242"/>
        <v>0</v>
      </c>
      <c r="AL217" s="236">
        <f t="shared" si="243"/>
        <v>0</v>
      </c>
      <c r="AM217" s="971">
        <f t="shared" si="244"/>
        <v>7675487.1013255138</v>
      </c>
      <c r="AN217" s="235">
        <f t="shared" si="245"/>
        <v>74000934.669029549</v>
      </c>
      <c r="AO217" s="236">
        <f t="shared" si="246"/>
        <v>0</v>
      </c>
      <c r="AP217" s="236">
        <f t="shared" si="247"/>
        <v>37000467.334514774</v>
      </c>
      <c r="AQ217" s="236">
        <f t="shared" si="248"/>
        <v>52235953.884020858</v>
      </c>
      <c r="AR217" s="236">
        <f t="shared" si="249"/>
        <v>2176498.0785008692</v>
      </c>
      <c r="AS217" s="236">
        <f t="shared" si="250"/>
        <v>0</v>
      </c>
      <c r="AT217" s="242">
        <f t="shared" si="251"/>
        <v>165413853.96606606</v>
      </c>
      <c r="AU217" s="254">
        <v>0</v>
      </c>
      <c r="AV217" s="246">
        <f t="shared" si="252"/>
        <v>243.44797282954215</v>
      </c>
      <c r="AW217" s="973">
        <f t="shared" si="253"/>
        <v>3.8371624579893204</v>
      </c>
    </row>
    <row r="218" spans="1:49">
      <c r="A218" s="127">
        <f>'Input data'!A142</f>
        <v>2042</v>
      </c>
      <c r="B218" s="105">
        <f>'Input data'!B142</f>
        <v>76.709073592680113</v>
      </c>
      <c r="C218" s="417">
        <f>'Recycling - Case 3'!E122</f>
        <v>1</v>
      </c>
      <c r="D218" s="525">
        <f>'Recycling - Case 3'!F122</f>
        <v>0.37</v>
      </c>
      <c r="E218" s="235">
        <f t="shared" si="188"/>
        <v>1193939334.7966897</v>
      </c>
      <c r="F218" s="236">
        <v>0</v>
      </c>
      <c r="G218" s="237">
        <f t="shared" si="189"/>
        <v>1193939334.7966897</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26863635.032925524</v>
      </c>
      <c r="AA218" s="236">
        <f t="shared" si="232"/>
        <v>0</v>
      </c>
      <c r="AB218" s="236">
        <f t="shared" si="233"/>
        <v>26863635.032925524</v>
      </c>
      <c r="AC218" s="236">
        <f t="shared" si="234"/>
        <v>15043635.618438294</v>
      </c>
      <c r="AD218" s="236">
        <f t="shared" si="235"/>
        <v>2149090.8026340418</v>
      </c>
      <c r="AE218" s="236">
        <f t="shared" si="236"/>
        <v>0</v>
      </c>
      <c r="AF218" s="242">
        <f t="shared" si="237"/>
        <v>70919996.486923382</v>
      </c>
      <c r="AG218" s="235">
        <f t="shared" si="238"/>
        <v>0</v>
      </c>
      <c r="AH218" s="236">
        <f t="shared" si="239"/>
        <v>0</v>
      </c>
      <c r="AI218" s="236">
        <f t="shared" si="240"/>
        <v>6447272.4079021243</v>
      </c>
      <c r="AJ218" s="236">
        <f t="shared" si="241"/>
        <v>1289454.4815804248</v>
      </c>
      <c r="AK218" s="236">
        <f t="shared" si="242"/>
        <v>0</v>
      </c>
      <c r="AL218" s="236">
        <f t="shared" si="243"/>
        <v>0</v>
      </c>
      <c r="AM218" s="971">
        <f t="shared" si="244"/>
        <v>7736726.8894825494</v>
      </c>
      <c r="AN218" s="235">
        <f t="shared" si="245"/>
        <v>74591359.941423193</v>
      </c>
      <c r="AO218" s="236">
        <f t="shared" si="246"/>
        <v>0</v>
      </c>
      <c r="AP218" s="236">
        <f t="shared" si="247"/>
        <v>37295679.970711596</v>
      </c>
      <c r="AQ218" s="236">
        <f t="shared" si="248"/>
        <v>52652724.664534017</v>
      </c>
      <c r="AR218" s="236">
        <f t="shared" si="249"/>
        <v>2193863.5276889172</v>
      </c>
      <c r="AS218" s="236">
        <f t="shared" si="250"/>
        <v>0</v>
      </c>
      <c r="AT218" s="242">
        <f t="shared" si="251"/>
        <v>166733628.10435772</v>
      </c>
      <c r="AU218" s="254">
        <v>0</v>
      </c>
      <c r="AV218" s="246">
        <f t="shared" si="252"/>
        <v>245.39035148076366</v>
      </c>
      <c r="AW218" s="973">
        <f t="shared" si="253"/>
        <v>3.8677777157507212</v>
      </c>
    </row>
    <row r="219" spans="1:49">
      <c r="A219" s="127">
        <f>'Input data'!A143</f>
        <v>2043</v>
      </c>
      <c r="B219" s="105">
        <f>'Input data'!B143</f>
        <v>77.302495984815266</v>
      </c>
      <c r="C219" s="417">
        <f>'Recycling - Case 3'!E123</f>
        <v>1</v>
      </c>
      <c r="D219" s="525">
        <f>'Recycling - Case 3'!F123</f>
        <v>0.37</v>
      </c>
      <c r="E219" s="235">
        <f t="shared" si="188"/>
        <v>1203175665.0368571</v>
      </c>
      <c r="F219" s="236">
        <v>0</v>
      </c>
      <c r="G219" s="237">
        <f t="shared" si="189"/>
        <v>1203175665.0368571</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27071452.463329285</v>
      </c>
      <c r="AA219" s="236">
        <f t="shared" si="232"/>
        <v>0</v>
      </c>
      <c r="AB219" s="236">
        <f t="shared" si="233"/>
        <v>27071452.463329285</v>
      </c>
      <c r="AC219" s="236">
        <f t="shared" si="234"/>
        <v>15160013.379464405</v>
      </c>
      <c r="AD219" s="236">
        <f t="shared" si="235"/>
        <v>2165716.1970663434</v>
      </c>
      <c r="AE219" s="236">
        <f t="shared" si="236"/>
        <v>0</v>
      </c>
      <c r="AF219" s="242">
        <f t="shared" si="237"/>
        <v>71468634.50318931</v>
      </c>
      <c r="AG219" s="235">
        <f t="shared" si="238"/>
        <v>0</v>
      </c>
      <c r="AH219" s="236">
        <f t="shared" si="239"/>
        <v>0</v>
      </c>
      <c r="AI219" s="236">
        <f t="shared" si="240"/>
        <v>6497148.5911990283</v>
      </c>
      <c r="AJ219" s="236">
        <f t="shared" si="241"/>
        <v>1299429.7182398057</v>
      </c>
      <c r="AK219" s="236">
        <f t="shared" si="242"/>
        <v>0</v>
      </c>
      <c r="AL219" s="236">
        <f t="shared" si="243"/>
        <v>0</v>
      </c>
      <c r="AM219" s="971">
        <f t="shared" si="244"/>
        <v>7796578.309438834</v>
      </c>
      <c r="AN219" s="235">
        <f t="shared" si="245"/>
        <v>75168399.673177645</v>
      </c>
      <c r="AO219" s="236">
        <f t="shared" si="246"/>
        <v>0</v>
      </c>
      <c r="AP219" s="236">
        <f t="shared" si="247"/>
        <v>37584199.836588822</v>
      </c>
      <c r="AQ219" s="236">
        <f t="shared" si="248"/>
        <v>53060046.828125395</v>
      </c>
      <c r="AR219" s="236">
        <f t="shared" si="249"/>
        <v>2210835.2845052248</v>
      </c>
      <c r="AS219" s="236">
        <f t="shared" si="250"/>
        <v>0</v>
      </c>
      <c r="AT219" s="242">
        <f t="shared" si="251"/>
        <v>168023481.62239707</v>
      </c>
      <c r="AU219" s="254">
        <v>0</v>
      </c>
      <c r="AV219" s="246">
        <f t="shared" si="252"/>
        <v>247.28869443502521</v>
      </c>
      <c r="AW219" s="973">
        <f t="shared" si="253"/>
        <v>3.8976988945217657</v>
      </c>
    </row>
    <row r="220" spans="1:49">
      <c r="A220" s="127">
        <f>'Input data'!A144</f>
        <v>2044</v>
      </c>
      <c r="B220" s="105">
        <f>'Input data'!B144</f>
        <v>77.881755043150378</v>
      </c>
      <c r="C220" s="417">
        <f>'Recycling - Case 3'!E124</f>
        <v>1</v>
      </c>
      <c r="D220" s="525">
        <f>'Recycling - Case 3'!F124</f>
        <v>0.37</v>
      </c>
      <c r="E220" s="235">
        <f t="shared" si="188"/>
        <v>1212191549.891052</v>
      </c>
      <c r="F220" s="236">
        <v>0</v>
      </c>
      <c r="G220" s="237">
        <f t="shared" si="189"/>
        <v>1212191549.891052</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27274309.872548673</v>
      </c>
      <c r="AA220" s="236">
        <f t="shared" ref="AA220:AA226" si="274">I220*$C$36*G220*$C$10</f>
        <v>0</v>
      </c>
      <c r="AB220" s="236">
        <f t="shared" ref="AB220:AB226" si="275">J220*$C$37*G220*$C$10</f>
        <v>27274309.872548673</v>
      </c>
      <c r="AC220" s="236">
        <f t="shared" ref="AC220:AC226" si="276">K220*$C$40*G220*$C$10</f>
        <v>15273613.52862726</v>
      </c>
      <c r="AD220" s="236">
        <f t="shared" ref="AD220:AD226" si="277">L220*$C$41*G220*$C$10</f>
        <v>2181944.7898038938</v>
      </c>
      <c r="AE220" s="236">
        <f t="shared" ref="AE220:AE226" si="278">M220*$C$42*G220*$C$10</f>
        <v>0</v>
      </c>
      <c r="AF220" s="242">
        <f t="shared" ref="AF220:AF226" si="279">SUM(Z220:AE220)</f>
        <v>72004178.063528493</v>
      </c>
      <c r="AG220" s="235">
        <f t="shared" ref="AG220:AG226" si="280">N220*$C$35*G220*$C$11</f>
        <v>0</v>
      </c>
      <c r="AH220" s="236">
        <f t="shared" ref="AH220:AH226" si="281">O220*$C$36*G220*$C$11</f>
        <v>0</v>
      </c>
      <c r="AI220" s="236">
        <f t="shared" ref="AI220:AI226" si="282">P220*$C$37*G220*$C$11</f>
        <v>6545834.3694116808</v>
      </c>
      <c r="AJ220" s="236">
        <f t="shared" ref="AJ220:AJ226" si="283">Q220*$C$38*G220*$C$11</f>
        <v>1309166.8738823361</v>
      </c>
      <c r="AK220" s="236">
        <f t="shared" ref="AK220:AK226" si="284">R220*$C$41*G220*$C$11</f>
        <v>0</v>
      </c>
      <c r="AL220" s="236">
        <f t="shared" ref="AL220:AL226" si="285">S220*$C$42*G220*$C$11</f>
        <v>0</v>
      </c>
      <c r="AM220" s="971">
        <f t="shared" ref="AM220:AM226" si="286">SUM(AG220:AL220)</f>
        <v>7855001.2432940174</v>
      </c>
      <c r="AN220" s="235">
        <f t="shared" ref="AN220:AN226" si="287">T220*$C$35*G220*$C$12</f>
        <v>75731667.07944347</v>
      </c>
      <c r="AO220" s="236">
        <f t="shared" ref="AO220:AO226" si="288">U220*$C$36*G220*$C$12</f>
        <v>0</v>
      </c>
      <c r="AP220" s="236">
        <f t="shared" ref="AP220:AP226" si="289">V220*$C$37*G220*$C$12</f>
        <v>37865833.539721735</v>
      </c>
      <c r="AQ220" s="236">
        <f t="shared" ref="AQ220:AQ226" si="290">W220*$C$39*G220*$C$12</f>
        <v>53457647.350195393</v>
      </c>
      <c r="AR220" s="236">
        <f t="shared" ref="AR220:AR226" si="291">X220*$C$41*G220*$C$12</f>
        <v>2227401.972924808</v>
      </c>
      <c r="AS220" s="236">
        <f t="shared" ref="AS220:AS226" si="292">Y220*$C$42*N220*$C$12</f>
        <v>0</v>
      </c>
      <c r="AT220" s="242">
        <f t="shared" ref="AT220:AT226" si="293">SUM(AN220:AS220)</f>
        <v>169282549.94228539</v>
      </c>
      <c r="AU220" s="254">
        <v>0</v>
      </c>
      <c r="AV220" s="246">
        <f t="shared" ref="AV220:AV226" si="294">(AF220+AM220+AT220)/10^6-AU220</f>
        <v>249.1417292491079</v>
      </c>
      <c r="AW220" s="973">
        <f t="shared" ref="AW220:AW226" si="295">((B220*$C$46*$C$47*$C$48*$C$49)-$C$50)*$C$51*$C$52</f>
        <v>3.9269059383895084</v>
      </c>
    </row>
    <row r="221" spans="1:49">
      <c r="A221" s="127">
        <f>'Input data'!A145</f>
        <v>2045</v>
      </c>
      <c r="B221" s="105">
        <f>'Input data'!B145</f>
        <v>78.446460136387472</v>
      </c>
      <c r="C221" s="417">
        <f>'Recycling - Case 3'!E125</f>
        <v>1</v>
      </c>
      <c r="D221" s="525">
        <f>'Recycling - Case 3'!F125</f>
        <v>0.37</v>
      </c>
      <c r="E221" s="235">
        <f t="shared" si="188"/>
        <v>1220980909.3735547</v>
      </c>
      <c r="F221" s="236">
        <v>0</v>
      </c>
      <c r="G221" s="237">
        <f t="shared" si="189"/>
        <v>1220980909.3735547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27472070.460904982</v>
      </c>
      <c r="AA221" s="236">
        <f t="shared" si="274"/>
        <v>0</v>
      </c>
      <c r="AB221" s="236">
        <f t="shared" si="275"/>
        <v>27472070.460904982</v>
      </c>
      <c r="AC221" s="236">
        <f t="shared" si="276"/>
        <v>15384359.458106793</v>
      </c>
      <c r="AD221" s="236">
        <f t="shared" si="277"/>
        <v>2197765.6368723987</v>
      </c>
      <c r="AE221" s="236">
        <f t="shared" si="278"/>
        <v>0</v>
      </c>
      <c r="AF221" s="242">
        <f t="shared" si="279"/>
        <v>72526266.016789153</v>
      </c>
      <c r="AG221" s="235">
        <f t="shared" si="280"/>
        <v>0</v>
      </c>
      <c r="AH221" s="236">
        <f t="shared" si="281"/>
        <v>0</v>
      </c>
      <c r="AI221" s="236">
        <f t="shared" si="282"/>
        <v>6593296.9106171941</v>
      </c>
      <c r="AJ221" s="236">
        <f t="shared" si="283"/>
        <v>1318659.3821234391</v>
      </c>
      <c r="AK221" s="236">
        <f t="shared" si="284"/>
        <v>0</v>
      </c>
      <c r="AL221" s="236">
        <f t="shared" si="285"/>
        <v>0</v>
      </c>
      <c r="AM221" s="971">
        <f t="shared" si="286"/>
        <v>7911956.2927406337</v>
      </c>
      <c r="AN221" s="235">
        <f t="shared" si="287"/>
        <v>76280782.313112825</v>
      </c>
      <c r="AO221" s="236">
        <f t="shared" si="288"/>
        <v>0</v>
      </c>
      <c r="AP221" s="236">
        <f t="shared" si="289"/>
        <v>38140391.156556413</v>
      </c>
      <c r="AQ221" s="236">
        <f t="shared" si="290"/>
        <v>53845258.103373758</v>
      </c>
      <c r="AR221" s="236">
        <f t="shared" si="291"/>
        <v>2243552.4209739063</v>
      </c>
      <c r="AS221" s="236">
        <f t="shared" si="292"/>
        <v>0</v>
      </c>
      <c r="AT221" s="242">
        <f t="shared" si="293"/>
        <v>170509983.99401689</v>
      </c>
      <c r="AU221" s="254">
        <v>0</v>
      </c>
      <c r="AV221" s="246">
        <f t="shared" si="294"/>
        <v>250.94820630354667</v>
      </c>
      <c r="AW221" s="973">
        <f t="shared" si="295"/>
        <v>3.9553791511829659</v>
      </c>
    </row>
    <row r="222" spans="1:49">
      <c r="A222" s="127">
        <f>'Input data'!A146</f>
        <v>2046</v>
      </c>
      <c r="B222" s="105">
        <f>'Input data'!B146</f>
        <v>78.997842335977523</v>
      </c>
      <c r="C222" s="417">
        <f>'Recycling - Case 3'!E126</f>
        <v>1</v>
      </c>
      <c r="D222" s="525">
        <f>'Recycling - Case 3'!F126</f>
        <v>0.37</v>
      </c>
      <c r="E222" s="235">
        <f t="shared" si="188"/>
        <v>1229562904.5113513</v>
      </c>
      <c r="F222" s="236">
        <v>0</v>
      </c>
      <c r="G222" s="237">
        <f t="shared" si="189"/>
        <v>1229562904.5113513</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27665165.351505406</v>
      </c>
      <c r="AA222" s="236">
        <f t="shared" si="274"/>
        <v>0</v>
      </c>
      <c r="AB222" s="236">
        <f t="shared" si="275"/>
        <v>27665165.351505406</v>
      </c>
      <c r="AC222" s="236">
        <f t="shared" si="276"/>
        <v>15492492.59684303</v>
      </c>
      <c r="AD222" s="236">
        <f t="shared" si="277"/>
        <v>2213213.2281204327</v>
      </c>
      <c r="AE222" s="236">
        <f t="shared" si="278"/>
        <v>0</v>
      </c>
      <c r="AF222" s="242">
        <f t="shared" si="279"/>
        <v>73036036.527974278</v>
      </c>
      <c r="AG222" s="235">
        <f t="shared" si="280"/>
        <v>0</v>
      </c>
      <c r="AH222" s="236">
        <f t="shared" si="281"/>
        <v>0</v>
      </c>
      <c r="AI222" s="236">
        <f t="shared" si="282"/>
        <v>6639639.6843612967</v>
      </c>
      <c r="AJ222" s="236">
        <f t="shared" si="283"/>
        <v>1327927.9368722595</v>
      </c>
      <c r="AK222" s="236">
        <f t="shared" si="284"/>
        <v>0</v>
      </c>
      <c r="AL222" s="236">
        <f t="shared" si="285"/>
        <v>0</v>
      </c>
      <c r="AM222" s="971">
        <f t="shared" si="286"/>
        <v>7967567.6212335564</v>
      </c>
      <c r="AN222" s="235">
        <f t="shared" si="287"/>
        <v>76816942.459346682</v>
      </c>
      <c r="AO222" s="236">
        <f t="shared" si="288"/>
        <v>0</v>
      </c>
      <c r="AP222" s="236">
        <f t="shared" si="289"/>
        <v>38408471.229673341</v>
      </c>
      <c r="AQ222" s="236">
        <f t="shared" si="290"/>
        <v>54223724.088950589</v>
      </c>
      <c r="AR222" s="236">
        <f t="shared" si="291"/>
        <v>2259321.837039608</v>
      </c>
      <c r="AS222" s="236">
        <f t="shared" si="292"/>
        <v>0</v>
      </c>
      <c r="AT222" s="242">
        <f t="shared" si="293"/>
        <v>171708459.61501023</v>
      </c>
      <c r="AU222" s="254">
        <v>0</v>
      </c>
      <c r="AV222" s="246">
        <f t="shared" si="294"/>
        <v>252.71206376421807</v>
      </c>
      <c r="AW222" s="973">
        <f t="shared" si="295"/>
        <v>3.9831806052294589</v>
      </c>
    </row>
    <row r="223" spans="1:49">
      <c r="A223" s="127">
        <f>'Input data'!A147</f>
        <v>2047</v>
      </c>
      <c r="B223" s="105">
        <f>'Input data'!B147</f>
        <v>79.535560193629763</v>
      </c>
      <c r="C223" s="417">
        <f>'Recycling - Case 3'!E127</f>
        <v>1</v>
      </c>
      <c r="D223" s="525">
        <f>'Recycling - Case 3'!F127</f>
        <v>0.37</v>
      </c>
      <c r="E223" s="235">
        <f t="shared" si="188"/>
        <v>1237932220.828253</v>
      </c>
      <c r="F223" s="236">
        <v>0</v>
      </c>
      <c r="G223" s="237">
        <f t="shared" si="189"/>
        <v>1237932220.828253</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27853474.968635697</v>
      </c>
      <c r="AA223" s="236">
        <f t="shared" si="274"/>
        <v>0</v>
      </c>
      <c r="AB223" s="236">
        <f t="shared" si="275"/>
        <v>27853474.968635697</v>
      </c>
      <c r="AC223" s="236">
        <f t="shared" si="276"/>
        <v>15597945.982435992</v>
      </c>
      <c r="AD223" s="236">
        <f t="shared" si="277"/>
        <v>2228277.9974908559</v>
      </c>
      <c r="AE223" s="236">
        <f t="shared" si="278"/>
        <v>0</v>
      </c>
      <c r="AF223" s="242">
        <f t="shared" si="279"/>
        <v>73533173.917198241</v>
      </c>
      <c r="AG223" s="235">
        <f t="shared" si="280"/>
        <v>0</v>
      </c>
      <c r="AH223" s="236">
        <f t="shared" si="281"/>
        <v>0</v>
      </c>
      <c r="AI223" s="236">
        <f t="shared" si="282"/>
        <v>6684833.9924725657</v>
      </c>
      <c r="AJ223" s="236">
        <f t="shared" si="283"/>
        <v>1336966.7984945131</v>
      </c>
      <c r="AK223" s="236">
        <f t="shared" si="284"/>
        <v>0</v>
      </c>
      <c r="AL223" s="236">
        <f t="shared" si="285"/>
        <v>0</v>
      </c>
      <c r="AM223" s="971">
        <f t="shared" si="286"/>
        <v>8021800.7909670789</v>
      </c>
      <c r="AN223" s="235">
        <f t="shared" si="287"/>
        <v>77339815.496245116</v>
      </c>
      <c r="AO223" s="236">
        <f t="shared" si="288"/>
        <v>0</v>
      </c>
      <c r="AP223" s="236">
        <f t="shared" si="289"/>
        <v>38669907.748122558</v>
      </c>
      <c r="AQ223" s="236">
        <f t="shared" si="290"/>
        <v>54592810.93852596</v>
      </c>
      <c r="AR223" s="236">
        <f t="shared" si="291"/>
        <v>2274700.4557719147</v>
      </c>
      <c r="AS223" s="236">
        <f t="shared" si="292"/>
        <v>0</v>
      </c>
      <c r="AT223" s="242">
        <f t="shared" si="293"/>
        <v>172877234.63866556</v>
      </c>
      <c r="AU223" s="254">
        <v>0</v>
      </c>
      <c r="AV223" s="246">
        <f t="shared" si="294"/>
        <v>254.43220934683089</v>
      </c>
      <c r="AW223" s="973">
        <f t="shared" si="295"/>
        <v>4.0102930842333384</v>
      </c>
    </row>
    <row r="224" spans="1:49">
      <c r="A224" s="127">
        <f>'Input data'!A148</f>
        <v>2048</v>
      </c>
      <c r="B224" s="105">
        <f>'Input data'!B148</f>
        <v>80.059278886956378</v>
      </c>
      <c r="C224" s="417">
        <f>'Recycling - Case 3'!E128</f>
        <v>1</v>
      </c>
      <c r="D224" s="525">
        <f>'Recycling - Case 3'!F128</f>
        <v>0.37</v>
      </c>
      <c r="E224" s="235">
        <f t="shared" si="188"/>
        <v>1246083646.9770188</v>
      </c>
      <c r="F224" s="236">
        <v>0</v>
      </c>
      <c r="G224" s="237">
        <f t="shared" si="189"/>
        <v>1246083646.9770188</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28036882.056982927</v>
      </c>
      <c r="AA224" s="236">
        <f t="shared" si="274"/>
        <v>0</v>
      </c>
      <c r="AB224" s="236">
        <f t="shared" si="275"/>
        <v>28036882.056982927</v>
      </c>
      <c r="AC224" s="236">
        <f t="shared" si="276"/>
        <v>15700653.951910442</v>
      </c>
      <c r="AD224" s="236">
        <f t="shared" si="277"/>
        <v>2242950.5645586341</v>
      </c>
      <c r="AE224" s="236">
        <f t="shared" si="278"/>
        <v>0</v>
      </c>
      <c r="AF224" s="242">
        <f t="shared" si="279"/>
        <v>74017368.63043493</v>
      </c>
      <c r="AG224" s="235">
        <f t="shared" si="280"/>
        <v>0</v>
      </c>
      <c r="AH224" s="236">
        <f t="shared" si="281"/>
        <v>0</v>
      </c>
      <c r="AI224" s="236">
        <f t="shared" si="282"/>
        <v>6728851.6936759017</v>
      </c>
      <c r="AJ224" s="236">
        <f t="shared" si="283"/>
        <v>1345770.3387351802</v>
      </c>
      <c r="AK224" s="236">
        <f t="shared" si="284"/>
        <v>0</v>
      </c>
      <c r="AL224" s="236">
        <f t="shared" si="285"/>
        <v>0</v>
      </c>
      <c r="AM224" s="971">
        <f t="shared" si="286"/>
        <v>8074622.0324110817</v>
      </c>
      <c r="AN224" s="235">
        <f t="shared" si="287"/>
        <v>77849075.844889253</v>
      </c>
      <c r="AO224" s="236">
        <f t="shared" si="288"/>
        <v>0</v>
      </c>
      <c r="AP224" s="236">
        <f t="shared" si="289"/>
        <v>38924537.922444627</v>
      </c>
      <c r="AQ224" s="236">
        <f t="shared" si="290"/>
        <v>54952288.831686527</v>
      </c>
      <c r="AR224" s="236">
        <f t="shared" si="291"/>
        <v>2289678.7013202719</v>
      </c>
      <c r="AS224" s="236">
        <f t="shared" si="292"/>
        <v>0</v>
      </c>
      <c r="AT224" s="242">
        <f t="shared" si="293"/>
        <v>174015581.30034068</v>
      </c>
      <c r="AU224" s="254">
        <v>0</v>
      </c>
      <c r="AV224" s="246">
        <f t="shared" si="294"/>
        <v>256.10757196318667</v>
      </c>
      <c r="AW224" s="973">
        <f t="shared" si="295"/>
        <v>4.0366997059861536</v>
      </c>
    </row>
    <row r="225" spans="1:49">
      <c r="A225" s="127">
        <f>'Input data'!A149</f>
        <v>2049</v>
      </c>
      <c r="B225" s="105">
        <f>'Input data'!B149</f>
        <v>80.568670564877792</v>
      </c>
      <c r="C225" s="417">
        <f>'Recycling - Case 3'!E129</f>
        <v>1</v>
      </c>
      <c r="D225" s="525">
        <f>'Recycling - Case 3'!F129</f>
        <v>0.37</v>
      </c>
      <c r="E225" s="235">
        <f t="shared" si="188"/>
        <v>1254012080.1154225</v>
      </c>
      <c r="F225" s="236">
        <v>0</v>
      </c>
      <c r="G225" s="237">
        <f t="shared" si="189"/>
        <v>1254012080.1154225</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28215271.802597012</v>
      </c>
      <c r="AA225" s="236">
        <f t="shared" si="274"/>
        <v>0</v>
      </c>
      <c r="AB225" s="236">
        <f t="shared" si="275"/>
        <v>28215271.802597012</v>
      </c>
      <c r="AC225" s="236">
        <f t="shared" si="276"/>
        <v>15800552.209454328</v>
      </c>
      <c r="AD225" s="236">
        <f t="shared" si="277"/>
        <v>2257221.7442077608</v>
      </c>
      <c r="AE225" s="236">
        <f t="shared" si="278"/>
        <v>0</v>
      </c>
      <c r="AF225" s="242">
        <f t="shared" si="279"/>
        <v>74488317.558856115</v>
      </c>
      <c r="AG225" s="235">
        <f t="shared" si="280"/>
        <v>0</v>
      </c>
      <c r="AH225" s="236">
        <f t="shared" si="281"/>
        <v>0</v>
      </c>
      <c r="AI225" s="236">
        <f t="shared" si="282"/>
        <v>6771665.232623281</v>
      </c>
      <c r="AJ225" s="236">
        <f t="shared" si="283"/>
        <v>1354333.0465246562</v>
      </c>
      <c r="AK225" s="236">
        <f t="shared" si="284"/>
        <v>0</v>
      </c>
      <c r="AL225" s="236">
        <f t="shared" si="285"/>
        <v>0</v>
      </c>
      <c r="AM225" s="971">
        <f t="shared" si="286"/>
        <v>8125998.279147937</v>
      </c>
      <c r="AN225" s="235">
        <f t="shared" si="287"/>
        <v>78344404.705211028</v>
      </c>
      <c r="AO225" s="236">
        <f t="shared" si="288"/>
        <v>0</v>
      </c>
      <c r="AP225" s="236">
        <f t="shared" si="289"/>
        <v>39172202.352605514</v>
      </c>
      <c r="AQ225" s="236">
        <f t="shared" si="290"/>
        <v>55301932.733090125</v>
      </c>
      <c r="AR225" s="236">
        <f t="shared" si="291"/>
        <v>2304247.1972120884</v>
      </c>
      <c r="AS225" s="236">
        <f t="shared" si="292"/>
        <v>0</v>
      </c>
      <c r="AT225" s="242">
        <f t="shared" si="293"/>
        <v>175122786.98811877</v>
      </c>
      <c r="AU225" s="254">
        <v>0</v>
      </c>
      <c r="AV225" s="246">
        <f t="shared" si="294"/>
        <v>257.73710282612279</v>
      </c>
      <c r="AW225" s="973">
        <f t="shared" si="295"/>
        <v>4.0623839397824701</v>
      </c>
    </row>
    <row r="226" spans="1:49" ht="15.75" thickBot="1">
      <c r="A226" s="172">
        <f>'Input data'!A150</f>
        <v>2050</v>
      </c>
      <c r="B226" s="962">
        <f>'Input data'!B150</f>
        <v>81.063414687793369</v>
      </c>
      <c r="C226" s="651">
        <f>'Recycling - Case 3'!E130</f>
        <v>1</v>
      </c>
      <c r="D226" s="652">
        <f>'Recycling - Case 3'!F130</f>
        <v>0.37</v>
      </c>
      <c r="E226" s="238">
        <f t="shared" si="188"/>
        <v>1261712531.2008436</v>
      </c>
      <c r="F226" s="239">
        <v>0</v>
      </c>
      <c r="G226" s="240">
        <f t="shared" si="189"/>
        <v>1261712531.2008436</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28388531.952018984</v>
      </c>
      <c r="AA226" s="239">
        <f t="shared" si="274"/>
        <v>0</v>
      </c>
      <c r="AB226" s="239">
        <f t="shared" si="275"/>
        <v>28388531.952018984</v>
      </c>
      <c r="AC226" s="239">
        <f t="shared" si="276"/>
        <v>15897577.893130634</v>
      </c>
      <c r="AD226" s="239">
        <f t="shared" si="277"/>
        <v>2271082.5561615187</v>
      </c>
      <c r="AE226" s="239">
        <f t="shared" si="278"/>
        <v>0</v>
      </c>
      <c r="AF226" s="243">
        <f t="shared" si="279"/>
        <v>74945724.35333012</v>
      </c>
      <c r="AG226" s="238">
        <f t="shared" si="280"/>
        <v>0</v>
      </c>
      <c r="AH226" s="239">
        <f t="shared" si="281"/>
        <v>0</v>
      </c>
      <c r="AI226" s="239">
        <f t="shared" si="282"/>
        <v>6813247.6684845546</v>
      </c>
      <c r="AJ226" s="239">
        <f t="shared" si="283"/>
        <v>1362649.5336969111</v>
      </c>
      <c r="AK226" s="239">
        <f t="shared" si="284"/>
        <v>0</v>
      </c>
      <c r="AL226" s="239">
        <f t="shared" si="285"/>
        <v>0</v>
      </c>
      <c r="AM226" s="972">
        <f t="shared" si="286"/>
        <v>8175897.2021814659</v>
      </c>
      <c r="AN226" s="238">
        <f t="shared" si="287"/>
        <v>78825490.386772707</v>
      </c>
      <c r="AO226" s="239">
        <f t="shared" si="288"/>
        <v>0</v>
      </c>
      <c r="AP226" s="239">
        <f t="shared" si="289"/>
        <v>39412745.193386354</v>
      </c>
      <c r="AQ226" s="239">
        <f t="shared" si="290"/>
        <v>55641522.625957198</v>
      </c>
      <c r="AR226" s="239">
        <f t="shared" si="291"/>
        <v>2318396.7760815499</v>
      </c>
      <c r="AS226" s="239">
        <f t="shared" si="292"/>
        <v>0</v>
      </c>
      <c r="AT226" s="243">
        <f t="shared" si="293"/>
        <v>176198154.98219782</v>
      </c>
      <c r="AU226" s="254">
        <v>0</v>
      </c>
      <c r="AV226" s="249">
        <f t="shared" si="294"/>
        <v>259.3197765377094</v>
      </c>
      <c r="AW226" s="974">
        <f t="shared" si="295"/>
        <v>4.0873296235717493</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7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7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7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30.75"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7.25">
      <c r="A22" s="63" t="s">
        <v>161</v>
      </c>
      <c r="B22" s="2010" t="s">
        <v>149</v>
      </c>
      <c r="C22" s="2011"/>
      <c r="D22" s="53"/>
      <c r="E22" s="53"/>
      <c r="F22" s="53"/>
      <c r="G22" s="53"/>
      <c r="H22" s="7"/>
      <c r="M22" s="53"/>
      <c r="N22" s="15"/>
      <c r="O22" s="53"/>
    </row>
    <row r="23" spans="1:15" ht="15.7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1"/>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09"/>
      <c r="C42" s="1409"/>
      <c r="D42" s="1409"/>
      <c r="E42" s="1409"/>
      <c r="F42" s="1409"/>
      <c r="G42" s="1409"/>
      <c r="H42" s="1409"/>
      <c r="I42" s="1409"/>
      <c r="J42" s="1410"/>
    </row>
    <row r="43" spans="1:15" ht="30">
      <c r="A43" s="40" t="s">
        <v>103</v>
      </c>
      <c r="B43" s="1408" t="s">
        <v>83</v>
      </c>
      <c r="C43" s="1408" t="s">
        <v>85</v>
      </c>
      <c r="D43" s="1408" t="s">
        <v>87</v>
      </c>
      <c r="E43" s="1408" t="s">
        <v>89</v>
      </c>
      <c r="F43" s="1408" t="s">
        <v>91</v>
      </c>
      <c r="G43" s="1408" t="s">
        <v>93</v>
      </c>
      <c r="H43" s="1408" t="s">
        <v>107</v>
      </c>
      <c r="I43" s="1408" t="s">
        <v>104</v>
      </c>
      <c r="J43" s="1408"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6">
        <v>0</v>
      </c>
      <c r="C48" s="1406">
        <v>0</v>
      </c>
      <c r="D48" s="1406">
        <v>0.01</v>
      </c>
      <c r="E48" s="1406">
        <v>0</v>
      </c>
      <c r="F48" s="1406">
        <v>0.2</v>
      </c>
      <c r="G48" s="1406">
        <v>0.1</v>
      </c>
      <c r="H48" s="1406">
        <v>1</v>
      </c>
      <c r="I48" s="11">
        <v>1</v>
      </c>
      <c r="J48" s="11">
        <v>0</v>
      </c>
      <c r="K48" s="11">
        <v>0</v>
      </c>
      <c r="L48" s="11">
        <v>1</v>
      </c>
    </row>
    <row r="49" spans="1:20">
      <c r="A49" s="16"/>
      <c r="B49" s="1407"/>
      <c r="C49" s="1407"/>
      <c r="D49" s="1407"/>
      <c r="E49" s="1407"/>
      <c r="F49" s="1407"/>
      <c r="G49" s="1407"/>
      <c r="H49" s="1407"/>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2022-09-12T05:26:26Z</dcterms:modified>
</cp:coreProperties>
</file>