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678E3986-E76D-460F-8940-14764F752F13}" xr6:coauthVersionLast="47" xr6:coauthVersionMax="47" xr10:uidLastSave="{00000000-0000-0000-0000-000000000000}"/>
  <bookViews>
    <workbookView xWindow="-120" yWindow="-120" windowWidth="38640" windowHeight="21240" tabRatio="757" firstSheet="12" activeTab="13" xr2:uid="{79BB8F6F-F2DB-4F50-95F2-FCEE79CAA7BD}"/>
  </bookViews>
  <sheets>
    <sheet name="Log" sheetId="44" r:id="rId1"/>
    <sheet name="PAMS and scenarios" sheetId="43" r:id="rId2"/>
    <sheet name="HDRI scenarios" sheetId="29" r:id="rId3"/>
    <sheet name="H-DRI literature and calcs" sheetId="35" r:id="rId4"/>
    <sheet name="Summary Hydrogen DRI new" sheetId="34" r:id="rId5"/>
    <sheet name="Summary Hydrogen DRI" sheetId="28" r:id="rId6"/>
    <sheet name="HDRI-Items" sheetId="30" r:id="rId7"/>
    <sheet name="HDRI-TSData" sheetId="31" r:id="rId8"/>
    <sheet name="HDRI-TIDData" sheetId="32" r:id="rId9"/>
    <sheet name="IS-Items" sheetId="39" r:id="rId10"/>
    <sheet name="IS-TSData" sheetId="40" r:id="rId11"/>
    <sheet name="IS-TIDData" sheetId="41" r:id="rId12"/>
    <sheet name="Iron &amp; Steel" sheetId="42" r:id="rId13"/>
    <sheet name="I&amp;S SATIM input" sheetId="13" r:id="rId14"/>
    <sheet name="Energy Intensity" sheetId="10" r:id="rId15"/>
    <sheet name="I&amp;S capacity + production" sheetId="2" r:id="rId16"/>
    <sheet name="Energy and Emissions" sheetId="1" r:id="rId17"/>
    <sheet name="2017GHG inv Emissions factors" sheetId="46" r:id="rId18"/>
    <sheet name="Scrap" sheetId="15" r:id="rId19"/>
    <sheet name="Coke" sheetId="11" r:id="rId20"/>
    <sheet name="TNapp - Opex sheet" sheetId="23" r:id="rId21"/>
    <sheet name="TNapp - Capex sheet" sheetId="37" r:id="rId22"/>
    <sheet name="TNapp - I&amp;S intensity" sheetId="4" r:id="rId23"/>
    <sheet name="AMSA reports" sheetId="9" r:id="rId24"/>
    <sheet name="AcelorMittal sus report data" sheetId="7" r:id="rId25"/>
    <sheet name="AMSA - Saldanha" sheetId="5" r:id="rId26"/>
    <sheet name="AMSA - Vndbjl park" sheetId="17" r:id="rId27"/>
    <sheet name="Blast furnace JPN info" sheetId="8" r:id="rId28"/>
    <sheet name="Vereeniging" sheetId="45" r:id="rId29"/>
    <sheet name="Evraz Highveld" sheetId="6" r:id="rId30"/>
  </sheets>
  <externalReferences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'HDRI-TIDData'!$A$1:$I$62</definedName>
    <definedName name="_xlnm._FilterDatabase" localSheetId="7" hidden="1">'HDRI-TSData'!$A$1:$J$60</definedName>
    <definedName name="_xlnm._FilterDatabase" localSheetId="11" hidden="1">'IS-TIDData'!$A$1:$I$231</definedName>
    <definedName name="_xlnm._FilterDatabase" localSheetId="10" hidden="1">'IS-TSData'!$B$2:$J$287</definedName>
    <definedName name="ALswitch">[2]IND!$M$13</definedName>
    <definedName name="Cars_12" localSheetId="21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4">'[5]Financial Indicators'!$Y$9</definedName>
    <definedName name="CPI.2011" localSheetId="21">'[6]Financial Indicators'!$Y$9</definedName>
    <definedName name="CPI.2011" localSheetId="20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4">'[5]Financial Indicators'!$C$25:$Z$28</definedName>
    <definedName name="Deflator" localSheetId="21">'[6]Financial Indicators'!$C$25:$Z$28</definedName>
    <definedName name="Deflator" localSheetId="20">'[7]Financial Indicators'!$C$25:$Z$28</definedName>
    <definedName name="Deflator">'[8]Financial Indicators'!$C$25:$Z$28</definedName>
    <definedName name="DISCRATE" localSheetId="21">'[3]TechRep-Doc'!#REF!</definedName>
    <definedName name="DISCRATE">'[3]TechRep-Doc'!#REF!</definedName>
    <definedName name="epp_start">#REF!</definedName>
    <definedName name="eps" localSheetId="2">[2]NameConv!$F$31</definedName>
    <definedName name="eps">[11]NameConv!$F$1</definedName>
    <definedName name="etech_data">#REF!</definedName>
    <definedName name="etech_parameters">#REF!</definedName>
    <definedName name="EXCH" localSheetId="24">'[5]Financial Indicators'!$C$12:$Y$15</definedName>
    <definedName name="EXCH" localSheetId="21">'[6]Financial Indicators'!$C$12:$Y$15</definedName>
    <definedName name="EXCH" localSheetId="20">'[7]Financial Indicators'!$C$12:$Y$15</definedName>
    <definedName name="EXCH">'[8]Financial Indicators'!$C$12:$Y$15</definedName>
    <definedName name="EXCH.year" localSheetId="24">'[5]Financial Indicators'!$D$3:$Y$3</definedName>
    <definedName name="EXCH.year" localSheetId="21">'[6]Financial Indicators'!$D$3:$Y$3</definedName>
    <definedName name="EXCH.year" localSheetId="20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2">[13]Footprint!$AB$132</definedName>
    <definedName name="FP2i_NPE_Emis">[9]Footprint!$A$149</definedName>
    <definedName name="FP2i_NPE_onEmis" localSheetId="2">[13]Footprint!$AB$133</definedName>
    <definedName name="FP2i_NPE_onEmis">[9]Footprint!$A$150</definedName>
    <definedName name="FP2i_OG_Emis" localSheetId="2">[13]Footprint!$T$123</definedName>
    <definedName name="FP2i_OG_Emis">[9]Footprint!$A$160</definedName>
    <definedName name="FP2i_OG_Fuel" localSheetId="2">[13]Footprint!$T$120</definedName>
    <definedName name="FP2i_OG_Fuel">[9]Footprint!$A$157</definedName>
    <definedName name="FP2i_OG_onEmis" localSheetId="2">[13]Footprint!$T$124</definedName>
    <definedName name="FP2i_OG_onEmis">[9]Footprint!$A$161</definedName>
    <definedName name="FP2i_OG_Output">[13]Footprint!$T$121</definedName>
    <definedName name="FP2i_PE_Emis" localSheetId="2">[13]Footprint!$AB$124</definedName>
    <definedName name="FP2i_PE_Emis">[9]Footprint!$A$141</definedName>
    <definedName name="FP2i_PE_onEmis" localSheetId="2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2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2">[13]Footprint!$Z$127</definedName>
    <definedName name="FP2i_TPE">[9]Footprint!$A$136</definedName>
    <definedName name="FPi_A" localSheetId="2">[13]Footprint!$I$87</definedName>
    <definedName name="FPi_A">[9]Footprint!$I$87</definedName>
    <definedName name="FPi_All" localSheetId="2">[13]Footprint!$C$87</definedName>
    <definedName name="FPi_All">[9]Footprint!$C$87</definedName>
    <definedName name="FPi_B" localSheetId="2">[13]Footprint!$I$88</definedName>
    <definedName name="FPi_B">[9]Footprint!$I$88</definedName>
    <definedName name="FPi_bb">[13]Footprint!$I$90</definedName>
    <definedName name="FPi_C" localSheetId="2">[13]Footprint!$M$87</definedName>
    <definedName name="FPi_C">[9]Footprint!$M$87</definedName>
    <definedName name="FPi_D">[9]Footprint!$M$88</definedName>
    <definedName name="FPi_EC_Elec" localSheetId="2">[13]Footprint!$T$73</definedName>
    <definedName name="FPi_EC_Elec">[9]Footprint!$T$73</definedName>
    <definedName name="FPi_EC_Losses" localSheetId="2">[13]Footprint!$T$75</definedName>
    <definedName name="FPi_EC_Losses">[9]Footprint!$T$75</definedName>
    <definedName name="FPi_EC_Steam" localSheetId="2">[13]Footprint!$T$74</definedName>
    <definedName name="FPi_EC_Steam">[9]Footprint!$T$74</definedName>
    <definedName name="FPi_MD_Elec" localSheetId="2">[13]Footprint!$T$79</definedName>
    <definedName name="FPi_MD_Elec">[9]Footprint!$T$79</definedName>
    <definedName name="FPi_MD_Fuel" localSheetId="2">[13]Footprint!$T$78</definedName>
    <definedName name="FPi_MD_fuel">[9]Footprint!$T$78</definedName>
    <definedName name="FPi_MD_Steam" localSheetId="2">[13]Footprint!$T$80</definedName>
    <definedName name="FPi_MD_Steam">[9]Footprint!$T$80</definedName>
    <definedName name="FPi_np_HVAC_Elec" localSheetId="2">[13]Footprint!$AE$53</definedName>
    <definedName name="FPi_np_HVAC_Elec">[9]Footprint!$AE$53</definedName>
    <definedName name="FPi_np_HVAC_Fuel" localSheetId="2">[13]Footprint!$AE$52</definedName>
    <definedName name="FPi_np_HVAC_Fuel">[9]Footprint!$AE$52</definedName>
    <definedName name="FPi_np_HVAC_L" localSheetId="2">[13]Footprint!$AE$55</definedName>
    <definedName name="FPi_np_HVAC_L">[9]Footprint!$AE$55</definedName>
    <definedName name="FPi_np_HVAC_Steam" localSheetId="2">[13]Footprint!$AE$54</definedName>
    <definedName name="FPi_np_HVAC_Steam">[9]Footprint!$AE$54</definedName>
    <definedName name="FPi_np_Lit_Elec" localSheetId="2">[13]Footprint!$AE$59</definedName>
    <definedName name="FPi_np_Lit_Elec">[9]Footprint!$AE$59</definedName>
    <definedName name="FPi_np_Lit_L" localSheetId="2">[13]Footprint!$AE$60</definedName>
    <definedName name="FPi_np_Lit_L">[9]Footprint!$AE$60</definedName>
    <definedName name="FPi_np_Oemis" localSheetId="2">[13]Footprint!$AJ$84</definedName>
    <definedName name="FPi_np_Oemis">[9]Footprint!$AJ$84</definedName>
    <definedName name="FPi_np_Ofs_Elec" localSheetId="2">[13]Footprint!$AE$65</definedName>
    <definedName name="FPi_np_Ofs_Elec">[9]Footprint!$AE$65</definedName>
    <definedName name="FPi_np_Ofs_Fuel" localSheetId="2">[13]Footprint!$AE$64</definedName>
    <definedName name="FPi_np_Ofs_Fuel">[9]Footprint!$AE$64</definedName>
    <definedName name="FPi_np_Ofs_L" localSheetId="2">[13]Footprint!$AE$66</definedName>
    <definedName name="FPi_np_Ofs_L">[9]Footprint!$AE$66</definedName>
    <definedName name="FPi_np_Onp_Elec" localSheetId="2">[13]Footprint!$AE$77</definedName>
    <definedName name="FPi_np_Onp_Elec">[9]Footprint!$AE$77</definedName>
    <definedName name="FPi_np_Onp_Fuel" localSheetId="2">[13]Footprint!$AE$76</definedName>
    <definedName name="FPi_np_Onp_Fuel">[9]Footprint!$AE$76</definedName>
    <definedName name="FPi_np_Onp_L" localSheetId="2">[13]Footprint!$AE$79</definedName>
    <definedName name="FPi_np_Onp_L">[9]Footprint!$AE$79</definedName>
    <definedName name="FPi_np_Onp_Steam" localSheetId="2">[13]Footprint!$AE$78</definedName>
    <definedName name="FPi_np_Onp_Steam">[9]Footprint!$AE$78</definedName>
    <definedName name="FPi_np_Tran_Elec" localSheetId="2">[13]Footprint!$AE$71</definedName>
    <definedName name="FPi_np_Tran_Elec">[9]Footprint!$AE$71</definedName>
    <definedName name="FPi_np_Tran_Fuel" localSheetId="2">[13]Footprint!$AE$70</definedName>
    <definedName name="FPi_np_Tran_Fuel">[9]Footprint!$AE$70</definedName>
    <definedName name="FPi_np_Tran_L" localSheetId="2">[13]Footprint!$AE$72</definedName>
    <definedName name="FPi_np_Tran_L">[9]Footprint!$AE$72</definedName>
    <definedName name="FPi_OG_B_Elec" localSheetId="2">[13]Footprint!$C$53</definedName>
    <definedName name="FPi_OG_B_Elec">[9]Footprint!$C$53</definedName>
    <definedName name="FPi_OG_B_Fuel" localSheetId="2">[13]Footprint!$C$52</definedName>
    <definedName name="FPi_OG_B_Fuel">[9]Footprint!$C$52</definedName>
    <definedName name="FPi_OG_B_Steam" localSheetId="2">[13]Footprint!$C$54</definedName>
    <definedName name="FPi_OG_B_Steam">[9]Footprint!$C$54</definedName>
    <definedName name="FPi_OG_C_Elec">[13]Footprint!$C$61</definedName>
    <definedName name="FPi_OG_C_Fuel" localSheetId="2">[13]Footprint!$C$60</definedName>
    <definedName name="FPi_OG_C_Fuel">[9]Footprint!$C$60</definedName>
    <definedName name="FPi_OG_C_Steam" localSheetId="2">[13]Footprint!$C$62</definedName>
    <definedName name="FPi_OG_C_Steam">[9]Footprint!$C$62</definedName>
    <definedName name="FPi_OG_E_Elec" localSheetId="2">[13]Footprint!$C$69</definedName>
    <definedName name="FPi_OG_E_Elec">[9]Footprint!$C$69</definedName>
    <definedName name="FPi_OG_E_Fuel" localSheetId="2">[13]Footprint!$C$68</definedName>
    <definedName name="FPi_OG_E_Fuel">[9]Footprint!$C$68</definedName>
    <definedName name="FPi_OG_Oemis" localSheetId="2">[13]Footprint!$H$74</definedName>
    <definedName name="FPi_OG_Oemis">[9]Footprint!$H$74</definedName>
    <definedName name="FPi_P_Oemis" localSheetId="2">[13]Footprint!$AJ$82</definedName>
    <definedName name="FPi_P_Oemis">[9]Footprint!$AJ$82</definedName>
    <definedName name="FPi_PC_Elec" localSheetId="2">[13]Footprint!$T$59</definedName>
    <definedName name="FPi_PC_Elec">[9]Footprint!$T$59</definedName>
    <definedName name="FPi_PC_Fuel" localSheetId="2">[13]Footprint!$T$58</definedName>
    <definedName name="FPi_PC_Fuel">[9]Footprint!$T$58</definedName>
    <definedName name="FPi_PC_Losses" localSheetId="2">[13]Footprint!$T$61</definedName>
    <definedName name="FPi_PC_Losses">[9]Footprint!$T$61</definedName>
    <definedName name="FPi_PC_Steam" localSheetId="2">[13]Footprint!$T$60</definedName>
    <definedName name="FPi_PC_Steam">[9]Footprint!$T$60</definedName>
    <definedName name="FPi_PH_Elec" localSheetId="2">[13]Footprint!$T$52</definedName>
    <definedName name="FPi_PH_Elec">[9]Footprint!$T$52</definedName>
    <definedName name="FPi_PH_Fuel" localSheetId="2">[13]Footprint!$T$51</definedName>
    <definedName name="FPi_PH_Fuel">[9]Footprint!$T$51</definedName>
    <definedName name="FPi_PH_Losses" localSheetId="2">[13]Footprint!$T$54</definedName>
    <definedName name="FPi_PH_Losses">[9]Footprint!$T$54</definedName>
    <definedName name="FPi_PH_Steam" localSheetId="2">[13]Footprint!$T$53</definedName>
    <definedName name="FPi_PH_Steam">[9]Footprint!$T$53</definedName>
    <definedName name="FPi_PO_Elec" localSheetId="2">[13]Footprint!$T$66</definedName>
    <definedName name="FPi_PO_Elec">[9]Footprint!$T$66</definedName>
    <definedName name="FPi_PO_Fuel" localSheetId="2">[13]Footprint!$T$65</definedName>
    <definedName name="FPi_PO_Fuel">[9]Footprint!$T$65</definedName>
    <definedName name="FPi_PO_Losses" localSheetId="2">[13]Footprint!$T$68</definedName>
    <definedName name="FPi_PO_Losses">[9]Footprint!$T$68</definedName>
    <definedName name="FPi_PO_Steam" localSheetId="2">[13]Footprint!$T$67</definedName>
    <definedName name="FPi_PO_Steam">[9]Footprint!$T$67</definedName>
    <definedName name="FPi_Sloss">[13]Footprint!$O$84</definedName>
    <definedName name="fuel_types">#REF!</definedName>
    <definedName name="GROWTH" localSheetId="21">'[3]TechRep-Doc'!#REF!</definedName>
    <definedName name="GROWTH">'[3]TechRep-Doc'!#REF!</definedName>
    <definedName name="GROWTH_TID" localSheetId="21">'[3]TechRep-Doc'!#REF!</definedName>
    <definedName name="GROWTH_TID">'[3]TechRep-Doc'!#REF!</definedName>
    <definedName name="Hist_data_eff">'[14]Historical data'!#REF!</definedName>
    <definedName name="Hist_data_fuels" localSheetId="2">'[13]Historical data'!$B$111:$B$159</definedName>
    <definedName name="Hist_data_fuels">'[14]Historical data'!#REF!</definedName>
    <definedName name="Hist_data_intens" localSheetId="2">'[13]Historical data'!$E$111:$S$159</definedName>
    <definedName name="Hist_data_intens">'[14]Historical data'!#REF!</definedName>
    <definedName name="Hist_data_procs" localSheetId="2">'[13]Historical data'!$E$110:$S$110</definedName>
    <definedName name="Hist_data_procs">'[14]Historical data'!#REF!</definedName>
    <definedName name="Hist_data_techs" localSheetId="2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2">[13]Data!$J$33:$AC$782</definedName>
    <definedName name="IntensityTable_ex">[9]Data!$J$33:$AC$782</definedName>
    <definedName name="IntensityTable_nw" localSheetId="2">[13]Data!$J$798:$AC$1397</definedName>
    <definedName name="IntensityTable_nw">[9]Data!$J$798:$AC$1397</definedName>
    <definedName name="Interv_nw_FuelIDs" localSheetId="2">[13]Interventions!$AR$18:$AR$557</definedName>
    <definedName name="Interv_nw_FuelIDs">[9]Interventions!$AR$18:$AR$557</definedName>
    <definedName name="Interv_nw_ProcIDs" localSheetId="2">[13]Interventions!$AQ$18:$AQ$557</definedName>
    <definedName name="Interv_nw_ProcIDs">[9]Interventions!$AQ$18:$AQ$557</definedName>
    <definedName name="Interv_nw_TechIDs" localSheetId="2">[13]Interventions!$AP$18:$AP$557</definedName>
    <definedName name="Interv_nw_TechIDs">[9]Interventions!$AP$18:$AP$557</definedName>
    <definedName name="Interventions_ex" localSheetId="2">[13]Interventions!$K$18:$AD$467</definedName>
    <definedName name="Interventions_ex">[9]Interventions!$K$18:$AD$467</definedName>
    <definedName name="Interventions_nw" localSheetId="2">[13]Interventions!$AZ$18:$BS$557</definedName>
    <definedName name="Interventions_nw">[9]Interventions!$AZ$18:$BS$557</definedName>
    <definedName name="INVCOST" localSheetId="21">'[3]TechRep-Doc'!#REF!</definedName>
    <definedName name="INVCOST">'[3]TechRep-Doc'!#REF!</definedName>
    <definedName name="IS_EE_switch">[2]IND!#REF!</definedName>
    <definedName name="LIFE" localSheetId="21">'[3]TechRep-Doc'!#REF!</definedName>
    <definedName name="LIFE">'[3]TechRep-Doc'!#REF!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21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2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4">#REF!</definedName>
    <definedName name="SASApp_GDPDATA_DISCREPANCY_TABLE" localSheetId="21">#REF!</definedName>
    <definedName name="SASApp_GDPDATA_DISCREPANCY_TABLE" localSheetId="22">#REF!</definedName>
    <definedName name="SASApp_GDPDATA_DISCREPANCY_TABLE" localSheetId="20">#REF!</definedName>
    <definedName name="SASApp_GDPDATA_DISCREPANCY_TABLE">#REF!</definedName>
    <definedName name="SASApp_GDPDATA_SUPPLY_TABLE_FIRST" localSheetId="24">#REF!</definedName>
    <definedName name="SASApp_GDPDATA_SUPPLY_TABLE_FIRST" localSheetId="21">#REF!</definedName>
    <definedName name="SASApp_GDPDATA_SUPPLY_TABLE_FIRST" localSheetId="22">#REF!</definedName>
    <definedName name="SASApp_GDPDATA_SUPPLY_TABLE_FIRST" localSheetId="20">#REF!</definedName>
    <definedName name="SASApp_GDPDATA_SUPPLY_TABLE_FIRST">#REF!</definedName>
    <definedName name="SASApp_GDPDATA_SUPPLY_TABLE_SECOND" localSheetId="24">#REF!</definedName>
    <definedName name="SASApp_GDPDATA_SUPPLY_TABLE_SECOND" localSheetId="21">#REF!</definedName>
    <definedName name="SASApp_GDPDATA_SUPPLY_TABLE_SECOND" localSheetId="22">#REF!</definedName>
    <definedName name="SASApp_GDPDATA_SUPPLY_TABLE_SECOND" localSheetId="20">#REF!</definedName>
    <definedName name="SASApp_GDPDATA_SUPPLY_TABLE_SECOND">#REF!</definedName>
    <definedName name="SASApp_GDPDATA_USE_TABLE_FIRST" localSheetId="24">#REF!</definedName>
    <definedName name="SASApp_GDPDATA_USE_TABLE_FIRST" localSheetId="21">#REF!</definedName>
    <definedName name="SASApp_GDPDATA_USE_TABLE_FIRST" localSheetId="22">#REF!</definedName>
    <definedName name="SASApp_GDPDATA_USE_TABLE_FIRST" localSheetId="20">#REF!</definedName>
    <definedName name="SASApp_GDPDATA_USE_TABLE_FIRST">#REF!</definedName>
    <definedName name="SASApp_GDPDATA_USE_TABLE_SECOND" localSheetId="24">#REF!</definedName>
    <definedName name="SASApp_GDPDATA_USE_TABLE_SECOND" localSheetId="21">#REF!</definedName>
    <definedName name="SASApp_GDPDATA_USE_TABLE_SECOND" localSheetId="22">#REF!</definedName>
    <definedName name="SASApp_GDPDATA_USE_TABLE_SECOND" localSheetId="20">#REF!</definedName>
    <definedName name="SASApp_GDPDATA_USE_TABLE_SECOND">#REF!</definedName>
    <definedName name="SETS" localSheetId="21">'[3]TechRep-Doc'!#REF!</definedName>
    <definedName name="SETS">'[3]TechRep-Doc'!#REF!</definedName>
    <definedName name="TRTGAB005" localSheetId="21">'[3]TechRep-Doc'!#REF!</definedName>
    <definedName name="TRTGAB005">'[3]TechRep-Doc'!#REF!</definedName>
    <definedName name="TRTGAC005" localSheetId="21">'[3]TechRep-Doc'!#REF!</definedName>
    <definedName name="TRTGAC005">'[3]TechRep-Doc'!#REF!</definedName>
    <definedName name="Trucks_15" localSheetId="21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4">'[5]Unit conversion'!$E$7</definedName>
    <definedName name="Unit.GJ" localSheetId="21">'[6]Unit conversion'!$E$7</definedName>
    <definedName name="Unit.GJ" localSheetId="20">'[7]Unit conversion'!$E$7</definedName>
    <definedName name="Unit.GJ">'[8]Unit conversion'!$E$7</definedName>
    <definedName name="Unit.GWh" localSheetId="24">'[5]Unit conversion'!$E$13</definedName>
    <definedName name="Unit.GWh" localSheetId="21">'[6]Unit conversion'!$E$13</definedName>
    <definedName name="Unit.GWh" localSheetId="20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4">'[5]Unit conversion'!$E$22</definedName>
    <definedName name="Unit.kgce" localSheetId="21">'[6]Unit conversion'!$E$22</definedName>
    <definedName name="Unit.kgce" localSheetId="20">'[7]Unit conversion'!$E$22</definedName>
    <definedName name="Unit.kgce">'[8]Unit conversion'!$E$22</definedName>
    <definedName name="Unit.minute">'[4]Unit conversion'!$F$45</definedName>
    <definedName name="Unit.TJ" localSheetId="24">'[5]Unit conversion'!$E$6</definedName>
    <definedName name="Unit.TJ" localSheetId="21">'[6]Unit conversion'!$E$6</definedName>
    <definedName name="Unit.TJ" localSheetId="20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3" i="46" l="1"/>
  <c r="C37" i="13" s="1"/>
  <c r="I37" i="13" s="1"/>
  <c r="M63" i="5"/>
  <c r="P57" i="5"/>
  <c r="P58" i="5"/>
  <c r="O59" i="5"/>
  <c r="O58" i="5"/>
  <c r="L63" i="5"/>
  <c r="L61" i="5"/>
  <c r="L60" i="5"/>
  <c r="C38" i="13"/>
  <c r="C40" i="13"/>
  <c r="I40" i="13" s="1"/>
  <c r="I38" i="13"/>
  <c r="I39" i="13"/>
  <c r="I36" i="13"/>
  <c r="C95" i="1"/>
  <c r="F39" i="46"/>
  <c r="F41" i="46" s="1"/>
  <c r="F35" i="46"/>
  <c r="M32" i="46"/>
  <c r="M31" i="46"/>
  <c r="M30" i="46"/>
  <c r="C36" i="13"/>
  <c r="C91" i="1"/>
  <c r="F38" i="46"/>
  <c r="F37" i="46"/>
  <c r="F34" i="46"/>
  <c r="F33" i="46"/>
  <c r="F32" i="46"/>
  <c r="F31" i="46"/>
  <c r="F30" i="46"/>
  <c r="I41" i="13" l="1"/>
  <c r="B4" i="43" a="1"/>
  <c r="B4" i="43" s="1"/>
  <c r="B9" i="29"/>
  <c r="H11" i="2" l="1"/>
  <c r="Z29" i="42" l="1"/>
  <c r="AA29" i="42"/>
  <c r="Z30" i="42"/>
  <c r="AA30" i="42"/>
  <c r="Z31" i="42"/>
  <c r="AA31" i="42"/>
  <c r="Z32" i="42"/>
  <c r="AA32" i="42"/>
  <c r="Z33" i="42"/>
  <c r="AA33" i="42"/>
  <c r="Z34" i="42"/>
  <c r="AA34" i="42"/>
  <c r="Z35" i="42"/>
  <c r="AA35" i="42"/>
  <c r="Z36" i="42"/>
  <c r="AA36" i="42"/>
  <c r="Z37" i="42"/>
  <c r="AA37" i="42"/>
  <c r="Z38" i="42"/>
  <c r="AA38" i="42"/>
  <c r="Z39" i="42"/>
  <c r="AA39" i="42"/>
  <c r="Z40" i="42"/>
  <c r="AA40" i="42"/>
  <c r="Z41" i="42"/>
  <c r="AA41" i="42"/>
  <c r="Z42" i="42"/>
  <c r="AA42" i="42"/>
  <c r="Z43" i="42"/>
  <c r="AA43" i="42"/>
  <c r="Z44" i="42"/>
  <c r="AA44" i="42"/>
  <c r="Z45" i="42"/>
  <c r="AA45" i="42"/>
  <c r="Z46" i="42"/>
  <c r="AA46" i="42"/>
  <c r="Z47" i="42"/>
  <c r="AA47" i="42"/>
  <c r="Z24" i="42"/>
  <c r="AA24" i="42"/>
  <c r="Z25" i="42"/>
  <c r="AA25" i="42"/>
  <c r="Z26" i="42"/>
  <c r="AA26" i="42"/>
  <c r="Z27" i="42"/>
  <c r="AA27" i="42"/>
  <c r="Z28" i="42"/>
  <c r="AA28" i="42"/>
  <c r="AA23" i="42"/>
  <c r="Z23" i="42"/>
  <c r="Z19" i="42"/>
  <c r="Z18" i="42"/>
  <c r="Z17" i="42"/>
  <c r="Z16" i="42"/>
  <c r="Z15" i="42"/>
  <c r="Z14" i="42"/>
  <c r="Z13" i="42"/>
  <c r="Z12" i="42"/>
  <c r="Z11" i="42"/>
  <c r="J100" i="10"/>
  <c r="J99" i="10"/>
  <c r="R113" i="10"/>
  <c r="R112" i="10"/>
  <c r="G74" i="10"/>
  <c r="G73" i="10"/>
  <c r="R111" i="10"/>
  <c r="J120" i="10"/>
  <c r="H113" i="10"/>
  <c r="I113" i="10"/>
  <c r="K113" i="10"/>
  <c r="H114" i="10"/>
  <c r="I114" i="10"/>
  <c r="K114" i="10"/>
  <c r="J110" i="10"/>
  <c r="F101" i="10"/>
  <c r="E99" i="10"/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S113" i="40"/>
  <c r="D151" i="35" l="1"/>
  <c r="E150" i="35"/>
  <c r="D150" i="35"/>
  <c r="AA241" i="35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O47" i="40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O50" i="40"/>
  <c r="I24" i="43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AL18" i="42"/>
  <c r="P24" i="40" s="1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 s="1"/>
  <c r="R34" i="42" s="1"/>
  <c r="O62" i="40" s="1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AC28" i="42"/>
  <c r="AD28" i="42"/>
  <c r="L29" i="42"/>
  <c r="M29" i="42"/>
  <c r="O29" i="42" s="1"/>
  <c r="J57" i="40" s="1"/>
  <c r="R29" i="42" a="1"/>
  <c r="R29" i="42" s="1"/>
  <c r="AC29" i="42"/>
  <c r="AD29" i="42"/>
  <c r="L30" i="42"/>
  <c r="O30" i="42" s="1"/>
  <c r="J58" i="40" s="1"/>
  <c r="M30" i="42"/>
  <c r="AC30" i="42"/>
  <c r="R30" i="42" s="1" a="1"/>
  <c r="R30" i="42" s="1"/>
  <c r="AD30" i="42"/>
  <c r="M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N33" i="42"/>
  <c r="AC33" i="42"/>
  <c r="AD33" i="42"/>
  <c r="M34" i="42"/>
  <c r="O34" i="42"/>
  <c r="AC34" i="42"/>
  <c r="AD34" i="42"/>
  <c r="M35" i="42"/>
  <c r="O35" i="42" s="1"/>
  <c r="J63" i="40" s="1"/>
  <c r="AC35" i="42"/>
  <c r="AD35" i="42"/>
  <c r="M36" i="42"/>
  <c r="O36" i="42" s="1"/>
  <c r="J64" i="40" s="1"/>
  <c r="AC36" i="42"/>
  <c r="AD36" i="42"/>
  <c r="M37" i="42"/>
  <c r="O37" i="42"/>
  <c r="AC37" i="42"/>
  <c r="AD37" i="42"/>
  <c r="M38" i="42"/>
  <c r="O38" i="42"/>
  <c r="AC38" i="42"/>
  <c r="AD38" i="42"/>
  <c r="R46" i="42" s="1" a="1"/>
  <c r="R46" i="42" s="1"/>
  <c r="O74" i="40" s="1"/>
  <c r="M39" i="42"/>
  <c r="O39" i="42" s="1"/>
  <c r="J67" i="40" s="1"/>
  <c r="AC39" i="42"/>
  <c r="AD39" i="42"/>
  <c r="M40" i="42"/>
  <c r="O40" i="42" s="1"/>
  <c r="J68" i="40" s="1"/>
  <c r="AC40" i="42"/>
  <c r="AD40" i="42"/>
  <c r="M41" i="42"/>
  <c r="O41" i="42"/>
  <c r="R41" i="42"/>
  <c r="AC41" i="42"/>
  <c r="AD41" i="42"/>
  <c r="M42" i="42"/>
  <c r="O42" i="42"/>
  <c r="R42" i="42"/>
  <c r="AC42" i="42"/>
  <c r="AD42" i="42"/>
  <c r="M43" i="42"/>
  <c r="AC43" i="42"/>
  <c r="AD43" i="42"/>
  <c r="M44" i="42"/>
  <c r="R44" i="42" a="1"/>
  <c r="R44" i="42" s="1"/>
  <c r="O72" i="40" s="1"/>
  <c r="AC44" i="42"/>
  <c r="AD44" i="42"/>
  <c r="M45" i="42"/>
  <c r="AC45" i="42"/>
  <c r="AD45" i="42"/>
  <c r="M46" i="42"/>
  <c r="AC46" i="42"/>
  <c r="AD46" i="42"/>
  <c r="M47" i="42"/>
  <c r="N47" i="42"/>
  <c r="O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O42" i="40"/>
  <c r="J44" i="40"/>
  <c r="O44" i="40"/>
  <c r="I22" i="43" s="1"/>
  <c r="J47" i="40"/>
  <c r="J50" i="40"/>
  <c r="J51" i="40"/>
  <c r="O51" i="40"/>
  <c r="I25" i="43" s="1"/>
  <c r="O52" i="40"/>
  <c r="I19" i="43" s="1"/>
  <c r="O60" i="40"/>
  <c r="O61" i="40"/>
  <c r="J62" i="40"/>
  <c r="J65" i="40"/>
  <c r="J66" i="40"/>
  <c r="J69" i="40"/>
  <c r="O69" i="40"/>
  <c r="J70" i="40"/>
  <c r="O70" i="40"/>
  <c r="J75" i="40"/>
  <c r="J76" i="40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R38" i="42" l="1"/>
  <c r="O66" i="40" s="1"/>
  <c r="O57" i="40"/>
  <c r="O48" i="40"/>
  <c r="I23" i="43"/>
  <c r="M23" i="43" s="1"/>
  <c r="AB47" i="40" s="1"/>
  <c r="O43" i="40"/>
  <c r="I16" i="43" s="1"/>
  <c r="I21" i="43"/>
  <c r="N40" i="43"/>
  <c r="O40" i="43" s="1"/>
  <c r="P40" i="43" s="1"/>
  <c r="M22" i="43"/>
  <c r="AB44" i="40" s="1"/>
  <c r="M24" i="43"/>
  <c r="AB50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M18" i="43" s="1"/>
  <c r="I17" i="43"/>
  <c r="M17" i="43" s="1"/>
  <c r="R72" i="42" a="1"/>
  <c r="R72" i="42" s="1"/>
  <c r="R79" i="42" s="1"/>
  <c r="O107" i="40" s="1"/>
  <c r="N42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R62" i="42"/>
  <c r="O90" i="40" s="1"/>
  <c r="K252" i="40"/>
  <c r="L252" i="40" s="1"/>
  <c r="R77" i="42"/>
  <c r="O105" i="40" s="1"/>
  <c r="O98" i="40"/>
  <c r="R80" i="42"/>
  <c r="O108" i="40" s="1"/>
  <c r="O101" i="40"/>
  <c r="O55" i="40"/>
  <c r="R36" i="42"/>
  <c r="O64" i="40" s="1"/>
  <c r="R55" i="42"/>
  <c r="O83" i="40" s="1"/>
  <c r="O76" i="40"/>
  <c r="J112" i="40"/>
  <c r="R39" i="42"/>
  <c r="O67" i="40" s="1"/>
  <c r="O58" i="40"/>
  <c r="U13" i="42"/>
  <c r="J117" i="40" s="1"/>
  <c r="V13" i="42"/>
  <c r="R35" i="42"/>
  <c r="O63" i="40" s="1"/>
  <c r="O54" i="40"/>
  <c r="L26" i="42"/>
  <c r="O26" i="42" s="1"/>
  <c r="J54" i="40" s="1"/>
  <c r="O25" i="42"/>
  <c r="J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56" i="13"/>
  <c r="H156" i="13" s="1"/>
  <c r="S154" i="13"/>
  <c r="D157" i="13" s="1"/>
  <c r="H157" i="13" s="1"/>
  <c r="T154" i="13"/>
  <c r="D154" i="13" s="1"/>
  <c r="H154" i="13" s="1"/>
  <c r="U154" i="13"/>
  <c r="V154" i="13"/>
  <c r="W154" i="13"/>
  <c r="D155" i="13" s="1"/>
  <c r="H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F157" i="13" s="1"/>
  <c r="K157" i="13" s="1"/>
  <c r="T156" i="13"/>
  <c r="F154" i="13" s="1"/>
  <c r="K154" i="13" s="1"/>
  <c r="U156" i="13"/>
  <c r="V156" i="13"/>
  <c r="F156" i="13" s="1"/>
  <c r="K156" i="13" s="1"/>
  <c r="W156" i="13"/>
  <c r="F155" i="13" s="1"/>
  <c r="K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O100" i="40" l="1"/>
  <c r="O80" i="40"/>
  <c r="N254" i="40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AH260" i="40" l="1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8" i="29"/>
  <c r="AB49" i="31" s="1"/>
  <c r="S8" i="29"/>
  <c r="AN49" i="31" s="1"/>
  <c r="J9" i="29"/>
  <c r="Q6" i="29" s="1"/>
  <c r="Q9" i="29" s="1"/>
  <c r="R38" i="31" s="1"/>
  <c r="K9" i="29"/>
  <c r="R6" i="29" s="1"/>
  <c r="R9" i="29" s="1"/>
  <c r="AB38" i="31" s="1"/>
  <c r="L9" i="29"/>
  <c r="S6" i="29" s="1"/>
  <c r="S9" i="29" s="1"/>
  <c r="AN38" i="31" s="1"/>
  <c r="J16" i="29"/>
  <c r="Q7" i="29" s="1"/>
  <c r="R7" i="31" s="1"/>
  <c r="K16" i="29"/>
  <c r="R7" i="29" s="1"/>
  <c r="AB7" i="31" s="1"/>
  <c r="L16" i="29"/>
  <c r="S7" i="29" s="1"/>
  <c r="AN7" i="31" s="1"/>
  <c r="J22" i="29"/>
  <c r="Q8" i="29" s="1"/>
  <c r="R49" i="31" s="1"/>
  <c r="K22" i="29"/>
  <c r="L22" i="29"/>
  <c r="AN30" i="31" l="1"/>
  <c r="AB30" i="31"/>
  <c r="R30" i="31"/>
  <c r="P119" i="34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G84" i="34" s="1"/>
  <c r="G85" i="34" s="1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F84" i="34" l="1"/>
  <c r="F85" i="34" s="1"/>
  <c r="C47" i="28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1" i="10"/>
  <c r="J102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I74" i="13"/>
  <c r="D104" i="13" s="1"/>
  <c r="E104" i="13" s="1"/>
  <c r="K120" i="10"/>
  <c r="J74" i="13" s="1"/>
  <c r="E53" i="10"/>
  <c r="C39" i="13"/>
  <c r="C50" i="13" s="1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C55" i="1" s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J55" i="1" s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J113" i="10" s="1"/>
  <c r="J114" i="10" s="1"/>
  <c r="S109" i="10" s="1"/>
  <c r="U109" i="10" s="1"/>
  <c r="V109" i="10" s="1"/>
  <c r="E108" i="10"/>
  <c r="F108" i="10"/>
  <c r="F113" i="10" s="1"/>
  <c r="F114" i="10" s="1"/>
  <c r="S97" i="10" s="1"/>
  <c r="U97" i="10" s="1"/>
  <c r="V97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100" i="10" s="1"/>
  <c r="U100" i="10" s="1"/>
  <c r="V100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107" i="10" s="1"/>
  <c r="U107" i="10" s="1"/>
  <c r="V107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I48" i="40" l="1"/>
  <c r="I52" i="40"/>
  <c r="I43" i="40"/>
  <c r="M52" i="40"/>
  <c r="F65" i="43"/>
  <c r="M48" i="40"/>
  <c r="I49" i="40"/>
  <c r="M49" i="40"/>
  <c r="AB49" i="40"/>
  <c r="AB52" i="40"/>
  <c r="AB43" i="40"/>
  <c r="AB48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<sst xmlns="http://schemas.openxmlformats.org/spreadsheetml/2006/main" count="9410" uniqueCount="1595">
  <si>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</si>
  <si>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</si>
  <si>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</si>
  <si>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</si>
  <si>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</si>
  <si>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</si>
  <si>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</si>
  <si>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</si>
  <si>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</si>
  <si>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</si>
  <si>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</si>
  <si>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</si>
  <si>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</si>
  <si>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</si>
  <si>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</si>
  <si>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</si>
  <si>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</si>
  <si>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</si>
  <si>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</si>
  <si>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</si>
  <si>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</si>
  <si>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</si>
  <si>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</si>
  <si>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</si>
  <si>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</si>
  <si>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</si>
  <si>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</si>
  <si>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</si>
  <si>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</si>
  <si>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</si>
  <si>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</si>
  <si>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</si>
  <si>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</si>
  <si>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</si>
  <si>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</si>
  <si>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</si>
  <si>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</si>
  <si>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</si>
  <si>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</si>
  <si>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</si>
  <si>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</si>
  <si>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</si>
  <si>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</si>
  <si>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</si>
  <si>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</si>
  <si>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</si>
  <si>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</si>
  <si>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</si>
  <si>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</si>
  <si>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</si>
  <si>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</si>
  <si>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</si>
  <si>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</si>
  <si>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</si>
  <si>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</si>
  <si>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</si>
  <si>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</si>
  <si>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</si>
  <si>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</si>
  <si>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</si>
  <si>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</si>
  <si>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</si>
  <si>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</si>
  <si>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</si>
  <si>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</si>
  <si>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</si>
  <si>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</si>
  <si>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</si>
  <si>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</si>
  <si>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</si>
  <si>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</si>
  <si>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</si>
  <si>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</si>
  <si>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</si>
  <si>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</si>
  <si>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</si>
  <si>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</si>
  <si>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</si>
  <si>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</si>
  <si>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</si>
  <si>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</si>
  <si>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</si>
  <si>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</si>
  <si>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</si>
  <si>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</si>
  <si>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</si>
  <si>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</si>
  <si>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</si>
  <si>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</si>
  <si>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</si>
  <si>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</si>
  <si>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</si>
  <si>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</si>
  <si>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</si>
  <si>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</si>
  <si>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</si>
  <si>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</si>
  <si>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</si>
  <si>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</si>
  <si>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</si>
  <si>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</si>
  <si>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</si>
  <si>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</si>
  <si>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</si>
  <si>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</si>
  <si>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</si>
  <si>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</si>
  <si>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</si>
  <si>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</si>
  <si>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</si>
  <si>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</si>
  <si>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</si>
  <si>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</si>
  <si>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</si>
  <si>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</si>
  <si>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</si>
  <si>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</si>
  <si>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</si>
  <si>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</si>
  <si>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</si>
  <si>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</si>
  <si>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</si>
  <si>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</si>
  <si>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</si>
  <si>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</si>
  <si>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</si>
  <si>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</si>
  <si>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</si>
  <si>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</si>
  <si>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</si>
  <si>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</si>
  <si>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</si>
  <si>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</si>
  <si>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</si>
  <si>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</si>
  <si>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</si>
  <si>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</si>
  <si>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</si>
  <si>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</si>
  <si>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</si>
  <si>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</si>
  <si>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</si>
  <si>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</si>
  <si>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</si>
  <si>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</si>
  <si>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</si>
  <si>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</si>
  <si>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</si>
  <si>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</si>
  <si>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</si>
  <si>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</si>
  <si>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</si>
  <si>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</si>
  <si>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</si>
  <si>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</si>
  <si>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</si>
  <si>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</si>
  <si>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</si>
  <si>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</si>
  <si>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</si>
  <si>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</si>
  <si>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</si>
  <si>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</si>
  <si>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</si>
  <si>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</si>
  <si>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</si>
  <si>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</si>
  <si>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</si>
  <si>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</si>
  <si>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</si>
  <si>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</si>
  <si>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</si>
  <si>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</si>
  <si>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</si>
  <si>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</si>
  <si>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</si>
  <si>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</si>
  <si>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</si>
  <si>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</si>
  <si>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</si>
  <si>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</si>
  <si>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</si>
  <si>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</si>
  <si>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</si>
  <si>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</si>
  <si>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</si>
  <si>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</si>
  <si>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</si>
  <si>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</si>
  <si>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</si>
  <si>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</si>
  <si>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</si>
  <si>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</si>
  <si>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</si>
  <si>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</si>
  <si>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</si>
  <si>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</si>
  <si>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</si>
  <si>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</si>
  <si>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</si>
  <si>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</si>
  <si>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</si>
  <si>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</si>
  <si>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</si>
  <si>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</si>
  <si>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</si>
  <si>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</si>
  <si>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</si>
  <si>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</si>
  <si>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</si>
  <si>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</si>
  <si>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</si>
  <si>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</si>
  <si>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</si>
  <si>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</si>
  <si>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</si>
  <si>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</si>
  <si>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</si>
  <si>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</si>
  <si>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</si>
  <si>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</si>
  <si>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</si>
  <si>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</si>
  <si>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</si>
  <si>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</si>
  <si>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</si>
  <si>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</si>
  <si>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</si>
  <si>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</si>
  <si>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</si>
  <si>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</si>
  <si>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</si>
  <si>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</si>
  <si>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</si>
  <si>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</si>
  <si>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</si>
  <si>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</si>
  <si>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</si>
  <si>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</si>
  <si>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</si>
  <si>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</si>
  <si>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</si>
  <si>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</si>
  <si>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</si>
  <si>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</si>
  <si>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</si>
  <si>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</si>
  <si>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</si>
  <si>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</si>
  <si>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</si>
  <si>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</si>
  <si>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</si>
  <si>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</si>
  <si>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</si>
  <si>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</si>
  <si>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</si>
  <si>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</si>
  <si>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</si>
  <si>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</si>
  <si>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</si>
  <si>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</si>
  <si>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</si>
  <si>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</si>
  <si>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</si>
  <si>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</si>
  <si>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</si>
  <si>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</si>
  <si>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</si>
  <si>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</si>
  <si>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</si>
  <si>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</si>
  <si>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</si>
  <si>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</si>
  <si>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</si>
  <si>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</si>
  <si>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</si>
  <si>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</si>
  <si>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</si>
  <si>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</si>
  <si>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</si>
  <si>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</si>
  <si>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</si>
  <si>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</si>
  <si>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</si>
  <si>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</si>
  <si>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</si>
  <si>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</si>
  <si>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</si>
  <si>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</si>
  <si>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</si>
  <si>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</si>
  <si>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</si>
  <si>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</si>
  <si>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</si>
  <si>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</si>
  <si>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</si>
  <si>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</si>
  <si>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</si>
  <si>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</si>
  <si>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</si>
  <si>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</si>
  <si>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</si>
  <si>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</si>
  <si>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</si>
  <si>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</si>
  <si>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</si>
  <si>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</si>
  <si>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</si>
  <si>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</si>
  <si>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</si>
  <si>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</si>
  <si>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</si>
  <si>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</si>
  <si>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</si>
  <si>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</si>
  <si>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</si>
  <si>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</si>
  <si>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</si>
  <si>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</si>
  <si>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</si>
  <si>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</si>
  <si>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</si>
  <si>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</si>
  <si>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</si>
  <si>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</si>
  <si>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</si>
  <si>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</si>
  <si>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</si>
  <si>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</si>
  <si>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</si>
  <si>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</si>
  <si>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</si>
  <si>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</si>
  <si>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</si>
  <si>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</si>
  <si>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</si>
  <si>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</si>
  <si>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</si>
  <si>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</si>
  <si>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</si>
  <si>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</si>
  <si>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</si>
  <si>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</si>
  <si>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</si>
  <si>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</si>
  <si>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</si>
  <si>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</si>
  <si>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</si>
  <si>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</si>
  <si>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</si>
  <si>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</si>
  <si>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</si>
  <si>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</si>
  <si>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</si>
  <si>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</si>
  <si>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</si>
  <si>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</si>
  <si>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</si>
  <si>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</si>
  <si>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</si>
  <si>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</si>
  <si>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</si>
  <si>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</si>
  <si>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</si>
  <si>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</si>
  <si>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</si>
  <si>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</si>
  <si>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</si>
  <si>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</si>
  <si>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</si>
  <si>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</si>
  <si>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</si>
  <si>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</si>
  <si>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</si>
  <si>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</si>
  <si>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</si>
  <si>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</si>
  <si>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</si>
  <si>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</si>
  <si>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</si>
  <si>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</si>
  <si>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</si>
  <si>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</si>
  <si>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</si>
  <si>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</si>
  <si>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</si>
  <si>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</si>
  <si>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</si>
  <si>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</si>
  <si>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</si>
  <si>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</si>
  <si>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</si>
  <si>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</si>
  <si>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</si>
  <si>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</si>
  <si>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</si>
  <si>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</si>
  <si>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</si>
  <si>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</si>
  <si>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</si>
  <si>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</si>
  <si>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</si>
  <si>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</si>
  <si>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</si>
  <si>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</si>
  <si>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</si>
  <si>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</si>
  <si>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</si>
  <si>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</si>
  <si>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</si>
  <si>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</si>
  <si>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</si>
  <si>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</si>
  <si>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</si>
  <si>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</si>
  <si>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</si>
  <si>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</si>
  <si>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</si>
  <si>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</si>
  <si>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</si>
  <si>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</si>
  <si>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</si>
  <si>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</si>
  <si>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</si>
  <si>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</si>
  <si>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</si>
  <si>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</si>
  <si>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</si>
  <si>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</si>
  <si>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</si>
  <si>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</si>
  <si>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</si>
  <si>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</si>
  <si>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</si>
  <si>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</si>
  <si>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</si>
  <si>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</si>
  <si>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</si>
  <si>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</si>
  <si>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</si>
  <si>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</si>
  <si>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</si>
  <si>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</si>
  <si>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</si>
  <si>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</si>
  <si>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</si>
  <si>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</si>
  <si>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</si>
  <si>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</si>
  <si>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</si>
  <si>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</si>
  <si>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</si>
  <si>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</si>
  <si>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</si>
  <si>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</si>
  <si>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</si>
  <si>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</si>
  <si>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</si>
  <si>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</si>
  <si>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</si>
  <si>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</si>
  <si>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</si>
  <si>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</si>
  <si>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</si>
  <si>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</si>
  <si>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</si>
  <si>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</si>
  <si>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</si>
  <si>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</si>
  <si>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</si>
  <si>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</si>
  <si>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</si>
  <si>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</si>
  <si>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</si>
  <si>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</si>
  <si>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</si>
  <si>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</si>
  <si>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</si>
  <si>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</si>
  <si>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</si>
  <si>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</si>
  <si>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</si>
  <si>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</si>
  <si>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</si>
  <si>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</si>
  <si>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</si>
  <si>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</si>
  <si>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</si>
  <si>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</si>
  <si>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</si>
  <si>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</si>
  <si>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</si>
  <si>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</si>
  <si>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</si>
  <si>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</si>
  <si>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</si>
  <si>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</si>
  <si>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</si>
  <si>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</si>
  <si>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</si>
  <si>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</si>
  <si>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</si>
  <si>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</si>
  <si>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</si>
  <si>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</si>
  <si>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</si>
  <si>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</si>
  <si>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</si>
  <si>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</si>
  <si>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</si>
  <si>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</si>
  <si>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</si>
  <si>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</si>
  <si>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</si>
  <si>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</si>
  <si>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</si>
  <si>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</si>
  <si>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</si>
  <si>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</si>
  <si>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</si>
  <si>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</si>
  <si>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</si>
  <si>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</si>
  <si>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</si>
  <si>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</si>
  <si>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</si>
  <si>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</si>
  <si>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</si>
  <si>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</si>
  <si>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</si>
  <si>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</si>
  <si>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</si>
  <si>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</si>
  <si>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</si>
  <si>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</si>
  <si>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</si>
  <si>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</si>
  <si>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</si>
  <si>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</si>
  <si>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</si>
  <si>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</si>
  <si>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</si>
  <si>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</si>
  <si>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</si>
  <si>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</si>
  <si>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</si>
  <si>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</si>
  <si>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</si>
  <si>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</si>
  <si>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</si>
  <si>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</si>
  <si>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</si>
  <si>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</si>
  <si>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</si>
  <si>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</si>
  <si>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</si>
  <si>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</si>
  <si>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</si>
  <si>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</si>
  <si>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</si>
  <si>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</si>
  <si>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</si>
  <si>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</si>
  <si>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</si>
  <si>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</si>
  <si>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</si>
  <si>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</si>
  <si>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</si>
  <si>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</si>
  <si>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</si>
  <si>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</si>
  <si>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</si>
  <si>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</si>
  <si>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</si>
  <si>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</si>
  <si>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</si>
  <si>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</si>
  <si>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</si>
  <si>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</si>
  <si>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</si>
  <si>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</si>
  <si>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</si>
  <si>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</si>
  <si>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</si>
  <si>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</si>
  <si>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</si>
  <si>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</si>
  <si>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</si>
  <si>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</si>
  <si>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</si>
  <si>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</si>
  <si>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</si>
  <si>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</si>
  <si>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</si>
  <si>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</si>
  <si>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</si>
  <si>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</si>
  <si>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</si>
  <si>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</si>
  <si>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</si>
  <si>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</si>
  <si>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</si>
  <si>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</si>
  <si>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</si>
  <si>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</si>
  <si>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</si>
  <si>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</si>
  <si>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</si>
  <si>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</si>
  <si>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</si>
  <si>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</si>
  <si>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</si>
  <si>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</si>
  <si>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</si>
  <si>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</si>
  <si>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</si>
  <si>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</si>
  <si>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</si>
  <si>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</si>
  <si>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</si>
  <si>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</si>
  <si>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</si>
  <si>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</si>
  <si>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</si>
  <si>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</si>
  <si>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</si>
  <si>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</si>
  <si>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</si>
  <si>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</si>
  <si>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</si>
  <si>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</si>
  <si>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</si>
  <si>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</si>
  <si>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</si>
  <si>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</si>
  <si>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</si>
  <si>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</si>
  <si>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</si>
  <si>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</si>
  <si>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</si>
  <si>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</si>
  <si>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</si>
  <si>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</si>
  <si>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</si>
  <si>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</si>
  <si>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</si>
  <si>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</si>
  <si>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</si>
  <si>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</si>
  <si>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</si>
  <si>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</si>
  <si>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</si>
  <si>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</si>
  <si>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</si>
  <si>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</si>
  <si>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</si>
  <si>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</si>
  <si>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</si>
  <si>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</si>
  <si>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</si>
  <si>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</si>
  <si>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</si>
  <si>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</si>
  <si>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</si>
  <si>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</si>
  <si>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</si>
  <si>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</si>
  <si>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</si>
  <si>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</si>
  <si>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</si>
  <si>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</si>
  <si>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</si>
  <si>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</si>
  <si>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</si>
  <si>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</si>
  <si>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</si>
  <si>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</si>
  <si>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</si>
  <si>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</si>
  <si>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</si>
  <si>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</si>
  <si>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</si>
  <si>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</si>
  <si>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</si>
  <si>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</si>
  <si>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</si>
  <si>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</si>
  <si>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</si>
  <si>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</si>
  <si>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</si>
  <si>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</si>
  <si>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</si>
  <si>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</si>
  <si>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</si>
  <si>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</si>
  <si>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</si>
  <si>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</si>
  <si>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</si>
  <si>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</si>
  <si>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</si>
  <si>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</si>
  <si>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</si>
  <si>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</si>
  <si>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</si>
  <si>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</si>
  <si>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</si>
  <si>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</si>
  <si>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</si>
  <si>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</si>
  <si>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</si>
  <si>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</si>
  <si>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</si>
  <si>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</si>
  <si>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</si>
  <si>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</si>
  <si>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</si>
  <si>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</si>
  <si>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</si>
  <si>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</si>
  <si>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</si>
  <si>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</si>
  <si>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</si>
  <si>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</si>
  <si>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</si>
  <si>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</si>
  <si>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</si>
  <si>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</si>
  <si>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</si>
  <si>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</si>
  <si>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</si>
  <si>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</si>
  <si>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</si>
  <si>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</si>
  <si>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</si>
  <si>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</si>
  <si>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</si>
  <si>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</si>
  <si>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</si>
  <si>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</si>
  <si>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</si>
  <si>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</si>
  <si>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</si>
  <si>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</si>
  <si>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</si>
  <si>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</si>
  <si>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</si>
  <si>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</si>
  <si>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</si>
  <si>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</si>
  <si>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</si>
  <si>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</si>
  <si>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</si>
  <si>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</si>
  <si>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</si>
  <si>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</si>
  <si>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</si>
  <si>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</si>
  <si>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</si>
  <si>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</si>
  <si>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</si>
  <si>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</si>
  <si>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</si>
  <si>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</si>
  <si>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</si>
  <si>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</si>
  <si>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</si>
  <si>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</si>
  <si>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</si>
  <si>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</si>
  <si>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</si>
  <si>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</si>
  <si>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</si>
  <si>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</si>
  <si>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</si>
  <si>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</si>
  <si>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</si>
  <si>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</si>
  <si>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</si>
  <si>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</si>
  <si>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</si>
  <si>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</si>
  <si>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</si>
  <si>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</si>
  <si>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</si>
  <si>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</si>
  <si>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</si>
  <si>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</si>
  <si>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</si>
  <si>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</si>
  <si>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</si>
  <si>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</si>
  <si>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</si>
  <si>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</si>
  <si>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</si>
  <si>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</si>
  <si>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</si>
  <si>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</si>
  <si>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</si>
  <si>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</si>
  <si>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</si>
  <si>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</si>
  <si>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</si>
  <si>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</si>
  <si>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</si>
  <si>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</si>
  <si>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</si>
  <si>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</si>
  <si>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</si>
  <si>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</si>
  <si>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</si>
  <si>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</si>
  <si>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</si>
  <si>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</si>
  <si>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</si>
  <si>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</si>
  <si>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</si>
  <si>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</si>
  <si>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</si>
  <si>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</si>
  <si>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</si>
  <si>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</si>
  <si>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</si>
  <si>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</si>
  <si>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</si>
  <si>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</si>
  <si>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</si>
  <si>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</si>
  <si>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</si>
  <si>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</si>
  <si>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</si>
  <si>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</si>
  <si>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</si>
  <si>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</si>
  <si>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</si>
  <si>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</si>
  <si>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</si>
  <si>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</si>
  <si>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</si>
  <si>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</si>
  <si>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</si>
  <si>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</si>
  <si>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</si>
  <si>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</si>
  <si>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</si>
  <si>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</si>
  <si>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</si>
  <si>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</si>
  <si>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</si>
  <si>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</si>
  <si>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</si>
  <si>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</si>
  <si>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</si>
  <si>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</si>
  <si>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</si>
  <si>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</si>
  <si>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</si>
  <si>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</si>
  <si>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</si>
  <si>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</si>
  <si>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</si>
  <si>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</si>
  <si>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</si>
  <si>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</si>
  <si>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</si>
  <si>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</si>
  <si>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</si>
  <si>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</si>
  <si>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</si>
  <si>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</si>
  <si>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</si>
  <si>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</si>
  <si>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</si>
  <si>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</si>
  <si>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</si>
  <si>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</si>
  <si>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</si>
  <si>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</si>
  <si>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</si>
  <si>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</si>
  <si>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</si>
  <si>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</si>
  <si>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</si>
  <si>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</si>
  <si>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</si>
  <si>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</si>
  <si>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</si>
  <si>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</si>
  <si>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</si>
  <si>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</si>
  <si>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</si>
  <si>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</si>
  <si>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</si>
  <si>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</si>
  <si>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</si>
  <si>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</si>
  <si>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</si>
  <si>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</si>
  <si>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</si>
  <si>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</si>
  <si>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</si>
  <si>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</si>
  <si>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</si>
  <si>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</si>
  <si>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</si>
  <si>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</si>
  <si>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</si>
  <si>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</si>
  <si>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</si>
  <si>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</si>
  <si>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</si>
  <si>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</si>
  <si>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</si>
  <si>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</si>
  <si>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</si>
  <si>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</si>
  <si>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</si>
  <si>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</si>
  <si>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</si>
  <si>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</si>
  <si>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</si>
  <si>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</si>
  <si>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</si>
  <si>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</si>
  <si>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</si>
  <si>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</si>
  <si>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</si>
  <si>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</si>
  <si>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</si>
  <si>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</si>
  <si>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</si>
  <si>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</si>
  <si>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</si>
  <si>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</si>
  <si>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</si>
  <si>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</si>
  <si>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</si>
  <si>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</si>
  <si>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</si>
  <si>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</si>
  <si>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</si>
  <si>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</si>
  <si>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</si>
  <si>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</si>
  <si>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</si>
  <si>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</si>
  <si>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</si>
  <si>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</si>
  <si>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</si>
  <si>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</si>
  <si>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</si>
  <si>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</si>
  <si>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</si>
  <si>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</si>
  <si>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</si>
  <si>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</si>
  <si>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</si>
  <si>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</si>
  <si>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</si>
  <si>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</si>
  <si>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</si>
  <si>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</si>
  <si>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</si>
  <si>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</si>
  <si>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</si>
  <si>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</si>
  <si>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</si>
  <si>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</si>
  <si>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</si>
  <si>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</si>
  <si>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</si>
  <si>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</si>
  <si>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</si>
  <si>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</si>
  <si>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</si>
  <si>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</si>
  <si>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</si>
  <si>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</si>
  <si>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</si>
  <si>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</si>
  <si>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</si>
  <si>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</si>
  <si>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</si>
  <si>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</si>
  <si>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</si>
  <si>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</si>
  <si>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</si>
  <si>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</si>
  <si>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</si>
  <si>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</si>
  <si>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</si>
  <si>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</si>
  <si>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</si>
  <si>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</si>
  <si>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</si>
  <si>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</si>
  <si>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</si>
  <si>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</si>
  <si>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</si>
  <si>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</si>
  <si>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</si>
  <si>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</si>
  <si>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</si>
  <si>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</si>
  <si>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</si>
  <si>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</si>
  <si>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</si>
  <si>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</si>
  <si>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</si>
  <si>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</si>
  <si>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</si>
  <si>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</si>
  <si>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</si>
  <si>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</si>
  <si>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</si>
  <si>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</si>
  <si>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</si>
  <si>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</si>
  <si>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</si>
  <si>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</si>
  <si>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</si>
  <si>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</si>
  <si>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</si>
  <si>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</si>
  <si>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</si>
  <si>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</si>
  <si>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</si>
  <si>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</si>
  <si>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</si>
  <si>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</si>
  <si>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</si>
  <si>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</si>
  <si>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</si>
  <si>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</si>
  <si>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</si>
  <si>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</si>
  <si>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</si>
  <si>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</si>
  <si>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</si>
  <si>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</si>
  <si>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</si>
  <si>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</si>
  <si>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</si>
  <si>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</si>
  <si>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</si>
  <si>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</si>
  <si>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</si>
  <si>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</si>
  <si>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</si>
  <si>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</si>
  <si>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</si>
  <si>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</si>
  <si>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</si>
  <si>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</si>
  <si>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</si>
  <si>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</si>
  <si>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</si>
  <si>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</si>
  <si>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</si>
  <si>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</si>
  <si>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</si>
  <si>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</si>
  <si>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</si>
  <si>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</si>
  <si>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</si>
  <si>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</si>
  <si>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</si>
  <si>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</si>
  <si>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</si>
  <si>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</si>
  <si>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</si>
  <si>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</si>
  <si>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</si>
  <si>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</si>
  <si>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</si>
  <si>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</si>
  <si>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</si>
  <si>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</si>
  <si>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</si>
  <si>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</si>
  <si>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</si>
  <si>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</si>
  <si>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</si>
  <si>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</si>
  <si>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</si>
  <si>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</si>
  <si>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</si>
  <si>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</si>
  <si>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</si>
  <si>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</si>
  <si>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</si>
  <si>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</si>
  <si>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</si>
  <si>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</si>
  <si>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</si>
  <si>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</si>
  <si>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</si>
  <si>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</si>
  <si>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</si>
  <si>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</si>
  <si>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</si>
  <si>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</si>
  <si>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</si>
  <si>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</si>
  <si>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</si>
  <si>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</si>
  <si>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</si>
  <si>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</si>
  <si>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</si>
  <si>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</si>
  <si>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</si>
  <si>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</si>
  <si>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</si>
  <si>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</si>
  <si>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</si>
  <si>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</si>
  <si>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</si>
  <si>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</si>
  <si>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</si>
  <si>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</si>
  <si>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</si>
  <si>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</si>
  <si>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</si>
  <si>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</si>
  <si>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</si>
  <si>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</si>
  <si>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</si>
  <si>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</si>
  <si>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</si>
  <si>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</si>
  <si>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</si>
  <si>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</si>
  <si>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</si>
  <si>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</si>
  <si>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</si>
  <si>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</si>
  <si>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</si>
  <si>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</si>
  <si>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</si>
  <si>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</si>
  <si>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</si>
  <si>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</si>
  <si>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</si>
  <si>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</si>
  <si>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</si>
  <si>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</si>
  <si>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</si>
  <si>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</si>
  <si>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</si>
  <si>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</si>
  <si>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</si>
  <si>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</si>
  <si>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</si>
  <si>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</si>
  <si>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</si>
  <si>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</si>
  <si>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</si>
  <si>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</si>
  <si>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</si>
  <si>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</si>
  <si>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</si>
  <si>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</si>
  <si>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</si>
  <si>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</si>
  <si>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</si>
  <si>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</si>
  <si>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</si>
  <si>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</si>
  <si>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</si>
  <si>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</si>
  <si>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</si>
  <si>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</si>
  <si>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</si>
  <si>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</si>
  <si>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</si>
  <si>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</si>
  <si>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</si>
  <si>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</si>
  <si>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</si>
  <si>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</si>
  <si>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</si>
  <si>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</si>
  <si>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</si>
  <si>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</si>
  <si>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</si>
  <si>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</si>
  <si>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</si>
  <si>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</si>
  <si>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</si>
  <si>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</si>
  <si>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</si>
  <si>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</si>
  <si>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</si>
  <si>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</si>
  <si>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</si>
  <si>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</si>
  <si>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</si>
  <si>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</si>
  <si>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</si>
  <si>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</si>
  <si>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</si>
  <si>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</si>
  <si>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</si>
  <si>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</si>
  <si>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</si>
  <si>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</si>
  <si>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</si>
  <si>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</si>
  <si>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</si>
  <si>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</si>
  <si>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</si>
  <si>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</si>
  <si>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</si>
  <si>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</si>
  <si>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</si>
  <si>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</si>
  <si>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</si>
  <si>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</si>
  <si>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</si>
  <si>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</si>
  <si>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</si>
  <si>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</si>
  <si>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</si>
  <si>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</si>
  <si>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</si>
  <si>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</si>
  <si>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</si>
  <si>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</si>
  <si>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</si>
  <si>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</si>
  <si>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</si>
  <si>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</si>
  <si>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</si>
  <si>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</si>
  <si>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</si>
  <si>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</si>
  <si>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</si>
  <si>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</si>
  <si>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</si>
  <si>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</si>
  <si>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</si>
  <si>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</si>
  <si>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</si>
  <si>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</si>
  <si>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</si>
  <si>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</si>
  <si>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</si>
  <si>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</si>
  <si>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</si>
  <si>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</si>
  <si>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</si>
  <si>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</si>
  <si>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</si>
  <si>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</si>
  <si>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</si>
  <si>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</si>
  <si>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</si>
  <si>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</si>
  <si>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</si>
  <si>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</si>
  <si>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</si>
  <si>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</si>
  <si>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</si>
  <si>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</si>
  <si>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</si>
  <si>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</si>
  <si>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</si>
  <si>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</si>
  <si>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</si>
  <si>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</si>
  <si>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</si>
  <si>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</si>
  <si>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</si>
  <si>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</si>
  <si>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</si>
  <si>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</si>
  <si>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</si>
  <si>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</si>
  <si>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</si>
  <si>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</si>
  <si>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</si>
  <si>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</si>
  <si>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</si>
  <si>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</si>
  <si>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</si>
  <si>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</si>
  <si>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</si>
  <si>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</si>
  <si>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</si>
  <si>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</si>
  <si>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</si>
  <si>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</si>
  <si>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</si>
  <si>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</si>
  <si>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</si>
  <si>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</si>
  <si>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</si>
  <si>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</si>
  <si>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</si>
  <si>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</si>
  <si>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</si>
  <si>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</si>
  <si>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</si>
  <si>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</si>
  <si>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</si>
  <si>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</si>
  <si>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</si>
  <si>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</si>
  <si>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</si>
  <si>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</si>
  <si>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</si>
  <si>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</si>
  <si>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</si>
  <si>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</si>
  <si>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</si>
  <si>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</si>
  <si>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</si>
  <si>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</si>
  <si>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</si>
  <si>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</si>
  <si>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</si>
  <si>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</si>
  <si>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</si>
  <si>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</si>
  <si>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</si>
  <si>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</si>
  <si>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</si>
  <si>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</si>
  <si>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</si>
  <si>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</si>
  <si>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</si>
  <si>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</si>
  <si>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</si>
  <si>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</si>
  <si>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</si>
  <si>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</si>
  <si>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</si>
  <si>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</si>
  <si>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</si>
  <si>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</si>
  <si>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</si>
  <si>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</si>
  <si>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</si>
  <si>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</si>
  <si>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</si>
  <si>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</si>
  <si>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</si>
  <si>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</si>
  <si>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</si>
  <si>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</si>
  <si>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</si>
  <si>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</si>
  <si>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</si>
  <si>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</si>
  <si>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</si>
  <si>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</si>
  <si>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</si>
  <si>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</si>
  <si>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</si>
  <si>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</si>
  <si>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</si>
  <si>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</si>
  <si>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</si>
  <si>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</si>
  <si>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</si>
  <si>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</si>
  <si>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</si>
  <si>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</si>
  <si>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</si>
  <si>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</si>
  <si>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</si>
  <si>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</si>
  <si>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</si>
  <si>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</si>
  <si>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</si>
  <si>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</si>
  <si>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</si>
  <si>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</si>
  <si>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</si>
  <si>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</si>
  <si>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</si>
  <si>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</si>
  <si>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</si>
  <si>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</si>
  <si>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</si>
  <si>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</si>
  <si>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</si>
  <si>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</si>
  <si>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</si>
  <si>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</si>
  <si>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</si>
  <si>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</si>
  <si>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</si>
  <si>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</si>
  <si>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</si>
  <si>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</si>
  <si>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</si>
  <si>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</si>
  <si>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</si>
  <si>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</si>
  <si>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</si>
  <si>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</si>
  <si>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</si>
  <si>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</si>
  <si>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</si>
  <si>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</si>
  <si>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</si>
  <si>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</si>
  <si>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</si>
  <si>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</si>
  <si>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</si>
  <si>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</si>
  <si>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</si>
  <si>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</si>
  <si>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</si>
  <si>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</si>
  <si>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</si>
  <si>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</si>
  <si>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</si>
  <si>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</si>
  <si>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</si>
  <si>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</si>
  <si>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</si>
  <si>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</si>
  <si>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</si>
  <si>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</si>
  <si>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</si>
  <si>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</si>
  <si>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</si>
  <si>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</si>
  <si>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</si>
  <si>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</si>
  <si>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</si>
  <si>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</si>
  <si>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</si>
  <si>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</si>
  <si>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</si>
  <si>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</si>
  <si>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</si>
  <si>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</si>
  <si>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</si>
  <si>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</si>
  <si>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</si>
  <si>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</si>
  <si>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</si>
  <si>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</si>
  <si>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</si>
  <si>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</si>
  <si>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</si>
  <si>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</si>
  <si>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</si>
  <si>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</si>
  <si>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</si>
  <si>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</si>
  <si>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</si>
  <si>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</si>
  <si>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</si>
  <si>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</si>
  <si>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</si>
  <si>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</si>
  <si>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</si>
  <si>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</si>
  <si>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</si>
  <si>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</si>
  <si>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</si>
  <si>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</si>
  <si>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</si>
  <si>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</si>
  <si>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</si>
  <si>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</si>
  <si>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</si>
  <si>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</si>
  <si>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</si>
  <si>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</si>
  <si>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</si>
  <si>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</si>
  <si>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</si>
  <si>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</si>
  <si>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</si>
  <si>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</si>
  <si>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</si>
  <si>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</si>
  <si>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</si>
  <si>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</si>
  <si>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</si>
  <si>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</si>
  <si>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</si>
  <si>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</si>
  <si>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</si>
  <si>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</si>
  <si>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</si>
  <si>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</si>
  <si>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</si>
  <si>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</si>
  <si>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</si>
  <si>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</si>
  <si>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</si>
  <si>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</si>
  <si>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</si>
  <si>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</si>
  <si>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</si>
  <si>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</si>
  <si>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</si>
  <si>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</si>
  <si>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</si>
  <si>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</si>
  <si>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</si>
  <si>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</si>
  <si>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</si>
  <si>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</si>
  <si>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</si>
  <si>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</si>
  <si>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</si>
  <si>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</si>
  <si>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</si>
  <si>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</si>
  <si>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</si>
  <si>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</si>
  <si>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</si>
  <si>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</si>
  <si>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</si>
  <si>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</si>
  <si>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</si>
  <si>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</si>
  <si>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</si>
  <si>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</si>
  <si>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</si>
  <si>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</si>
  <si>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</si>
  <si>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</si>
  <si>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</si>
  <si>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</si>
  <si>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</si>
  <si>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</si>
  <si>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</si>
  <si>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</si>
  <si>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</si>
  <si>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</si>
  <si>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</si>
  <si>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</si>
  <si>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Exports</t>
  </si>
  <si>
    <t>Prices for pig iron</t>
  </si>
  <si>
    <t>2019$ to 2015 ZAR</t>
  </si>
  <si>
    <t>ZAR/tonne</t>
  </si>
  <si>
    <t>PEXGDRI</t>
  </si>
  <si>
    <t>IDUM</t>
  </si>
  <si>
    <t>Dummy commodity</t>
  </si>
  <si>
    <t>Export of Green DR Iron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</si>
  <si>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</si>
  <si>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</si>
  <si>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</si>
  <si>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</si>
  <si>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</si>
  <si>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</si>
  <si>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</si>
  <si>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</si>
  <si>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</si>
  <si>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</si>
  <si>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</si>
  <si>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</si>
  <si>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</si>
  <si>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</si>
  <si>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</si>
  <si>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</si>
  <si>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</si>
  <si>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</si>
  <si>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</si>
  <si>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</si>
  <si>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</si>
  <si>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High or low EE measures implemented. Green-steel start date depends on PAM level</t>
  </si>
  <si>
    <t>Cleaning up PAMS scenario sheet</t>
  </si>
  <si>
    <t>Production Data (SAISI, 2016) - compiled by Guy Cunliffe</t>
  </si>
  <si>
    <t>From AMSA IAR 2021</t>
  </si>
  <si>
    <t>Ref/low ambition</t>
  </si>
  <si>
    <t>Table 4.18 - GHG inventory 2017</t>
  </si>
  <si>
    <t>Electric arc</t>
  </si>
  <si>
    <t>Production (tonne)</t>
  </si>
  <si>
    <t>Table 4.16</t>
  </si>
  <si>
    <t>t CO2/tonne of product</t>
  </si>
  <si>
    <t>DR Iron</t>
  </si>
  <si>
    <t>"soley the production from the corex process"</t>
  </si>
  <si>
    <t>total emissions</t>
  </si>
  <si>
    <t>total product</t>
  </si>
  <si>
    <t>total steel</t>
  </si>
  <si>
    <t>avg EF for steel</t>
  </si>
  <si>
    <t>Taken from the 2017 inventory</t>
  </si>
  <si>
    <t>Compile emissions factors for SATIM</t>
  </si>
  <si>
    <t>Corex+conarc</t>
  </si>
  <si>
    <t>suspect the inventory got this wrong. This might be gas based DRI</t>
  </si>
  <si>
    <t>CO2 total</t>
  </si>
  <si>
    <t>Carbon content</t>
  </si>
  <si>
    <t>Carbon</t>
  </si>
  <si>
    <t>by mass:</t>
  </si>
  <si>
    <t>CO2 is</t>
  </si>
  <si>
    <t>2XOxygen</t>
  </si>
  <si>
    <t xml:space="preserve">Inventory only considered corex process. Used a mass balance calculation of carbon content of inputs to work out the total emissions here.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</si>
</sst>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  <numFmt numFmtId="179" formatCode="_(* #,##0.000_);_(* \(#,##0.000\);_(* &quot;-&quot;??_);_(@_)"/>
  </numFmts>
  <fonts count="6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  <font>
      <sz val="10"/>
      <name val="Times New Roman"/>
      <family val="1"/>
      <charset val="204"/>
    </font>
    <font>
      <b/>
      <sz val="8"/>
      <color indexed="63"/>
      <name val="Gill Sans MT"/>
      <family val="2"/>
    </font>
    <font>
      <b/>
      <sz val="8"/>
      <color indexed="63"/>
      <name val="Arial"/>
      <family val="2"/>
    </font>
    <font>
      <sz val="8"/>
      <color indexed="63"/>
      <name val="Gill Sans MT"/>
      <family val="2"/>
    </font>
    <font>
      <sz val="8"/>
      <color indexed="63"/>
      <name val="Gill Sans MT"/>
      <family val="1"/>
      <charset val="204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  <fill>
      <patternFill patternType="solid">
        <fgColor rgb="FFD3E1E4"/>
        <bgColor indexed="64"/>
      </patternFill>
    </fill>
  </fills>
  <borders count="7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/>
      <right style="thin">
        <color rgb="FF5FA5AE"/>
      </right>
      <top/>
      <bottom/>
      <diagonal/>
    </border>
    <border>
      <left style="thin">
        <color rgb="FF5FA5AE"/>
      </left>
      <right/>
      <top/>
      <bottom/>
      <diagonal/>
    </border>
    <border>
      <left/>
      <right style="thin">
        <color rgb="FF5FA5AE"/>
      </right>
      <top/>
      <bottom style="thin">
        <color rgb="FF5FA5AE"/>
      </bottom>
      <diagonal/>
    </border>
    <border>
      <left style="thin">
        <color rgb="FF5FA5AE"/>
      </left>
      <right/>
      <top/>
      <bottom style="thin">
        <color rgb="FF5FA5AE"/>
      </bottom>
      <diagonal/>
    </border>
    <border>
      <left/>
      <right/>
      <top/>
      <bottom style="thin">
        <color rgb="FF5FA5AE"/>
      </bottom>
      <diagonal/>
    </border>
    <border>
      <left/>
      <right style="thin">
        <color rgb="FF5FA5AE"/>
      </right>
      <top style="thin">
        <color rgb="FF5FA5AE"/>
      </top>
      <bottom style="thin">
        <color rgb="FF5FA5AE"/>
      </bottom>
      <diagonal/>
    </border>
    <border>
      <left style="thin">
        <color rgb="FF5FA5AE"/>
      </left>
      <right style="thin">
        <color rgb="FF5FA5AE"/>
      </right>
      <top style="thin">
        <color rgb="FF5FA5AE"/>
      </top>
      <bottom style="thin">
        <color rgb="FF5FA5AE"/>
      </bottom>
      <diagonal/>
    </border>
    <border>
      <left style="thin">
        <color rgb="FF5FA5AE"/>
      </left>
      <right/>
      <top style="thin">
        <color rgb="FF5FA5AE"/>
      </top>
      <bottom style="thin">
        <color rgb="FF5FA5AE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23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55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179" fontId="0" fillId="0" borderId="0" xfId="28" applyNumberFormat="1" applyFont="1" applyBorder="1"/>
    <xf numFmtId="0" fontId="56" fillId="0" borderId="0" xfId="0" applyFont="1" applyAlignment="1">
      <alignment horizontal="left" vertical="center" wrapText="1"/>
    </xf>
    <xf numFmtId="0" fontId="57" fillId="0" borderId="0" xfId="0" applyFont="1" applyAlignment="1">
      <alignment horizontal="left" vertical="top" wrapText="1" indent="1"/>
    </xf>
    <xf numFmtId="0" fontId="57" fillId="0" borderId="67" xfId="0" applyFont="1" applyBorder="1" applyAlignment="1">
      <alignment horizontal="center" vertical="top" wrapText="1"/>
    </xf>
    <xf numFmtId="0" fontId="57" fillId="0" borderId="68" xfId="0" applyFont="1" applyBorder="1" applyAlignment="1">
      <alignment horizontal="center" vertical="top" wrapText="1"/>
    </xf>
    <xf numFmtId="0" fontId="57" fillId="0" borderId="68" xfId="0" applyFont="1" applyBorder="1" applyAlignment="1">
      <alignment horizontal="right" vertical="top" wrapText="1" indent="1"/>
    </xf>
    <xf numFmtId="0" fontId="56" fillId="0" borderId="69" xfId="0" applyFont="1" applyBorder="1" applyAlignment="1">
      <alignment horizontal="left" wrapText="1"/>
    </xf>
    <xf numFmtId="1" fontId="58" fillId="30" borderId="72" xfId="0" applyNumberFormat="1" applyFont="1" applyFill="1" applyBorder="1" applyAlignment="1">
      <alignment horizontal="center" vertical="top" shrinkToFit="1"/>
    </xf>
    <xf numFmtId="0" fontId="59" fillId="0" borderId="73" xfId="0" applyFont="1" applyBorder="1" applyAlignment="1">
      <alignment horizontal="center" vertical="top" wrapText="1"/>
    </xf>
    <xf numFmtId="0" fontId="56" fillId="0" borderId="73" xfId="0" applyFont="1" applyBorder="1" applyAlignment="1">
      <alignment horizontal="left" vertical="center" wrapText="1"/>
    </xf>
    <xf numFmtId="0" fontId="59" fillId="0" borderId="74" xfId="0" applyFont="1" applyBorder="1" applyAlignment="1">
      <alignment horizontal="right" vertical="top" wrapText="1" indent="1"/>
    </xf>
    <xf numFmtId="0" fontId="60" fillId="0" borderId="0" xfId="0" applyFont="1" applyAlignment="1">
      <alignment horizontal="left" vertical="top" wrapText="1" indent="5"/>
    </xf>
    <xf numFmtId="165" fontId="60" fillId="0" borderId="68" xfId="1" applyNumberFormat="1" applyFont="1" applyBorder="1" applyAlignment="1">
      <alignment horizontal="left" vertical="top" wrapText="1" inden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57" fillId="30" borderId="70" xfId="0" applyFont="1" applyFill="1" applyBorder="1" applyAlignment="1">
      <alignment horizontal="center" vertical="top" wrapText="1"/>
    </xf>
    <xf numFmtId="0" fontId="57" fillId="30" borderId="71" xfId="0" applyFont="1" applyFill="1" applyBorder="1" applyAlignment="1">
      <alignment horizontal="center" vertical="top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9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4.xml"/><Relationship Id="rId42" Type="http://schemas.openxmlformats.org/officeDocument/2006/relationships/externalLink" Target="externalLinks/externalLink12.xml"/><Relationship Id="rId47" Type="http://schemas.openxmlformats.org/officeDocument/2006/relationships/externalLink" Target="externalLinks/externalLink17.xml"/><Relationship Id="rId50" Type="http://schemas.openxmlformats.org/officeDocument/2006/relationships/theme" Target="theme/theme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externalLink" Target="externalLinks/externalLink7.xml"/><Relationship Id="rId40" Type="http://schemas.openxmlformats.org/officeDocument/2006/relationships/externalLink" Target="externalLinks/externalLink10.xml"/><Relationship Id="rId45" Type="http://schemas.openxmlformats.org/officeDocument/2006/relationships/externalLink" Target="externalLinks/externalLink15.xml"/><Relationship Id="rId53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externalLink" Target="externalLinks/externalLink1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5.xml"/><Relationship Id="rId43" Type="http://schemas.openxmlformats.org/officeDocument/2006/relationships/externalLink" Target="externalLinks/externalLink13.xml"/><Relationship Id="rId48" Type="http://schemas.openxmlformats.org/officeDocument/2006/relationships/externalLink" Target="externalLinks/externalLink1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externalLink" Target="externalLinks/externalLink8.xml"/><Relationship Id="rId46" Type="http://schemas.openxmlformats.org/officeDocument/2006/relationships/externalLink" Target="externalLinks/externalLink16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1.xml"/><Relationship Id="rId54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6.xml"/><Relationship Id="rId49" Type="http://schemas.openxmlformats.org/officeDocument/2006/relationships/externalLink" Target="externalLinks/externalLink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789214" y="3362325"/>
          <a:ext cx="7301865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78587" y="2622897"/>
          <a:ext cx="11948500" cy="5481485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889441" y="1085289"/>
          <a:ext cx="10474548" cy="5477827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3628" y="800212"/>
          <a:ext cx="11346773" cy="5798910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</sheetNames>
    <definedNames>
      <definedName name="pamsindex" refersTo="='PAMS central control panel'!$C$2"/>
    </defined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xe.com/currencycharts/?from=EUR&amp;to=USD&amp;view=5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9"/>
  <sheetViews>
    <sheetView workbookViewId="0">
      <selection activeCell="C9" sqref="C9"/>
    </sheetView>
  </sheetViews>
  <sheetFormatPr defaultRowHeight="15"/>
  <cols>
    <col min="3" max="3" width="47.7109375" style="413" customWidth="1"/>
  </cols>
  <sheetData>
    <row r="1" spans="3:5">
      <c r="C1" s="665" t="s">
        <v>1550</v>
      </c>
      <c r="D1" s="136" t="s">
        <v>1551</v>
      </c>
      <c r="E1" s="136" t="s">
        <v>1552</v>
      </c>
    </row>
    <row r="2" spans="3:5" ht="30">
      <c r="C2" s="413" t="s">
        <v>1553</v>
      </c>
      <c r="D2" t="s">
        <v>1554</v>
      </c>
      <c r="E2" s="666">
        <v>44452</v>
      </c>
    </row>
    <row r="3" spans="3:5">
      <c r="C3" s="413" t="s">
        <v>1555</v>
      </c>
      <c r="D3" t="s">
        <v>1554</v>
      </c>
      <c r="E3" s="667">
        <v>44460</v>
      </c>
    </row>
    <row r="4" spans="3:5">
      <c r="C4" s="413" t="s">
        <v>1556</v>
      </c>
    </row>
    <row r="5" spans="3:5" ht="30">
      <c r="C5" s="413" t="s">
        <v>1557</v>
      </c>
    </row>
    <row r="7" spans="3:5">
      <c r="C7" s="413" t="s">
        <v>1560</v>
      </c>
      <c r="D7" t="s">
        <v>1561</v>
      </c>
      <c r="E7" t="s">
        <v>1562</v>
      </c>
    </row>
    <row r="9" spans="3:5">
      <c r="C9" s="413" t="s">
        <v>1569</v>
      </c>
      <c r="D9" t="s">
        <v>1561</v>
      </c>
      <c r="E9" s="666">
        <v>44732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workbookViewId="0">
      <selection activeCell="B5" sqref="B5"/>
    </sheetView>
  </sheetViews>
  <sheetFormatPr defaultRowHeight="15"/>
  <sheetData>
    <row r="3" spans="2:19">
      <c r="B3" s="12" t="s">
        <v>1526</v>
      </c>
      <c r="G3" s="19" t="s">
        <v>1528</v>
      </c>
    </row>
    <row r="4" spans="2:19">
      <c r="B4" s="663" t="b" cm="1">
        <f t="array" ref="B4">[2]!pamsindex</f>
        <v>0</v>
      </c>
      <c r="G4" s="12" t="s">
        <v>1519</v>
      </c>
      <c r="H4" t="s">
        <v>1568</v>
      </c>
    </row>
    <row r="5" spans="2:19">
      <c r="B5" s="663" t="s">
        <v>1519</v>
      </c>
      <c r="C5" s="659" t="s">
        <v>1524</v>
      </c>
      <c r="G5" s="12" t="s">
        <v>1527</v>
      </c>
      <c r="H5" t="s">
        <v>1529</v>
      </c>
    </row>
    <row r="9" spans="2:19">
      <c r="B9" s="12"/>
    </row>
    <row r="10" spans="2:19">
      <c r="B10" s="12"/>
    </row>
    <row r="11" spans="2:19" ht="15.75">
      <c r="B11" s="662" t="s">
        <v>1525</v>
      </c>
    </row>
    <row r="12" spans="2:19">
      <c r="B12" s="661"/>
      <c r="C12" s="16"/>
      <c r="D12" s="16"/>
      <c r="E12" s="16"/>
      <c r="F12" s="16"/>
      <c r="G12" s="16"/>
      <c r="H12" s="16"/>
      <c r="I12" s="660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>
      <c r="B13" s="4"/>
      <c r="S13" s="5"/>
    </row>
    <row r="14" spans="2:19">
      <c r="B14" s="4"/>
      <c r="C14" s="653" t="s">
        <v>1523</v>
      </c>
      <c r="I14" s="653" t="s">
        <v>1522</v>
      </c>
      <c r="J14" s="653"/>
      <c r="S14" s="5"/>
    </row>
    <row r="15" spans="2:19">
      <c r="B15" s="4"/>
      <c r="I15" s="653">
        <v>2017</v>
      </c>
      <c r="J15" s="653">
        <v>2015</v>
      </c>
      <c r="K15" s="653">
        <v>2020</v>
      </c>
      <c r="L15" s="653">
        <v>2025</v>
      </c>
      <c r="M15" s="653">
        <v>2030</v>
      </c>
      <c r="N15" s="653">
        <v>2035</v>
      </c>
      <c r="O15" s="653">
        <v>2040</v>
      </c>
      <c r="P15" s="653">
        <v>2045</v>
      </c>
      <c r="Q15" s="653">
        <v>2050</v>
      </c>
      <c r="S15" s="5"/>
    </row>
    <row r="16" spans="2:19">
      <c r="B16" s="4"/>
      <c r="C16" t="s">
        <v>538</v>
      </c>
      <c r="I16" s="658">
        <f>'IS-TSData'!O43</f>
        <v>19.731464993552517</v>
      </c>
      <c r="J16" s="653"/>
      <c r="K16" s="653"/>
      <c r="L16" s="653"/>
      <c r="M16" s="658" t="str">
        <f>IF($B$4,I16*(1+$M$40),"")</f>
        <v/>
      </c>
      <c r="N16" s="653"/>
      <c r="O16" s="653"/>
      <c r="P16" s="653"/>
      <c r="Q16" s="658"/>
      <c r="S16" s="5"/>
    </row>
    <row r="17" spans="2:19">
      <c r="B17" s="4"/>
      <c r="C17" t="s">
        <v>539</v>
      </c>
      <c r="I17" s="658">
        <f>'IS-TSData'!O48</f>
        <v>29.285529033072699</v>
      </c>
      <c r="J17" s="653"/>
      <c r="K17" s="653"/>
      <c r="L17" s="653"/>
      <c r="M17" s="658" t="str">
        <f t="shared" ref="M17:M25" si="0">IF($B$4,I17*(1+$M$40),"")</f>
        <v/>
      </c>
      <c r="N17" s="653"/>
      <c r="O17" s="653"/>
      <c r="P17" s="653"/>
      <c r="Q17" s="658"/>
      <c r="S17" s="5"/>
    </row>
    <row r="18" spans="2:19">
      <c r="B18" s="4"/>
      <c r="C18" t="s">
        <v>540</v>
      </c>
      <c r="I18" s="658">
        <f>'IS-TSData'!O49</f>
        <v>23.428423226458161</v>
      </c>
      <c r="J18" s="653"/>
      <c r="K18" s="653"/>
      <c r="L18" s="653"/>
      <c r="M18" s="658" t="str">
        <f t="shared" si="0"/>
        <v/>
      </c>
      <c r="N18" s="653"/>
      <c r="O18" s="653"/>
      <c r="P18" s="653"/>
      <c r="Q18" s="658"/>
      <c r="S18" s="5"/>
    </row>
    <row r="19" spans="2:19">
      <c r="B19" s="4"/>
      <c r="C19" t="s">
        <v>541</v>
      </c>
      <c r="I19" s="658">
        <f>'IS-TSData'!O52</f>
        <v>5.4887322803632257</v>
      </c>
      <c r="J19" s="653"/>
      <c r="K19" s="653"/>
      <c r="L19" s="653"/>
      <c r="M19" s="658" t="str">
        <f t="shared" si="0"/>
        <v/>
      </c>
      <c r="N19" s="653"/>
      <c r="O19" s="653"/>
      <c r="P19" s="653"/>
      <c r="Q19" s="658"/>
      <c r="S19" s="5"/>
    </row>
    <row r="20" spans="2:19">
      <c r="B20" s="4"/>
      <c r="I20" s="658"/>
      <c r="J20" s="653"/>
      <c r="K20" s="653"/>
      <c r="L20" s="653"/>
      <c r="M20" s="658"/>
      <c r="N20" s="653"/>
      <c r="O20" s="653"/>
      <c r="P20" s="653"/>
      <c r="Q20" s="658"/>
      <c r="S20" s="5"/>
    </row>
    <row r="21" spans="2:19">
      <c r="B21" s="4"/>
      <c r="C21" t="s">
        <v>169</v>
      </c>
      <c r="I21" s="658">
        <f>'IS-TSData'!O42</f>
        <v>19.731464993552517</v>
      </c>
      <c r="J21" s="653"/>
      <c r="K21" s="653"/>
      <c r="L21" s="653"/>
      <c r="M21" s="658" t="str">
        <f t="shared" si="0"/>
        <v/>
      </c>
      <c r="N21" s="653"/>
      <c r="O21" s="653"/>
      <c r="P21" s="653"/>
      <c r="Q21" s="658"/>
      <c r="S21" s="5"/>
    </row>
    <row r="22" spans="2:19">
      <c r="B22" s="4"/>
      <c r="C22" t="s">
        <v>171</v>
      </c>
      <c r="I22" s="658">
        <f>'IS-TSData'!O44</f>
        <v>22.151676172353415</v>
      </c>
      <c r="J22" s="653"/>
      <c r="K22" s="653"/>
      <c r="L22" s="653"/>
      <c r="M22" s="658" t="str">
        <f t="shared" si="0"/>
        <v/>
      </c>
      <c r="N22" s="653"/>
      <c r="O22" s="653"/>
      <c r="P22" s="653"/>
      <c r="Q22" s="658"/>
      <c r="S22" s="5"/>
    </row>
    <row r="23" spans="2:19">
      <c r="B23" s="4"/>
      <c r="C23" t="s">
        <v>174</v>
      </c>
      <c r="I23" s="658">
        <f>'IS-TSData'!O47</f>
        <v>29.285529033072699</v>
      </c>
      <c r="J23" s="653"/>
      <c r="K23" s="653"/>
      <c r="L23" s="653"/>
      <c r="M23" s="658" t="str">
        <f t="shared" si="0"/>
        <v/>
      </c>
      <c r="N23" s="653"/>
      <c r="O23" s="653"/>
      <c r="P23" s="653"/>
      <c r="Q23" s="658"/>
      <c r="S23" s="5"/>
    </row>
    <row r="24" spans="2:19">
      <c r="B24" s="4"/>
      <c r="C24" t="s">
        <v>178</v>
      </c>
      <c r="I24" s="658">
        <f>'IS-TSData'!O50</f>
        <v>44.655000000000001</v>
      </c>
      <c r="J24" s="653"/>
      <c r="K24" s="653"/>
      <c r="L24" s="653"/>
      <c r="M24" s="658" t="str">
        <f t="shared" si="0"/>
        <v/>
      </c>
      <c r="N24" s="653"/>
      <c r="O24" s="653"/>
      <c r="P24" s="653"/>
      <c r="Q24" s="658"/>
      <c r="S24" s="5"/>
    </row>
    <row r="25" spans="2:19">
      <c r="B25" s="4"/>
      <c r="C25" t="s">
        <v>180</v>
      </c>
      <c r="I25" s="658">
        <f>'IS-TSData'!O51</f>
        <v>5.4887322803632257</v>
      </c>
      <c r="J25" s="653"/>
      <c r="K25" s="653"/>
      <c r="L25" s="653"/>
      <c r="M25" s="658" t="str">
        <f t="shared" si="0"/>
        <v/>
      </c>
      <c r="N25" s="653"/>
      <c r="O25" s="653"/>
      <c r="P25" s="653"/>
      <c r="Q25" s="658"/>
      <c r="S25" s="5"/>
    </row>
    <row r="26" spans="2:19">
      <c r="B26" s="4"/>
      <c r="C26" s="654"/>
      <c r="D26" s="657" t="s">
        <v>1521</v>
      </c>
      <c r="E26" s="8"/>
      <c r="F26" s="8"/>
      <c r="G26" s="8"/>
      <c r="H26" s="8"/>
      <c r="I26" s="657"/>
      <c r="J26" s="657"/>
      <c r="K26" s="653"/>
      <c r="L26" s="653"/>
      <c r="M26" s="653"/>
      <c r="N26" s="653"/>
      <c r="O26" s="653"/>
      <c r="P26" s="653"/>
      <c r="Q26" s="653"/>
      <c r="S26" s="5"/>
    </row>
    <row r="27" spans="2:19">
      <c r="B27" s="4"/>
      <c r="C27" s="654"/>
      <c r="F27" s="657" t="s">
        <v>1520</v>
      </c>
      <c r="G27" s="8"/>
      <c r="H27" s="8"/>
      <c r="I27" s="657"/>
      <c r="J27" s="653"/>
      <c r="K27" s="653"/>
      <c r="L27" s="653"/>
      <c r="M27" s="653"/>
      <c r="N27" s="653"/>
      <c r="O27" s="653"/>
      <c r="P27" s="653"/>
      <c r="Q27" s="653"/>
      <c r="S27" s="5"/>
    </row>
    <row r="28" spans="2:19">
      <c r="B28" s="4"/>
      <c r="C28" s="654"/>
      <c r="J28" s="653"/>
      <c r="K28" s="653"/>
      <c r="L28" s="653"/>
      <c r="M28" s="653"/>
      <c r="N28" s="653"/>
      <c r="O28" s="653"/>
      <c r="P28" s="653"/>
      <c r="Q28" s="653"/>
      <c r="S28" s="5"/>
    </row>
    <row r="29" spans="2:19">
      <c r="B29" s="4"/>
      <c r="G29" t="s">
        <v>1425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>
      <c r="B30" s="4"/>
      <c r="C30" s="654"/>
      <c r="G30" t="s">
        <v>1423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>
      <c r="B31" s="4"/>
      <c r="G31" t="s">
        <v>1419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>
      <c r="B32" s="4"/>
      <c r="G32" t="s">
        <v>1417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>
      <c r="B33" s="4"/>
      <c r="G33" t="s">
        <v>1413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>
      <c r="B34" s="4"/>
      <c r="G34" t="s">
        <v>1411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>
      <c r="B35" s="4"/>
      <c r="G35" t="s">
        <v>1407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>
      <c r="B36" s="4"/>
      <c r="G36" t="s">
        <v>1405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>
      <c r="B37" s="4"/>
      <c r="G37" t="s">
        <v>1397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>
      <c r="B38" s="4"/>
      <c r="G38" t="s">
        <v>1394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>
      <c r="B39" s="4"/>
      <c r="F39" s="656" t="s">
        <v>1519</v>
      </c>
      <c r="G39" s="8"/>
      <c r="H39" s="8"/>
      <c r="I39" s="8"/>
      <c r="S39" s="5"/>
    </row>
    <row r="40" spans="2:19">
      <c r="B40" s="4"/>
      <c r="G40" t="s">
        <v>1425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655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>
      <c r="B41" s="4"/>
      <c r="G41" t="s">
        <v>1423</v>
      </c>
      <c r="I41">
        <v>0</v>
      </c>
      <c r="J41">
        <v>0</v>
      </c>
      <c r="K41">
        <v>0</v>
      </c>
      <c r="L41">
        <f t="shared" si="2"/>
        <v>0</v>
      </c>
      <c r="M41" s="655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>
      <c r="B42" s="4"/>
      <c r="G42" t="s">
        <v>1419</v>
      </c>
      <c r="I42">
        <v>0</v>
      </c>
      <c r="J42">
        <v>0</v>
      </c>
      <c r="K42">
        <v>0</v>
      </c>
      <c r="L42">
        <f t="shared" si="2"/>
        <v>-2.5000000000000001E-2</v>
      </c>
      <c r="M42" s="655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>
      <c r="B43" s="4"/>
      <c r="G43" t="s">
        <v>1417</v>
      </c>
      <c r="I43">
        <v>0</v>
      </c>
      <c r="J43">
        <v>0</v>
      </c>
      <c r="K43">
        <v>0</v>
      </c>
      <c r="L43">
        <f t="shared" si="2"/>
        <v>0</v>
      </c>
      <c r="M43" s="655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>
      <c r="B44" s="4"/>
      <c r="G44" t="s">
        <v>1413</v>
      </c>
      <c r="I44">
        <v>0</v>
      </c>
      <c r="J44">
        <v>0</v>
      </c>
      <c r="K44">
        <v>0</v>
      </c>
      <c r="L44">
        <f t="shared" si="2"/>
        <v>-2.5000000000000001E-2</v>
      </c>
      <c r="M44" s="655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>
      <c r="B45" s="4"/>
      <c r="G45" t="s">
        <v>1411</v>
      </c>
      <c r="I45">
        <v>0</v>
      </c>
      <c r="J45">
        <v>0</v>
      </c>
      <c r="K45">
        <v>0</v>
      </c>
      <c r="L45">
        <f t="shared" si="2"/>
        <v>0</v>
      </c>
      <c r="M45" s="655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>
      <c r="B46" s="4"/>
      <c r="G46" t="s">
        <v>1407</v>
      </c>
      <c r="I46">
        <v>0</v>
      </c>
      <c r="J46">
        <v>0</v>
      </c>
      <c r="K46">
        <v>0</v>
      </c>
      <c r="L46">
        <f t="shared" si="2"/>
        <v>-2.5000000000000001E-2</v>
      </c>
      <c r="M46" s="655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>
      <c r="B47" s="4"/>
      <c r="G47" t="s">
        <v>1405</v>
      </c>
      <c r="I47">
        <v>0</v>
      </c>
      <c r="J47">
        <v>0</v>
      </c>
      <c r="K47">
        <v>0</v>
      </c>
      <c r="L47">
        <f t="shared" si="2"/>
        <v>0</v>
      </c>
      <c r="M47" s="655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>
      <c r="B48" s="4"/>
      <c r="G48" t="s">
        <v>1397</v>
      </c>
      <c r="I48">
        <v>0</v>
      </c>
      <c r="J48">
        <v>0</v>
      </c>
      <c r="K48">
        <v>0</v>
      </c>
      <c r="L48">
        <f t="shared" si="2"/>
        <v>-2.5000000000000001E-2</v>
      </c>
      <c r="M48" s="655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>
      <c r="B49" s="4"/>
      <c r="G49" t="s">
        <v>1394</v>
      </c>
      <c r="I49">
        <v>0</v>
      </c>
      <c r="J49">
        <v>0</v>
      </c>
      <c r="K49">
        <v>0</v>
      </c>
      <c r="L49">
        <f t="shared" si="2"/>
        <v>0</v>
      </c>
      <c r="M49" s="655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>
      <c r="B50" s="4" t="b">
        <v>0</v>
      </c>
      <c r="C50" t="s">
        <v>1558</v>
      </c>
      <c r="S50" s="5"/>
    </row>
    <row r="51" spans="2:19">
      <c r="B51" s="652" t="s">
        <v>1518</v>
      </c>
      <c r="S51" s="5"/>
    </row>
    <row r="52" spans="2:19">
      <c r="B52" s="4"/>
      <c r="I52" s="654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>
      <c r="B53" s="4" t="s">
        <v>1425</v>
      </c>
      <c r="D53" t="s">
        <v>1434</v>
      </c>
      <c r="F53" t="s">
        <v>1099</v>
      </c>
      <c r="G53" t="s">
        <v>705</v>
      </c>
      <c r="H53">
        <v>0</v>
      </c>
      <c r="I53">
        <f t="shared" ref="I53:K62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>
      <c r="B54" s="4" t="s">
        <v>1423</v>
      </c>
      <c r="D54" t="s">
        <v>1434</v>
      </c>
      <c r="F54" t="s">
        <v>1099</v>
      </c>
      <c r="G54" t="s">
        <v>705</v>
      </c>
      <c r="H54"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ref="L54:M62" si="6">IF($B$50,IF($B$5="PAMS",L41,L30),0)</f>
        <v>0</v>
      </c>
      <c r="M54">
        <f t="shared" si="6"/>
        <v>0</v>
      </c>
      <c r="N54">
        <f t="shared" ref="N54:Q62" si="7">IF($B$50,IF($B$5="PAMS",N41,N30),0)</f>
        <v>0</v>
      </c>
      <c r="O54">
        <f t="shared" si="7"/>
        <v>0</v>
      </c>
      <c r="P54">
        <f t="shared" si="7"/>
        <v>0</v>
      </c>
      <c r="Q54">
        <f t="shared" si="7"/>
        <v>0</v>
      </c>
      <c r="S54" s="5"/>
    </row>
    <row r="55" spans="2:19">
      <c r="B55" s="4" t="s">
        <v>1419</v>
      </c>
      <c r="D55" t="s">
        <v>1433</v>
      </c>
      <c r="F55" t="s">
        <v>1099</v>
      </c>
      <c r="G55" t="s">
        <v>705</v>
      </c>
      <c r="H55">
        <v>0</v>
      </c>
      <c r="I55">
        <f t="shared" si="4"/>
        <v>0</v>
      </c>
      <c r="J55">
        <f t="shared" si="4"/>
        <v>0</v>
      </c>
      <c r="K55">
        <f t="shared" si="4"/>
        <v>0</v>
      </c>
      <c r="L55">
        <f t="shared" si="6"/>
        <v>0</v>
      </c>
      <c r="M55">
        <f t="shared" si="6"/>
        <v>0</v>
      </c>
      <c r="N55">
        <f t="shared" si="7"/>
        <v>0</v>
      </c>
      <c r="O55">
        <f t="shared" si="7"/>
        <v>0</v>
      </c>
      <c r="P55">
        <f t="shared" si="7"/>
        <v>0</v>
      </c>
      <c r="Q55">
        <f t="shared" si="7"/>
        <v>0</v>
      </c>
      <c r="S55" s="5"/>
    </row>
    <row r="56" spans="2:19">
      <c r="B56" s="4" t="s">
        <v>1417</v>
      </c>
      <c r="D56" t="s">
        <v>1433</v>
      </c>
      <c r="F56" t="s">
        <v>1099</v>
      </c>
      <c r="G56" t="s">
        <v>705</v>
      </c>
      <c r="H56">
        <v>0</v>
      </c>
      <c r="I56">
        <f t="shared" si="4"/>
        <v>0</v>
      </c>
      <c r="J56">
        <f t="shared" si="4"/>
        <v>0</v>
      </c>
      <c r="K56">
        <f t="shared" si="4"/>
        <v>0</v>
      </c>
      <c r="L56">
        <f t="shared" si="6"/>
        <v>0</v>
      </c>
      <c r="M56">
        <f t="shared" si="6"/>
        <v>0</v>
      </c>
      <c r="N56">
        <f t="shared" si="7"/>
        <v>0</v>
      </c>
      <c r="O56">
        <f t="shared" si="7"/>
        <v>0</v>
      </c>
      <c r="P56">
        <f t="shared" si="7"/>
        <v>0</v>
      </c>
      <c r="Q56">
        <f t="shared" si="7"/>
        <v>0</v>
      </c>
      <c r="S56" s="5"/>
    </row>
    <row r="57" spans="2:19">
      <c r="B57" s="4" t="s">
        <v>1413</v>
      </c>
      <c r="D57" t="s">
        <v>1432</v>
      </c>
      <c r="F57" t="s">
        <v>1099</v>
      </c>
      <c r="G57" t="s">
        <v>705</v>
      </c>
      <c r="H57">
        <v>0</v>
      </c>
      <c r="I57">
        <f t="shared" si="4"/>
        <v>0</v>
      </c>
      <c r="J57">
        <f t="shared" si="4"/>
        <v>0</v>
      </c>
      <c r="K57">
        <f t="shared" si="4"/>
        <v>0</v>
      </c>
      <c r="L57">
        <f t="shared" si="6"/>
        <v>0</v>
      </c>
      <c r="M57">
        <f t="shared" si="6"/>
        <v>0</v>
      </c>
      <c r="N57">
        <f t="shared" si="7"/>
        <v>0</v>
      </c>
      <c r="O57">
        <f t="shared" si="7"/>
        <v>0</v>
      </c>
      <c r="P57">
        <f t="shared" si="7"/>
        <v>0</v>
      </c>
      <c r="Q57">
        <f t="shared" si="7"/>
        <v>0</v>
      </c>
      <c r="S57" s="5"/>
    </row>
    <row r="58" spans="2:19">
      <c r="B58" s="4" t="s">
        <v>1411</v>
      </c>
      <c r="D58" t="s">
        <v>1432</v>
      </c>
      <c r="F58" t="s">
        <v>1099</v>
      </c>
      <c r="G58" t="s">
        <v>705</v>
      </c>
      <c r="H58">
        <v>0</v>
      </c>
      <c r="I58">
        <f t="shared" si="4"/>
        <v>0</v>
      </c>
      <c r="J58">
        <f t="shared" si="4"/>
        <v>0</v>
      </c>
      <c r="K58">
        <f t="shared" si="4"/>
        <v>0</v>
      </c>
      <c r="L58">
        <f t="shared" si="6"/>
        <v>0</v>
      </c>
      <c r="M58">
        <f t="shared" si="6"/>
        <v>0</v>
      </c>
      <c r="N58">
        <f t="shared" si="7"/>
        <v>0</v>
      </c>
      <c r="O58">
        <f t="shared" si="7"/>
        <v>0</v>
      </c>
      <c r="P58">
        <f t="shared" si="7"/>
        <v>0</v>
      </c>
      <c r="Q58">
        <f t="shared" si="7"/>
        <v>0</v>
      </c>
      <c r="S58" s="5"/>
    </row>
    <row r="59" spans="2:19">
      <c r="B59" s="4" t="s">
        <v>1407</v>
      </c>
      <c r="D59" t="s">
        <v>1431</v>
      </c>
      <c r="F59" t="s">
        <v>1099</v>
      </c>
      <c r="G59" t="s">
        <v>705</v>
      </c>
      <c r="H59">
        <v>0</v>
      </c>
      <c r="I59">
        <f t="shared" si="4"/>
        <v>0</v>
      </c>
      <c r="J59">
        <f t="shared" si="4"/>
        <v>0</v>
      </c>
      <c r="K59">
        <f t="shared" si="4"/>
        <v>0</v>
      </c>
      <c r="L59">
        <f t="shared" si="6"/>
        <v>0</v>
      </c>
      <c r="M59">
        <f t="shared" si="6"/>
        <v>0</v>
      </c>
      <c r="N59">
        <f t="shared" si="7"/>
        <v>0</v>
      </c>
      <c r="O59">
        <f t="shared" si="7"/>
        <v>0</v>
      </c>
      <c r="P59">
        <f t="shared" si="7"/>
        <v>0</v>
      </c>
      <c r="Q59">
        <f t="shared" si="7"/>
        <v>0</v>
      </c>
      <c r="S59" s="5"/>
    </row>
    <row r="60" spans="2:19">
      <c r="B60" s="4" t="s">
        <v>1405</v>
      </c>
      <c r="D60" t="s">
        <v>1431</v>
      </c>
      <c r="F60" t="s">
        <v>1099</v>
      </c>
      <c r="G60" t="s">
        <v>705</v>
      </c>
      <c r="H60">
        <v>0</v>
      </c>
      <c r="I60">
        <f t="shared" si="4"/>
        <v>0</v>
      </c>
      <c r="J60">
        <f t="shared" si="4"/>
        <v>0</v>
      </c>
      <c r="K60">
        <f t="shared" si="4"/>
        <v>0</v>
      </c>
      <c r="L60">
        <f t="shared" si="6"/>
        <v>0</v>
      </c>
      <c r="M60">
        <f t="shared" si="6"/>
        <v>0</v>
      </c>
      <c r="N60">
        <f t="shared" si="7"/>
        <v>0</v>
      </c>
      <c r="O60">
        <f t="shared" si="7"/>
        <v>0</v>
      </c>
      <c r="P60">
        <f t="shared" si="7"/>
        <v>0</v>
      </c>
      <c r="Q60">
        <f t="shared" si="7"/>
        <v>0</v>
      </c>
      <c r="S60" s="5"/>
    </row>
    <row r="61" spans="2:19">
      <c r="B61" t="s">
        <v>1397</v>
      </c>
      <c r="D61" t="s">
        <v>1432</v>
      </c>
      <c r="F61" t="s">
        <v>1099</v>
      </c>
      <c r="G61" t="s">
        <v>705</v>
      </c>
      <c r="H61">
        <v>0</v>
      </c>
      <c r="I61">
        <f t="shared" si="4"/>
        <v>0</v>
      </c>
      <c r="J61">
        <f t="shared" si="4"/>
        <v>0</v>
      </c>
      <c r="K61">
        <f t="shared" si="4"/>
        <v>0</v>
      </c>
      <c r="L61">
        <f t="shared" si="6"/>
        <v>0</v>
      </c>
      <c r="M61">
        <f t="shared" si="6"/>
        <v>0</v>
      </c>
      <c r="N61">
        <f t="shared" si="7"/>
        <v>0</v>
      </c>
      <c r="O61">
        <f t="shared" si="7"/>
        <v>0</v>
      </c>
      <c r="P61">
        <f t="shared" si="7"/>
        <v>0</v>
      </c>
      <c r="Q61">
        <f t="shared" si="7"/>
        <v>0</v>
      </c>
      <c r="S61" s="5"/>
    </row>
    <row r="62" spans="2:19">
      <c r="B62" t="s">
        <v>1394</v>
      </c>
      <c r="D62" t="s">
        <v>1431</v>
      </c>
      <c r="F62" t="s">
        <v>1099</v>
      </c>
      <c r="G62" t="s">
        <v>705</v>
      </c>
      <c r="H62">
        <v>0</v>
      </c>
      <c r="I62">
        <f t="shared" si="4"/>
        <v>0</v>
      </c>
      <c r="J62">
        <f t="shared" si="4"/>
        <v>0</v>
      </c>
      <c r="K62">
        <f t="shared" si="4"/>
        <v>0</v>
      </c>
      <c r="L62">
        <f t="shared" si="6"/>
        <v>0</v>
      </c>
      <c r="M62">
        <f t="shared" si="6"/>
        <v>0</v>
      </c>
      <c r="N62">
        <f t="shared" si="7"/>
        <v>0</v>
      </c>
      <c r="O62">
        <f t="shared" si="7"/>
        <v>0</v>
      </c>
      <c r="P62">
        <f t="shared" si="7"/>
        <v>0</v>
      </c>
      <c r="Q62">
        <f t="shared" si="7"/>
        <v>0</v>
      </c>
      <c r="S62" s="5"/>
    </row>
    <row r="63" spans="2:19">
      <c r="B63" s="4"/>
      <c r="S63" s="5"/>
    </row>
    <row r="64" spans="2:19">
      <c r="B64" s="4"/>
      <c r="E64" s="653" t="s">
        <v>1517</v>
      </c>
      <c r="F64" s="653" t="s">
        <v>1516</v>
      </c>
      <c r="S64" s="5"/>
    </row>
    <row r="65" spans="2:19">
      <c r="B65" s="652" t="s">
        <v>1515</v>
      </c>
      <c r="E65" s="113" t="str">
        <f>IF(AND(B4,B5="PAMS"),"FX","UP")</f>
        <v>UP</v>
      </c>
      <c r="F65" s="113">
        <f>IF(AND(B5="PAMS",pamsindex),3,0)</f>
        <v>0</v>
      </c>
      <c r="S65" s="5"/>
    </row>
    <row r="66" spans="2:19">
      <c r="B66" s="4"/>
      <c r="S66" s="5"/>
    </row>
    <row r="67" spans="2:19">
      <c r="B67" s="630"/>
      <c r="C67" s="113"/>
      <c r="D67" s="113"/>
      <c r="E67" s="113"/>
      <c r="F67" s="113"/>
      <c r="G67" s="113"/>
      <c r="J67" s="113"/>
      <c r="S67" s="5"/>
    </row>
    <row r="68" spans="2:19">
      <c r="B68" s="651"/>
      <c r="C68" s="449"/>
      <c r="D68" s="449"/>
      <c r="E68" s="449"/>
      <c r="F68" s="449"/>
      <c r="G68" s="449"/>
      <c r="H68" s="449"/>
      <c r="I68" s="449"/>
      <c r="J68" s="449"/>
      <c r="K68" s="8"/>
      <c r="L68" s="8"/>
      <c r="M68" s="8"/>
      <c r="N68" s="8"/>
      <c r="O68" s="8"/>
      <c r="P68" s="8"/>
      <c r="Q68" s="8"/>
      <c r="R68" s="8"/>
      <c r="S68" s="9"/>
    </row>
    <row r="69" spans="2:19">
      <c r="B69" s="113"/>
      <c r="C69" s="113"/>
      <c r="D69" s="113"/>
      <c r="E69" s="113"/>
      <c r="F69" s="113"/>
      <c r="G69" s="113"/>
      <c r="H69" s="113"/>
      <c r="I69" s="113"/>
      <c r="J69" s="113"/>
    </row>
  </sheetData>
  <dataValidations count="1"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>
      <selection activeCell="B10" sqref="B10"/>
    </sheetView>
  </sheetViews>
  <sheetFormatPr defaultRowHeight="12.75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>
      <c r="P1" s="555">
        <v>11.914999999999999</v>
      </c>
      <c r="Q1" s="572" t="s">
        <v>1031</v>
      </c>
    </row>
    <row r="2" spans="2:24">
      <c r="B2" s="567" t="s">
        <v>1030</v>
      </c>
    </row>
    <row r="3" spans="2:24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>
      <c r="B4" s="560"/>
      <c r="I4" s="567" t="s">
        <v>1029</v>
      </c>
      <c r="P4" s="567" t="s">
        <v>1028</v>
      </c>
      <c r="X4" s="559"/>
    </row>
    <row r="5" spans="2:24">
      <c r="B5" s="561" t="s">
        <v>1027</v>
      </c>
      <c r="I5" s="571" t="s">
        <v>1026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1025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>
      <c r="B7" s="560"/>
      <c r="E7" s="559"/>
      <c r="I7" s="561" t="s">
        <v>532</v>
      </c>
      <c r="J7" s="555">
        <v>500</v>
      </c>
      <c r="K7" s="555">
        <v>400</v>
      </c>
      <c r="L7" s="555">
        <v>200</v>
      </c>
      <c r="N7" s="559"/>
      <c r="P7" s="561" t="s">
        <v>789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>
      <c r="B8" s="563" t="s">
        <v>1024</v>
      </c>
      <c r="E8" s="559"/>
      <c r="I8" s="561" t="s">
        <v>533</v>
      </c>
      <c r="J8" s="555">
        <v>1372</v>
      </c>
      <c r="K8" s="555">
        <v>850</v>
      </c>
      <c r="L8" s="555">
        <v>700</v>
      </c>
      <c r="N8" s="559"/>
      <c r="P8" s="561" t="s">
        <v>743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>
      <c r="B9" s="564">
        <f>B33</f>
        <v>2028</v>
      </c>
      <c r="E9" s="559"/>
      <c r="I9" s="561" t="s">
        <v>1016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1023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>
      <c r="B10" s="560"/>
      <c r="E10" s="559"/>
      <c r="I10" s="560"/>
      <c r="N10" s="559"/>
      <c r="P10" s="560"/>
      <c r="U10" s="559"/>
      <c r="X10" s="559"/>
    </row>
    <row r="11" spans="2:24">
      <c r="B11" s="563" t="s">
        <v>1022</v>
      </c>
      <c r="E11" s="559"/>
      <c r="I11" s="560"/>
      <c r="N11" s="559"/>
      <c r="P11" s="560"/>
      <c r="U11" s="559"/>
      <c r="X11" s="559"/>
    </row>
    <row r="12" spans="2:24">
      <c r="B12" s="564" t="s">
        <v>1016</v>
      </c>
      <c r="E12" s="559"/>
      <c r="I12" s="563" t="s">
        <v>1021</v>
      </c>
      <c r="N12" s="559"/>
      <c r="P12" s="560"/>
      <c r="U12" s="559"/>
      <c r="X12" s="559"/>
    </row>
    <row r="13" spans="2:24">
      <c r="B13" s="560"/>
      <c r="E13" s="559"/>
      <c r="I13" s="560"/>
      <c r="N13" s="559"/>
      <c r="P13" s="560"/>
      <c r="U13" s="559"/>
      <c r="X13" s="559"/>
    </row>
    <row r="14" spans="2:24">
      <c r="B14" s="563" t="s">
        <v>1020</v>
      </c>
      <c r="E14" s="559"/>
      <c r="I14" s="561" t="s">
        <v>532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>
      <c r="B15" s="564" t="s">
        <v>1016</v>
      </c>
      <c r="E15" s="559"/>
      <c r="I15" s="561" t="s">
        <v>533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>
      <c r="B16" s="560"/>
      <c r="E16" s="559"/>
      <c r="I16" s="561" t="s">
        <v>1016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>
      <c r="B17" s="563" t="s">
        <v>1019</v>
      </c>
      <c r="E17" s="559"/>
      <c r="I17" s="560"/>
      <c r="N17" s="559"/>
      <c r="P17" s="560"/>
      <c r="U17" s="559"/>
      <c r="X17" s="559"/>
    </row>
    <row r="18" spans="2:24">
      <c r="B18" s="564" t="s">
        <v>1016</v>
      </c>
      <c r="E18" s="559"/>
      <c r="I18" s="563" t="s">
        <v>1018</v>
      </c>
      <c r="N18" s="559"/>
      <c r="P18" s="560"/>
      <c r="U18" s="559"/>
      <c r="X18" s="559"/>
    </row>
    <row r="19" spans="2:24">
      <c r="B19" s="560"/>
      <c r="E19" s="559"/>
      <c r="I19" s="561" t="s">
        <v>1017</v>
      </c>
      <c r="N19" s="559"/>
      <c r="P19" s="560"/>
      <c r="U19" s="559"/>
      <c r="X19" s="559"/>
    </row>
    <row r="20" spans="2:24">
      <c r="B20" s="558"/>
      <c r="C20" s="557"/>
      <c r="D20" s="557"/>
      <c r="E20" s="556"/>
      <c r="I20" s="561" t="s">
        <v>532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>
      <c r="B21" s="560"/>
      <c r="I21" s="561" t="s">
        <v>533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>
      <c r="B22" s="560"/>
      <c r="I22" s="561" t="s">
        <v>1016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>
      <c r="B23" s="560"/>
      <c r="I23" s="560"/>
      <c r="N23" s="559"/>
      <c r="P23" s="560"/>
      <c r="U23" s="559"/>
      <c r="X23" s="559"/>
    </row>
    <row r="24" spans="2:24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>
      <c r="B25" s="560"/>
      <c r="X25" s="559"/>
    </row>
    <row r="26" spans="2:24">
      <c r="B26" s="560"/>
      <c r="X26" s="559"/>
    </row>
    <row r="27" spans="2:24">
      <c r="B27" s="560"/>
      <c r="X27" s="559"/>
    </row>
    <row r="28" spans="2:24">
      <c r="B28" s="560"/>
      <c r="X28" s="559"/>
    </row>
    <row r="29" spans="2:24">
      <c r="B29" s="560"/>
      <c r="X29" s="559"/>
    </row>
    <row r="30" spans="2:24">
      <c r="B30" s="563" t="s">
        <v>1565</v>
      </c>
      <c r="X30" s="559"/>
    </row>
    <row r="31" spans="2:24">
      <c r="B31" s="563"/>
      <c r="X31" s="559"/>
    </row>
    <row r="32" spans="2:24">
      <c r="B32" s="561" t="s">
        <v>1566</v>
      </c>
      <c r="X32" s="559"/>
    </row>
    <row r="33" spans="2:24">
      <c r="B33" s="560">
        <v>2028</v>
      </c>
      <c r="C33" s="572" t="s">
        <v>1567</v>
      </c>
      <c r="X33" s="559"/>
    </row>
    <row r="34" spans="2:24">
      <c r="B34" s="560"/>
      <c r="C34" s="572"/>
      <c r="X34" s="559"/>
    </row>
    <row r="35" spans="2:24">
      <c r="B35" s="560">
        <v>2032</v>
      </c>
      <c r="C35" s="572" t="s">
        <v>1572</v>
      </c>
      <c r="X35" s="559"/>
    </row>
    <row r="36" spans="2:24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workbookViewId="0"/>
  </sheetViews>
  <sheetFormatPr defaultRowHeight="1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>
      <c r="C2" t="s">
        <v>805</v>
      </c>
      <c r="D2">
        <f>'Summary Hydrogen DRI'!J2</f>
        <v>120</v>
      </c>
      <c r="E2" t="str">
        <f>'Summary Hydrogen DRI'!K2</f>
        <v>MJ/kg</v>
      </c>
      <c r="J2" t="s">
        <v>1127</v>
      </c>
    </row>
    <row r="3" spans="1:45">
      <c r="J3" s="15" t="s">
        <v>1128</v>
      </c>
      <c r="K3" s="16"/>
      <c r="L3" s="16" t="s">
        <v>1129</v>
      </c>
      <c r="M3" s="16"/>
      <c r="N3" s="3"/>
      <c r="P3" t="s">
        <v>998</v>
      </c>
      <c r="Q3" s="552"/>
      <c r="R3">
        <v>1.1499999999999999</v>
      </c>
      <c r="S3" s="132" t="s">
        <v>819</v>
      </c>
    </row>
    <row r="4" spans="1:45">
      <c r="J4" s="4">
        <v>2020</v>
      </c>
      <c r="L4">
        <v>12.5</v>
      </c>
      <c r="N4" s="5"/>
    </row>
    <row r="5" spans="1:45">
      <c r="J5" s="4">
        <v>2019</v>
      </c>
      <c r="L5">
        <v>11.914999999999999</v>
      </c>
      <c r="N5" s="5"/>
    </row>
    <row r="6" spans="1:45">
      <c r="J6" s="4">
        <v>2018</v>
      </c>
      <c r="L6">
        <v>11.78</v>
      </c>
      <c r="N6" s="5"/>
    </row>
    <row r="10" spans="1:45" ht="23.25">
      <c r="A10" s="428" t="s">
        <v>1134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1124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>
      <c r="X11" s="578"/>
    </row>
    <row r="12" spans="1:45">
      <c r="B12" s="579"/>
      <c r="C12" s="579"/>
      <c r="D12" s="579" t="s">
        <v>1137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1114</v>
      </c>
    </row>
    <row r="15" spans="1:45" ht="21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779</v>
      </c>
      <c r="AM16" t="s">
        <v>780</v>
      </c>
    </row>
    <row r="17" spans="2:40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781</v>
      </c>
    </row>
    <row r="18" spans="2:40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782</v>
      </c>
    </row>
    <row r="19" spans="2:40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783</v>
      </c>
      <c r="AN19" t="s">
        <v>784</v>
      </c>
    </row>
    <row r="20" spans="2:40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785</v>
      </c>
    </row>
    <row r="21" spans="2:40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786</v>
      </c>
    </row>
    <row r="22" spans="2:40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>
      <c r="X42" s="578"/>
    </row>
    <row r="43" spans="2:24">
      <c r="X43" s="578"/>
    </row>
    <row r="44" spans="2:24">
      <c r="X44" s="578"/>
    </row>
    <row r="45" spans="2:24">
      <c r="X45" s="578"/>
    </row>
    <row r="46" spans="2:24">
      <c r="X46" s="578"/>
    </row>
    <row r="47" spans="2:24">
      <c r="X47" s="578"/>
    </row>
    <row r="48" spans="2:24">
      <c r="X48" s="578"/>
    </row>
    <row r="49" spans="2:36">
      <c r="X49" s="578"/>
    </row>
    <row r="50" spans="2:36">
      <c r="X50" s="578"/>
    </row>
    <row r="51" spans="2:36">
      <c r="X51" s="578"/>
    </row>
    <row r="52" spans="2:36">
      <c r="X52" s="578"/>
    </row>
    <row r="53" spans="2:36" ht="15.75">
      <c r="B53" s="580" t="s">
        <v>1133</v>
      </c>
      <c r="X53" s="578"/>
    </row>
    <row r="54" spans="2:36">
      <c r="X54" s="578"/>
    </row>
    <row r="55" spans="2:36">
      <c r="X55" s="578"/>
    </row>
    <row r="56" spans="2:36">
      <c r="C56" s="5"/>
      <c r="D56" s="686" t="s">
        <v>787</v>
      </c>
      <c r="E56" s="687"/>
      <c r="F56" s="688"/>
      <c r="G56" s="686" t="s">
        <v>793</v>
      </c>
      <c r="H56" s="687"/>
      <c r="I56" s="688"/>
      <c r="X56" s="578"/>
    </row>
    <row r="57" spans="2:36">
      <c r="B57" s="8"/>
      <c r="C57" s="9" t="s">
        <v>1117</v>
      </c>
      <c r="D57" s="11" t="s">
        <v>788</v>
      </c>
      <c r="E57" s="11">
        <v>2030</v>
      </c>
      <c r="F57" s="502" t="s">
        <v>1115</v>
      </c>
      <c r="G57" s="11" t="s">
        <v>788</v>
      </c>
      <c r="H57" s="11">
        <v>2030</v>
      </c>
      <c r="I57" s="502" t="s">
        <v>1115</v>
      </c>
      <c r="X57" s="578"/>
      <c r="AB57" s="5"/>
      <c r="AC57" t="s">
        <v>787</v>
      </c>
      <c r="AE57" s="5"/>
      <c r="AF57" t="s">
        <v>793</v>
      </c>
      <c r="AH57" s="5"/>
    </row>
    <row r="58" spans="2:36">
      <c r="B58" s="683" t="s">
        <v>1119</v>
      </c>
      <c r="C58" s="5" t="s">
        <v>790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1117</v>
      </c>
      <c r="AC58" s="8" t="s">
        <v>788</v>
      </c>
      <c r="AD58" s="8">
        <v>2030</v>
      </c>
      <c r="AE58" s="9" t="s">
        <v>1115</v>
      </c>
      <c r="AF58" s="8" t="s">
        <v>788</v>
      </c>
      <c r="AG58" s="8">
        <v>2030</v>
      </c>
      <c r="AH58" s="9" t="s">
        <v>1115</v>
      </c>
      <c r="AI58" s="443"/>
      <c r="AJ58" s="443"/>
    </row>
    <row r="59" spans="2:36">
      <c r="B59" s="684"/>
      <c r="C59" s="5" t="s">
        <v>792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1119</v>
      </c>
      <c r="AB59" s="5" t="s">
        <v>790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>
      <c r="B60" s="685"/>
      <c r="C60" s="9" t="s">
        <v>1016</v>
      </c>
      <c r="D60" s="586">
        <f t="shared" ref="D60:I60" si="0">AVERAGE(D58:D59)</f>
        <v>0.58000000000000007</v>
      </c>
      <c r="E60" s="282">
        <f t="shared" si="0"/>
        <v>0.65500000000000003</v>
      </c>
      <c r="F60" s="284">
        <f t="shared" si="0"/>
        <v>0.70500000000000007</v>
      </c>
      <c r="G60" s="282">
        <f t="shared" si="0"/>
        <v>0.66500000000000004</v>
      </c>
      <c r="H60" s="282">
        <f t="shared" si="0"/>
        <v>0.67999999999999994</v>
      </c>
      <c r="I60" s="284">
        <f t="shared" si="0"/>
        <v>0.75</v>
      </c>
      <c r="X60" s="578"/>
      <c r="AB60" s="5" t="s">
        <v>792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>
      <c r="B61" s="683" t="s">
        <v>1135</v>
      </c>
      <c r="C61" s="5" t="s">
        <v>790</v>
      </c>
      <c r="D61" s="588">
        <f t="shared" ref="D61:I63" si="1">AC62*$L$5</f>
        <v>13106.499999999998</v>
      </c>
      <c r="E61" s="134">
        <f t="shared" si="1"/>
        <v>7744.7499999999991</v>
      </c>
      <c r="F61" s="141">
        <f t="shared" si="1"/>
        <v>2383</v>
      </c>
      <c r="G61" s="134">
        <f t="shared" si="1"/>
        <v>5957.5</v>
      </c>
      <c r="H61" s="134">
        <f t="shared" si="1"/>
        <v>4766</v>
      </c>
      <c r="I61" s="141">
        <f t="shared" si="1"/>
        <v>2383</v>
      </c>
      <c r="L61" t="s">
        <v>1136</v>
      </c>
      <c r="X61" s="578"/>
      <c r="AA61" s="8"/>
      <c r="AB61" s="9" t="s">
        <v>1016</v>
      </c>
      <c r="AC61" s="282">
        <f t="shared" ref="AC61:AH61" si="2">AVERAGE(AC59:AC60)</f>
        <v>0.58000000000000007</v>
      </c>
      <c r="AD61" s="282">
        <f t="shared" si="2"/>
        <v>0.65500000000000003</v>
      </c>
      <c r="AE61" s="284">
        <f t="shared" si="2"/>
        <v>0.70500000000000007</v>
      </c>
      <c r="AF61" s="282">
        <f t="shared" si="2"/>
        <v>0.66500000000000004</v>
      </c>
      <c r="AG61" s="282">
        <f t="shared" si="2"/>
        <v>0.67999999999999994</v>
      </c>
      <c r="AH61" s="284">
        <f t="shared" si="2"/>
        <v>0.75</v>
      </c>
    </row>
    <row r="62" spans="2:36">
      <c r="B62" s="684"/>
      <c r="C62" s="5" t="s">
        <v>792</v>
      </c>
      <c r="D62" s="588">
        <f t="shared" si="1"/>
        <v>21447</v>
      </c>
      <c r="E62" s="134">
        <f t="shared" si="1"/>
        <v>17872.5</v>
      </c>
      <c r="F62" s="141">
        <f t="shared" si="1"/>
        <v>10723.5</v>
      </c>
      <c r="G62" s="134">
        <f t="shared" si="1"/>
        <v>16681</v>
      </c>
      <c r="H62" s="134">
        <f t="shared" si="1"/>
        <v>10127.75</v>
      </c>
      <c r="I62" s="141">
        <f t="shared" si="1"/>
        <v>8340.5</v>
      </c>
      <c r="X62" s="578"/>
      <c r="AA62" t="s">
        <v>1118</v>
      </c>
      <c r="AB62" s="5" t="s">
        <v>790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>
      <c r="B63" s="685"/>
      <c r="C63" s="9" t="s">
        <v>1016</v>
      </c>
      <c r="D63" s="134">
        <f t="shared" si="1"/>
        <v>17276.75</v>
      </c>
      <c r="E63" s="134">
        <f t="shared" si="1"/>
        <v>12808.624999999998</v>
      </c>
      <c r="F63" s="141">
        <f t="shared" si="1"/>
        <v>6553.2499999999991</v>
      </c>
      <c r="G63" s="134">
        <f t="shared" si="1"/>
        <v>11319.25</v>
      </c>
      <c r="H63" s="134">
        <f t="shared" si="1"/>
        <v>7446.8749999999991</v>
      </c>
      <c r="I63" s="141">
        <f t="shared" si="1"/>
        <v>5361.75</v>
      </c>
      <c r="X63" s="578"/>
      <c r="AB63" s="5" t="s">
        <v>792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>
      <c r="B64" s="683" t="s">
        <v>1120</v>
      </c>
      <c r="C64" s="5" t="s">
        <v>790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1016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>
      <c r="B65" s="684"/>
      <c r="C65" s="5" t="s">
        <v>792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1120</v>
      </c>
      <c r="AB65" s="5" t="s">
        <v>790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>
      <c r="B66" s="685"/>
      <c r="C66" s="9" t="s">
        <v>1016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78"/>
      <c r="AB66" s="5" t="s">
        <v>792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>
      <c r="X67" s="578"/>
      <c r="AA67" s="8"/>
      <c r="AB67" s="9" t="s">
        <v>1016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>
      <c r="X68" s="578"/>
      <c r="AJ68" s="367"/>
      <c r="AK68" s="367"/>
    </row>
    <row r="69" spans="2:37">
      <c r="X69" s="578"/>
      <c r="AJ69" s="367"/>
      <c r="AK69" s="367"/>
    </row>
    <row r="70" spans="2:37">
      <c r="X70" s="578"/>
    </row>
    <row r="71" spans="2:37">
      <c r="X71" s="578"/>
    </row>
    <row r="72" spans="2:37" ht="21">
      <c r="X72" s="578"/>
      <c r="Z72" s="495" t="s">
        <v>1121</v>
      </c>
    </row>
    <row r="73" spans="2:37">
      <c r="X73" s="578"/>
      <c r="AA73" s="496"/>
    </row>
    <row r="74" spans="2:37">
      <c r="X74" s="578"/>
      <c r="AA74" s="11" t="s">
        <v>796</v>
      </c>
      <c r="AB74" s="8"/>
      <c r="AC74" s="8"/>
    </row>
    <row r="75" spans="2:37">
      <c r="X75" s="578"/>
      <c r="AA75" t="s">
        <v>797</v>
      </c>
    </row>
    <row r="76" spans="2:37">
      <c r="X76" s="578"/>
      <c r="AA76" s="132" t="s">
        <v>798</v>
      </c>
    </row>
    <row r="77" spans="2:37">
      <c r="X77" s="578"/>
    </row>
    <row r="78" spans="2:37">
      <c r="X78" s="578"/>
      <c r="AA78" t="s">
        <v>799</v>
      </c>
    </row>
    <row r="79" spans="2:37">
      <c r="X79" s="578"/>
      <c r="AA79">
        <v>500</v>
      </c>
      <c r="AB79" t="s">
        <v>800</v>
      </c>
    </row>
    <row r="80" spans="2:37">
      <c r="X80" s="578"/>
      <c r="AA80" t="s">
        <v>801</v>
      </c>
      <c r="AB80" t="s">
        <v>802</v>
      </c>
    </row>
    <row r="81" spans="24:28">
      <c r="X81" s="578"/>
      <c r="AA81">
        <v>516</v>
      </c>
      <c r="AB81" t="s">
        <v>803</v>
      </c>
    </row>
    <row r="82" spans="24:28">
      <c r="X82" s="578"/>
    </row>
    <row r="83" spans="24:28">
      <c r="X83" s="578"/>
    </row>
    <row r="84" spans="24:28">
      <c r="X84" s="578"/>
    </row>
    <row r="85" spans="24:28">
      <c r="X85" s="578"/>
    </row>
    <row r="86" spans="24:28">
      <c r="X86" s="578"/>
      <c r="AA86" s="367"/>
    </row>
    <row r="87" spans="24:28">
      <c r="X87" s="578"/>
    </row>
    <row r="88" spans="24:28">
      <c r="X88" s="578"/>
      <c r="AA88" s="497"/>
    </row>
    <row r="89" spans="24:28">
      <c r="X89" s="578"/>
    </row>
    <row r="90" spans="24:28">
      <c r="X90" s="578"/>
    </row>
    <row r="91" spans="24:28">
      <c r="X91" s="578"/>
    </row>
    <row r="92" spans="24:28">
      <c r="X92" s="578"/>
    </row>
    <row r="93" spans="24:28">
      <c r="X93" s="578"/>
    </row>
    <row r="94" spans="24:28">
      <c r="X94" s="578"/>
    </row>
    <row r="95" spans="24:28">
      <c r="X95" s="578"/>
    </row>
    <row r="96" spans="24:28">
      <c r="X96" s="578"/>
    </row>
    <row r="97" spans="2:33">
      <c r="X97" s="578"/>
    </row>
    <row r="98" spans="2:33">
      <c r="X98" s="578"/>
    </row>
    <row r="99" spans="2:33">
      <c r="X99" s="578"/>
    </row>
    <row r="100" spans="2:33">
      <c r="X100" s="578"/>
    </row>
    <row r="101" spans="2:33">
      <c r="X101" s="578"/>
    </row>
    <row r="102" spans="2:33" ht="15.75">
      <c r="B102" s="580" t="s">
        <v>1132</v>
      </c>
      <c r="X102" s="578"/>
    </row>
    <row r="103" spans="2:33">
      <c r="X103" s="578"/>
      <c r="AA103" t="s">
        <v>804</v>
      </c>
    </row>
    <row r="104" spans="2:33">
      <c r="X104" s="578"/>
    </row>
    <row r="105" spans="2:33">
      <c r="B105" s="131"/>
      <c r="C105" s="150">
        <v>2020</v>
      </c>
      <c r="D105" s="150">
        <v>2030</v>
      </c>
      <c r="E105" s="150">
        <v>2050</v>
      </c>
      <c r="F105" s="150" t="s">
        <v>675</v>
      </c>
      <c r="G105" s="150" t="s">
        <v>426</v>
      </c>
      <c r="X105" s="578"/>
      <c r="AA105">
        <f>L6</f>
        <v>11.78</v>
      </c>
      <c r="AB105" t="s">
        <v>1130</v>
      </c>
    </row>
    <row r="106" spans="2:33">
      <c r="B106" s="131" t="s">
        <v>1131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1152</v>
      </c>
      <c r="G106" s="591" t="s">
        <v>1125</v>
      </c>
      <c r="I106" s="529">
        <v>0.1</v>
      </c>
      <c r="X106" s="578"/>
      <c r="AA106" s="494">
        <f>AA81*AA105</f>
        <v>6078.48</v>
      </c>
      <c r="AB106" t="s">
        <v>806</v>
      </c>
      <c r="AF106">
        <v>9.1999999999999998E-3</v>
      </c>
      <c r="AG106" t="s">
        <v>142</v>
      </c>
    </row>
    <row r="107" spans="2:33">
      <c r="B107" s="131" t="s">
        <v>743</v>
      </c>
      <c r="C107" s="131">
        <v>20</v>
      </c>
      <c r="D107" s="131"/>
      <c r="E107" s="131"/>
      <c r="F107" s="131" t="s">
        <v>757</v>
      </c>
      <c r="G107" s="131" t="s">
        <v>929</v>
      </c>
      <c r="H107" s="367"/>
      <c r="X107" s="578"/>
      <c r="AA107" s="349">
        <f>AA106/D2</f>
        <v>50.653999999999996</v>
      </c>
      <c r="AB107" t="s">
        <v>807</v>
      </c>
      <c r="AF107" s="426">
        <f>AF106*AB109</f>
        <v>312.23125599999992</v>
      </c>
      <c r="AG107" t="s">
        <v>808</v>
      </c>
    </row>
    <row r="108" spans="2:33">
      <c r="B108" s="131" t="s">
        <v>1126</v>
      </c>
      <c r="C108" s="131">
        <f>AA117*3.6/D2</f>
        <v>3.0000000000000002E-2</v>
      </c>
      <c r="D108" s="131"/>
      <c r="E108" s="131"/>
      <c r="F108" s="131" t="s">
        <v>1153</v>
      </c>
      <c r="G108" s="131"/>
      <c r="X108" s="578"/>
      <c r="AA108" s="136">
        <v>2020</v>
      </c>
      <c r="AB108" s="136">
        <v>2030</v>
      </c>
    </row>
    <row r="109" spans="2:33">
      <c r="B109" s="131" t="s">
        <v>1023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987</v>
      </c>
      <c r="G109" s="131" t="s">
        <v>1154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809</v>
      </c>
      <c r="AF109" s="397"/>
    </row>
    <row r="110" spans="2:33">
      <c r="B110" s="131" t="s">
        <v>789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810</v>
      </c>
    </row>
    <row r="111" spans="2:33">
      <c r="X111" s="578"/>
      <c r="AF111" s="497"/>
    </row>
    <row r="112" spans="2:33">
      <c r="X112" s="578"/>
    </row>
    <row r="113" spans="2:39">
      <c r="X113" s="578"/>
      <c r="AA113" s="136" t="s">
        <v>796</v>
      </c>
    </row>
    <row r="114" spans="2:39">
      <c r="X114" s="578"/>
      <c r="AA114" t="s">
        <v>811</v>
      </c>
    </row>
    <row r="115" spans="2:39">
      <c r="X115" s="578"/>
      <c r="AA115" s="132" t="s">
        <v>812</v>
      </c>
    </row>
    <row r="116" spans="2:39">
      <c r="X116" s="578"/>
      <c r="AA116" t="s">
        <v>991</v>
      </c>
    </row>
    <row r="117" spans="2:39">
      <c r="X117" s="578"/>
      <c r="AA117">
        <v>1</v>
      </c>
      <c r="AB117" t="s">
        <v>992</v>
      </c>
    </row>
    <row r="118" spans="2:39">
      <c r="X118" s="578"/>
      <c r="AB118" t="s">
        <v>994</v>
      </c>
    </row>
    <row r="119" spans="2:39">
      <c r="X119" s="578"/>
    </row>
    <row r="120" spans="2:39" ht="21">
      <c r="B120" s="580" t="s">
        <v>1138</v>
      </c>
      <c r="X120" s="578"/>
      <c r="Z120" s="495" t="s">
        <v>1123</v>
      </c>
    </row>
    <row r="121" spans="2:39" ht="21">
      <c r="X121" s="578"/>
      <c r="Z121" s="495"/>
    </row>
    <row r="122" spans="2:39">
      <c r="B122" s="131"/>
      <c r="C122" s="131"/>
      <c r="D122" s="150" t="s">
        <v>1150</v>
      </c>
      <c r="E122" s="150" t="s">
        <v>675</v>
      </c>
      <c r="F122" s="150" t="s">
        <v>1151</v>
      </c>
      <c r="X122" s="578"/>
      <c r="AA122" s="500" t="s">
        <v>813</v>
      </c>
      <c r="AB122" s="500"/>
      <c r="AC122" s="500"/>
      <c r="AD122" s="500"/>
    </row>
    <row r="123" spans="2:39">
      <c r="B123" s="131" t="s">
        <v>777</v>
      </c>
      <c r="C123" s="131" t="s">
        <v>1116</v>
      </c>
      <c r="D123" s="389">
        <f>AK131*R3*L6</f>
        <v>3115.81</v>
      </c>
      <c r="E123" s="131" t="s">
        <v>1144</v>
      </c>
      <c r="F123" s="131"/>
      <c r="X123" s="578"/>
      <c r="AA123" t="s">
        <v>814</v>
      </c>
    </row>
    <row r="124" spans="2:39">
      <c r="B124" s="131"/>
      <c r="C124" s="131" t="s">
        <v>1139</v>
      </c>
      <c r="D124" s="389">
        <f>'AMSA reports'!O13/2</f>
        <v>725.14525500322793</v>
      </c>
      <c r="E124" s="131" t="s">
        <v>483</v>
      </c>
      <c r="F124" s="131" t="s">
        <v>1145</v>
      </c>
      <c r="X124" s="578"/>
      <c r="AA124" t="s">
        <v>815</v>
      </c>
      <c r="AH124" t="s">
        <v>816</v>
      </c>
    </row>
    <row r="125" spans="2:39">
      <c r="B125" s="131"/>
      <c r="C125" s="131" t="s">
        <v>827</v>
      </c>
      <c r="D125" s="389">
        <f>D123*H125</f>
        <v>155.79050000000001</v>
      </c>
      <c r="E125" s="131" t="s">
        <v>483</v>
      </c>
      <c r="F125" s="131" t="s">
        <v>1155</v>
      </c>
      <c r="H125" s="529">
        <v>0.05</v>
      </c>
      <c r="X125" s="578"/>
      <c r="AH125" t="s">
        <v>817</v>
      </c>
      <c r="AI125">
        <v>1.1499999999999999</v>
      </c>
      <c r="AJ125" t="s">
        <v>818</v>
      </c>
      <c r="AK125" s="132" t="s">
        <v>819</v>
      </c>
    </row>
    <row r="126" spans="2:39" ht="21">
      <c r="B126" s="131"/>
      <c r="C126" s="131" t="s">
        <v>743</v>
      </c>
      <c r="D126" s="131">
        <v>20</v>
      </c>
      <c r="E126" s="131" t="s">
        <v>745</v>
      </c>
      <c r="F126" s="131"/>
      <c r="X126" s="578"/>
      <c r="Z126" s="495"/>
    </row>
    <row r="127" spans="2:39" ht="21">
      <c r="B127" s="131" t="s">
        <v>834</v>
      </c>
      <c r="C127" s="131" t="s">
        <v>1140</v>
      </c>
      <c r="D127" s="581">
        <f>AK137/1000</f>
        <v>1.504</v>
      </c>
      <c r="E127" s="131" t="s">
        <v>1142</v>
      </c>
      <c r="F127" s="131"/>
      <c r="X127" s="578"/>
      <c r="Z127" s="495"/>
    </row>
    <row r="128" spans="2:39" ht="21">
      <c r="B128" s="131"/>
      <c r="C128" s="131" t="s">
        <v>839</v>
      </c>
      <c r="D128" s="131">
        <f>AK136*D2*1000000/1000000000</f>
        <v>6.12</v>
      </c>
      <c r="E128" s="131" t="s">
        <v>1143</v>
      </c>
      <c r="F128" s="131"/>
      <c r="X128" s="578"/>
      <c r="Z128" s="501"/>
      <c r="AA128" s="11" t="s">
        <v>820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821</v>
      </c>
      <c r="AJ128" s="8"/>
      <c r="AK128" s="8"/>
      <c r="AL128" s="8"/>
      <c r="AM128" s="8"/>
    </row>
    <row r="129" spans="2:44">
      <c r="B129" s="131"/>
      <c r="C129" s="131" t="s">
        <v>1141</v>
      </c>
      <c r="D129" s="582">
        <f>AE216*3.6/1.5</f>
        <v>0.74400000000000022</v>
      </c>
      <c r="E129" s="582" t="s">
        <v>1143</v>
      </c>
      <c r="F129" s="131"/>
      <c r="X129" s="578"/>
      <c r="Z129" s="5"/>
      <c r="AD129" s="5"/>
      <c r="AH129" s="5"/>
      <c r="AO129" t="s">
        <v>822</v>
      </c>
    </row>
    <row r="130" spans="2:44">
      <c r="X130" s="578"/>
      <c r="Z130" s="5"/>
      <c r="AA130" t="s">
        <v>675</v>
      </c>
      <c r="AD130" s="5" t="s">
        <v>823</v>
      </c>
      <c r="AE130" t="s">
        <v>144</v>
      </c>
      <c r="AH130" s="5" t="s">
        <v>823</v>
      </c>
      <c r="AI130" t="s">
        <v>144</v>
      </c>
      <c r="AO130">
        <v>120</v>
      </c>
      <c r="AP130" t="s">
        <v>434</v>
      </c>
    </row>
    <row r="131" spans="2:44">
      <c r="X131" s="578"/>
      <c r="Z131" s="3" t="s">
        <v>771</v>
      </c>
      <c r="AA131" s="16" t="s">
        <v>824</v>
      </c>
      <c r="AB131" s="16"/>
      <c r="AC131" s="503">
        <v>0.58499999999999996</v>
      </c>
      <c r="AD131" s="3" t="s">
        <v>825</v>
      </c>
      <c r="AE131" s="504" t="s">
        <v>826</v>
      </c>
      <c r="AF131" s="16"/>
      <c r="AG131" s="503">
        <v>184</v>
      </c>
      <c r="AH131" s="3"/>
      <c r="AI131" s="504" t="s">
        <v>826</v>
      </c>
      <c r="AJ131" s="16"/>
      <c r="AK131" s="503">
        <v>230</v>
      </c>
      <c r="AL131" s="16"/>
      <c r="AM131" s="16"/>
    </row>
    <row r="132" spans="2:44">
      <c r="X132" s="578"/>
      <c r="Z132" s="505" t="s">
        <v>827</v>
      </c>
      <c r="AA132" s="504" t="s">
        <v>828</v>
      </c>
      <c r="AB132" s="504"/>
      <c r="AC132" s="506">
        <v>0.03</v>
      </c>
      <c r="AD132" s="505"/>
      <c r="AE132" s="504" t="s">
        <v>828</v>
      </c>
      <c r="AF132" s="504"/>
      <c r="AG132" s="506">
        <v>0.03</v>
      </c>
      <c r="AH132" s="505"/>
      <c r="AI132" s="504" t="s">
        <v>829</v>
      </c>
      <c r="AJ132" s="504"/>
      <c r="AK132" s="506">
        <v>0.03</v>
      </c>
      <c r="AL132" s="504"/>
      <c r="AM132" s="504"/>
    </row>
    <row r="133" spans="2:44" ht="15.75">
      <c r="B133" s="580" t="s">
        <v>372</v>
      </c>
      <c r="D133" s="136"/>
      <c r="E133" s="136"/>
      <c r="F133" s="136"/>
      <c r="X133" s="578"/>
      <c r="Z133" s="5" t="s">
        <v>701</v>
      </c>
      <c r="AD133" s="5"/>
      <c r="AE133" t="s">
        <v>826</v>
      </c>
      <c r="AG133">
        <v>53</v>
      </c>
      <c r="AH133" s="5" t="s">
        <v>830</v>
      </c>
    </row>
    <row r="134" spans="2:44">
      <c r="B134" s="131"/>
      <c r="C134" s="131"/>
      <c r="D134" s="150" t="s">
        <v>1150</v>
      </c>
      <c r="E134" s="150" t="s">
        <v>675</v>
      </c>
      <c r="F134" s="150" t="s">
        <v>1151</v>
      </c>
      <c r="X134" s="578"/>
      <c r="Z134" s="5" t="s">
        <v>831</v>
      </c>
      <c r="AD134" s="5"/>
      <c r="AE134" s="504" t="s">
        <v>826</v>
      </c>
      <c r="AG134">
        <v>8</v>
      </c>
      <c r="AH134" s="5" t="s">
        <v>832</v>
      </c>
      <c r="AO134" s="15" t="s">
        <v>833</v>
      </c>
      <c r="AP134" s="16"/>
      <c r="AQ134" s="16"/>
      <c r="AR134" s="3"/>
    </row>
    <row r="135" spans="2:44">
      <c r="B135" s="131" t="s">
        <v>777</v>
      </c>
      <c r="C135" s="131" t="s">
        <v>1116</v>
      </c>
      <c r="D135" s="583">
        <f>AG131*AI125*L6</f>
        <v>2492.6479999999997</v>
      </c>
      <c r="E135" s="131" t="s">
        <v>1146</v>
      </c>
      <c r="F135" s="131"/>
      <c r="X135" s="578"/>
      <c r="Z135" s="9" t="s">
        <v>834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835</v>
      </c>
      <c r="AR135" s="5"/>
    </row>
    <row r="136" spans="2:44">
      <c r="B136" s="131"/>
      <c r="C136" s="131" t="s">
        <v>1139</v>
      </c>
      <c r="D136" s="583">
        <f>D124</f>
        <v>725.14525500322793</v>
      </c>
      <c r="E136" s="131" t="s">
        <v>1147</v>
      </c>
      <c r="F136" s="131" t="s">
        <v>1148</v>
      </c>
      <c r="X136" s="578"/>
      <c r="Z136" s="5"/>
      <c r="AB136" t="s">
        <v>233</v>
      </c>
      <c r="AD136" s="5"/>
      <c r="AE136" t="s">
        <v>836</v>
      </c>
      <c r="AF136" t="s">
        <v>837</v>
      </c>
      <c r="AG136" s="507">
        <f>AG142*AO140</f>
        <v>1</v>
      </c>
      <c r="AH136" s="5"/>
      <c r="AI136" t="s">
        <v>838</v>
      </c>
      <c r="AJ136" t="s">
        <v>839</v>
      </c>
      <c r="AK136" s="500">
        <v>51</v>
      </c>
      <c r="AL136" t="s">
        <v>840</v>
      </c>
      <c r="AM136">
        <f>AK136/(AK137/1000)</f>
        <v>33.909574468085104</v>
      </c>
      <c r="AN136" t="s">
        <v>841</v>
      </c>
      <c r="AO136" s="4">
        <v>0</v>
      </c>
      <c r="AP136">
        <v>1</v>
      </c>
      <c r="AQ136" t="s">
        <v>842</v>
      </c>
      <c r="AR136" s="5"/>
    </row>
    <row r="137" spans="2:44">
      <c r="B137" s="131"/>
      <c r="C137" s="131" t="s">
        <v>827</v>
      </c>
      <c r="D137" s="583">
        <f>D135*$F$137</f>
        <v>124.63239999999999</v>
      </c>
      <c r="E137" s="131" t="s">
        <v>1147</v>
      </c>
      <c r="F137" s="529">
        <v>0.05</v>
      </c>
      <c r="X137" s="578"/>
      <c r="Z137" s="5"/>
      <c r="AA137" t="s">
        <v>142</v>
      </c>
      <c r="AB137" t="s">
        <v>14</v>
      </c>
      <c r="AC137">
        <f>AC142/AC146</f>
        <v>1.3888888888888888</v>
      </c>
      <c r="AD137" s="5" t="s">
        <v>843</v>
      </c>
      <c r="AE137" t="s">
        <v>844</v>
      </c>
      <c r="AF137" t="s">
        <v>14</v>
      </c>
      <c r="AG137">
        <f>AO137+AO140*AP138</f>
        <v>0.753</v>
      </c>
      <c r="AH137" s="5" t="s">
        <v>845</v>
      </c>
      <c r="AI137" t="s">
        <v>838</v>
      </c>
      <c r="AJ137" t="s">
        <v>246</v>
      </c>
      <c r="AK137" s="500">
        <v>1504</v>
      </c>
      <c r="AL137" s="508"/>
      <c r="AO137" s="509">
        <v>0.66700000000000004</v>
      </c>
      <c r="AP137" s="500">
        <v>0.753</v>
      </c>
      <c r="AQ137" t="s">
        <v>844</v>
      </c>
      <c r="AR137" s="5"/>
    </row>
    <row r="138" spans="2:44">
      <c r="B138" s="131"/>
      <c r="C138" s="131" t="s">
        <v>743</v>
      </c>
      <c r="D138" s="131">
        <v>20</v>
      </c>
      <c r="E138" s="131" t="s">
        <v>745</v>
      </c>
      <c r="F138" s="131" t="s">
        <v>1149</v>
      </c>
      <c r="X138" s="578"/>
      <c r="Z138" s="5"/>
      <c r="AD138" s="5"/>
      <c r="AE138" t="s">
        <v>838</v>
      </c>
      <c r="AF138" t="s">
        <v>846</v>
      </c>
      <c r="AG138" s="500">
        <v>50</v>
      </c>
      <c r="AH138" s="5"/>
      <c r="AI138" t="s">
        <v>847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848</v>
      </c>
      <c r="AR138" s="9"/>
    </row>
    <row r="139" spans="2:44">
      <c r="B139" s="131" t="s">
        <v>778</v>
      </c>
      <c r="C139" s="131" t="s">
        <v>20</v>
      </c>
      <c r="D139" s="131">
        <f>AG136</f>
        <v>1</v>
      </c>
      <c r="E139" s="131" t="s">
        <v>189</v>
      </c>
      <c r="F139" s="131"/>
      <c r="X139" s="578"/>
      <c r="Z139" s="5"/>
      <c r="AD139" s="5"/>
      <c r="AE139" t="s">
        <v>836</v>
      </c>
      <c r="AF139" t="s">
        <v>849</v>
      </c>
      <c r="AG139" s="507">
        <f>AG136*(1-AO140)/AO140</f>
        <v>0</v>
      </c>
      <c r="AH139" s="5" t="s">
        <v>850</v>
      </c>
    </row>
    <row r="140" spans="2:44">
      <c r="B140" s="131"/>
      <c r="C140" s="131" t="s">
        <v>14</v>
      </c>
      <c r="D140" s="581">
        <f>AG137*1000000*J140</f>
        <v>2.7107999999999999</v>
      </c>
      <c r="E140" s="131" t="s">
        <v>542</v>
      </c>
      <c r="F140" s="131"/>
      <c r="I140" t="s">
        <v>893</v>
      </c>
      <c r="J140">
        <f>1000000*3600/1000000000000000</f>
        <v>3.5999999999999998E-6</v>
      </c>
      <c r="K140" t="s">
        <v>894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851</v>
      </c>
      <c r="AQ140" s="507"/>
      <c r="AR140" s="507"/>
    </row>
    <row r="141" spans="2:44">
      <c r="B141" s="131" t="s">
        <v>393</v>
      </c>
      <c r="C141" s="614" t="s">
        <v>1178</v>
      </c>
      <c r="D141" s="131">
        <v>0.08</v>
      </c>
      <c r="E141" s="614" t="s">
        <v>1251</v>
      </c>
      <c r="F141" s="614" t="s">
        <v>1252</v>
      </c>
      <c r="X141" s="578"/>
      <c r="Z141" s="9" t="s">
        <v>852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>
      <c r="X142" s="578"/>
      <c r="Z142" s="5"/>
      <c r="AA142" t="s">
        <v>142</v>
      </c>
      <c r="AB142" t="s">
        <v>839</v>
      </c>
      <c r="AC142" s="507">
        <v>1</v>
      </c>
      <c r="AD142" s="5"/>
      <c r="AE142" t="s">
        <v>853</v>
      </c>
      <c r="AF142" t="s">
        <v>854</v>
      </c>
      <c r="AG142" s="507">
        <v>1</v>
      </c>
      <c r="AH142" s="5"/>
      <c r="AI142" t="s">
        <v>855</v>
      </c>
      <c r="AJ142" t="s">
        <v>837</v>
      </c>
      <c r="AK142" s="507">
        <v>1000</v>
      </c>
      <c r="AO142" t="s">
        <v>856</v>
      </c>
      <c r="AP142">
        <v>1.5</v>
      </c>
      <c r="AQ142" t="s">
        <v>857</v>
      </c>
    </row>
    <row r="143" spans="2:44">
      <c r="X143" s="578"/>
      <c r="Z143" s="5"/>
      <c r="AB143" t="s">
        <v>688</v>
      </c>
      <c r="AD143" s="5"/>
      <c r="AH143" s="5"/>
      <c r="AI143" t="s">
        <v>855</v>
      </c>
      <c r="AJ143" t="s">
        <v>839</v>
      </c>
    </row>
    <row r="144" spans="2:44">
      <c r="X144" s="578"/>
      <c r="Z144" s="5"/>
      <c r="AA144" t="s">
        <v>855</v>
      </c>
      <c r="AB144" t="s">
        <v>839</v>
      </c>
      <c r="AD144" s="5"/>
      <c r="AH144" s="5"/>
      <c r="AJ144" t="s">
        <v>233</v>
      </c>
    </row>
    <row r="145" spans="2:41">
      <c r="X145" s="578"/>
      <c r="Z145" s="9"/>
      <c r="AA145" s="8"/>
      <c r="AB145" s="8" t="s">
        <v>688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858</v>
      </c>
    </row>
    <row r="146" spans="2:41">
      <c r="X146" s="578"/>
      <c r="Z146" s="5" t="s">
        <v>789</v>
      </c>
      <c r="AB146" t="s">
        <v>859</v>
      </c>
      <c r="AC146" s="511">
        <v>0.72</v>
      </c>
      <c r="AD146" s="5" t="s">
        <v>860</v>
      </c>
      <c r="AH146" s="5"/>
      <c r="AN146">
        <f>AN145/1000</f>
        <v>2.7108000000000003</v>
      </c>
      <c r="AO146" t="s">
        <v>148</v>
      </c>
    </row>
    <row r="147" spans="2:41">
      <c r="X147" s="578"/>
      <c r="Z147" s="5" t="s">
        <v>743</v>
      </c>
      <c r="AA147" t="s">
        <v>745</v>
      </c>
      <c r="AC147">
        <v>10</v>
      </c>
      <c r="AD147" s="5"/>
      <c r="AE147" t="s">
        <v>757</v>
      </c>
      <c r="AG147">
        <v>20</v>
      </c>
      <c r="AH147" s="5"/>
      <c r="AI147" t="s">
        <v>757</v>
      </c>
      <c r="AK147">
        <v>20</v>
      </c>
    </row>
    <row r="148" spans="2:41">
      <c r="B148" s="136" t="s">
        <v>1539</v>
      </c>
      <c r="X148" s="578"/>
    </row>
    <row r="149" spans="2:41">
      <c r="X149" s="578"/>
      <c r="AK149" s="512"/>
    </row>
    <row r="150" spans="2:41">
      <c r="B150" t="s">
        <v>1540</v>
      </c>
      <c r="D150">
        <f>AA241</f>
        <v>342.83333333333331</v>
      </c>
      <c r="E150" t="str">
        <f>AB241</f>
        <v>$/tonne in 2019</v>
      </c>
      <c r="H150">
        <v>11.915367840506187</v>
      </c>
      <c r="I150" t="s">
        <v>1541</v>
      </c>
      <c r="X150" s="578"/>
    </row>
    <row r="151" spans="2:41">
      <c r="D151" s="133">
        <f>D150*$H$150</f>
        <v>4084.9852746535375</v>
      </c>
      <c r="E151" s="133" t="s">
        <v>1542</v>
      </c>
      <c r="X151" s="578"/>
    </row>
    <row r="152" spans="2:41">
      <c r="X152" s="578"/>
      <c r="AO152" s="512"/>
    </row>
    <row r="153" spans="2:41">
      <c r="X153" s="578"/>
    </row>
    <row r="154" spans="2:41">
      <c r="X154" s="578"/>
    </row>
    <row r="155" spans="2:41">
      <c r="X155" s="578"/>
    </row>
    <row r="156" spans="2:41">
      <c r="X156" s="578"/>
    </row>
    <row r="157" spans="2:41">
      <c r="X157" s="578"/>
    </row>
    <row r="158" spans="2:41">
      <c r="X158" s="578"/>
    </row>
    <row r="159" spans="2:41">
      <c r="X159" s="578"/>
    </row>
    <row r="160" spans="2:41">
      <c r="X160" s="578"/>
    </row>
    <row r="161" spans="24:24">
      <c r="X161" s="578"/>
    </row>
    <row r="162" spans="24:24">
      <c r="X162" s="578"/>
    </row>
    <row r="163" spans="24:24">
      <c r="X163" s="578"/>
    </row>
    <row r="164" spans="24:24">
      <c r="X164" s="578"/>
    </row>
    <row r="165" spans="24:24">
      <c r="X165" s="578"/>
    </row>
    <row r="166" spans="24:24">
      <c r="X166" s="578"/>
    </row>
    <row r="167" spans="24:24">
      <c r="X167" s="578"/>
    </row>
    <row r="168" spans="24:24">
      <c r="X168" s="578"/>
    </row>
    <row r="169" spans="24:24">
      <c r="X169" s="578"/>
    </row>
    <row r="170" spans="24:24">
      <c r="X170" s="578"/>
    </row>
    <row r="171" spans="24:24">
      <c r="X171" s="578"/>
    </row>
    <row r="172" spans="24:24">
      <c r="X172" s="578"/>
    </row>
    <row r="173" spans="24:24">
      <c r="X173" s="578"/>
    </row>
    <row r="174" spans="24:24">
      <c r="X174" s="578"/>
    </row>
    <row r="175" spans="24:24">
      <c r="X175" s="578"/>
    </row>
    <row r="176" spans="24:24">
      <c r="X176" s="578"/>
    </row>
    <row r="177" spans="24:33">
      <c r="X177" s="578"/>
    </row>
    <row r="178" spans="24:33">
      <c r="X178" s="578"/>
    </row>
    <row r="179" spans="24:33">
      <c r="X179" s="578"/>
    </row>
    <row r="180" spans="24:33">
      <c r="X180" s="578"/>
    </row>
    <row r="181" spans="24:33">
      <c r="X181" s="578"/>
      <c r="AB181" t="s">
        <v>886</v>
      </c>
      <c r="AC181" t="s">
        <v>887</v>
      </c>
    </row>
    <row r="182" spans="24:33">
      <c r="X182" s="578"/>
      <c r="AA182" t="s">
        <v>194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>
      <c r="X183" s="578"/>
      <c r="AA183" t="s">
        <v>888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1122</v>
      </c>
    </row>
    <row r="184" spans="24:33">
      <c r="X184" s="578"/>
      <c r="AA184" t="s">
        <v>889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>
      <c r="X185" s="578"/>
      <c r="AA185" t="s">
        <v>890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>
      <c r="X186" s="578"/>
      <c r="AA186" t="s">
        <v>891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>
      <c r="X187" s="578"/>
    </row>
    <row r="188" spans="24:33">
      <c r="X188" s="578"/>
    </row>
    <row r="189" spans="24:33">
      <c r="X189" s="578"/>
    </row>
    <row r="190" spans="24:33">
      <c r="X190" s="578"/>
    </row>
    <row r="191" spans="24:33">
      <c r="X191" s="578"/>
    </row>
    <row r="192" spans="24:33">
      <c r="X192" s="578"/>
    </row>
    <row r="193" spans="24:24">
      <c r="X193" s="578"/>
    </row>
    <row r="194" spans="24:24">
      <c r="X194" s="578"/>
    </row>
    <row r="195" spans="24:24">
      <c r="X195" s="578"/>
    </row>
    <row r="196" spans="24:24">
      <c r="X196" s="578"/>
    </row>
    <row r="197" spans="24:24">
      <c r="X197" s="578"/>
    </row>
    <row r="198" spans="24:24">
      <c r="X198" s="578"/>
    </row>
    <row r="199" spans="24:24">
      <c r="X199" s="578"/>
    </row>
    <row r="200" spans="24:24">
      <c r="X200" s="578"/>
    </row>
    <row r="201" spans="24:24">
      <c r="X201" s="578"/>
    </row>
    <row r="202" spans="24:24">
      <c r="X202" s="578"/>
    </row>
    <row r="203" spans="24:24">
      <c r="X203" s="578"/>
    </row>
    <row r="204" spans="24:24">
      <c r="X204" s="578"/>
    </row>
    <row r="205" spans="24:24">
      <c r="X205" s="578"/>
    </row>
    <row r="206" spans="24:24">
      <c r="X206" s="578"/>
    </row>
    <row r="207" spans="24:24">
      <c r="X207" s="578"/>
    </row>
    <row r="208" spans="24:24">
      <c r="X208" s="578"/>
    </row>
    <row r="209" spans="24:40">
      <c r="X209" s="578"/>
      <c r="AB209" t="s">
        <v>868</v>
      </c>
    </row>
    <row r="210" spans="24:40">
      <c r="X210" s="578"/>
      <c r="AB210" t="s">
        <v>873</v>
      </c>
      <c r="AC210" s="367" t="s">
        <v>874</v>
      </c>
      <c r="AD210" s="367"/>
      <c r="AE210" s="367"/>
      <c r="AF210" s="367"/>
      <c r="AG210" s="367"/>
      <c r="AH210" s="367"/>
    </row>
    <row r="211" spans="24:40">
      <c r="X211" s="578"/>
      <c r="AB211" s="367">
        <v>1</v>
      </c>
      <c r="AC211">
        <v>0.66700000000000004</v>
      </c>
    </row>
    <row r="212" spans="24:40">
      <c r="X212" s="578"/>
      <c r="AB212" s="367">
        <v>0</v>
      </c>
      <c r="AC212">
        <v>3.48</v>
      </c>
      <c r="AG212" s="421">
        <f>AC212-AC215</f>
        <v>0.75999999999999979</v>
      </c>
      <c r="AH212" t="s">
        <v>879</v>
      </c>
    </row>
    <row r="213" spans="24:40">
      <c r="X213" s="578"/>
      <c r="AB213" s="367">
        <v>0.2</v>
      </c>
      <c r="AC213">
        <v>2.16</v>
      </c>
      <c r="AD213" t="s">
        <v>880</v>
      </c>
      <c r="AG213">
        <f>AC216</f>
        <v>2.41</v>
      </c>
      <c r="AH213" t="s">
        <v>881</v>
      </c>
      <c r="AJ213" s="137">
        <f>AG213/AG214</f>
        <v>0.69252873563218398</v>
      </c>
    </row>
    <row r="214" spans="24:40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882</v>
      </c>
    </row>
    <row r="215" spans="24:40">
      <c r="X215" s="578"/>
      <c r="AB215" s="367">
        <v>0</v>
      </c>
      <c r="AC215">
        <v>2.72</v>
      </c>
      <c r="AG215">
        <f>AC217</f>
        <v>2.9</v>
      </c>
      <c r="AH215" t="s">
        <v>884</v>
      </c>
    </row>
    <row r="216" spans="24:40">
      <c r="X216" s="578"/>
      <c r="AB216" s="367">
        <v>0</v>
      </c>
      <c r="AC216">
        <v>2.41</v>
      </c>
      <c r="AE216" s="355">
        <f>AC215-AC216</f>
        <v>0.31000000000000005</v>
      </c>
      <c r="AF216" t="s">
        <v>885</v>
      </c>
    </row>
    <row r="217" spans="24:40">
      <c r="X217" s="578"/>
      <c r="AB217" s="367">
        <v>0.2</v>
      </c>
      <c r="AC217">
        <v>2.9</v>
      </c>
    </row>
    <row r="218" spans="24:40">
      <c r="X218" s="578"/>
    </row>
    <row r="219" spans="24:40">
      <c r="X219" s="578"/>
    </row>
    <row r="220" spans="24:40">
      <c r="X220" s="578"/>
      <c r="AK220" s="513"/>
    </row>
    <row r="221" spans="24:40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>
      <c r="X222" s="578"/>
    </row>
    <row r="223" spans="24:40">
      <c r="X223" s="578"/>
      <c r="Z223" t="s">
        <v>863</v>
      </c>
    </row>
    <row r="224" spans="24:40">
      <c r="X224" s="578"/>
      <c r="Z224">
        <v>30.6</v>
      </c>
      <c r="AA224" t="s">
        <v>864</v>
      </c>
      <c r="AB224" s="132" t="s">
        <v>865</v>
      </c>
    </row>
    <row r="225" spans="24:38">
      <c r="X225" s="578"/>
      <c r="Z225">
        <f>Z224*AK228</f>
        <v>489.6</v>
      </c>
      <c r="AA225" t="s">
        <v>866</v>
      </c>
      <c r="AK225" t="s">
        <v>867</v>
      </c>
    </row>
    <row r="226" spans="24:38">
      <c r="X226" s="578"/>
    </row>
    <row r="227" spans="24:38">
      <c r="X227" s="578"/>
      <c r="Z227" t="s">
        <v>869</v>
      </c>
      <c r="AK227" t="s">
        <v>871</v>
      </c>
      <c r="AL227" t="s">
        <v>872</v>
      </c>
    </row>
    <row r="228" spans="24:38">
      <c r="X228" s="578"/>
      <c r="Z228" t="s">
        <v>875</v>
      </c>
      <c r="AK228">
        <v>16</v>
      </c>
      <c r="AL228">
        <v>2018</v>
      </c>
    </row>
    <row r="229" spans="24:38">
      <c r="X229" s="578"/>
      <c r="Z229">
        <v>135</v>
      </c>
      <c r="AA229" t="s">
        <v>876</v>
      </c>
      <c r="AB229">
        <v>405</v>
      </c>
      <c r="AC229" t="s">
        <v>877</v>
      </c>
      <c r="AD229" s="132" t="s">
        <v>878</v>
      </c>
    </row>
    <row r="230" spans="24:38">
      <c r="X230" s="578"/>
      <c r="Z230">
        <f>(Z229+AB229)/2</f>
        <v>270</v>
      </c>
      <c r="AA230" t="s">
        <v>794</v>
      </c>
    </row>
    <row r="231" spans="24:38">
      <c r="X231" s="578"/>
    </row>
    <row r="232" spans="24:38">
      <c r="X232" s="578"/>
      <c r="Z232">
        <f>Z230*1000/(12*20*8)</f>
        <v>140.625</v>
      </c>
      <c r="AA232" t="s">
        <v>883</v>
      </c>
    </row>
    <row r="233" spans="24:38">
      <c r="X233" s="578"/>
    </row>
    <row r="234" spans="24:38">
      <c r="X234" s="578"/>
    </row>
    <row r="235" spans="24:38">
      <c r="X235" s="578"/>
    </row>
    <row r="236" spans="24:38">
      <c r="X236" s="578"/>
    </row>
    <row r="237" spans="24:38">
      <c r="X237" s="578"/>
    </row>
    <row r="238" spans="24:38">
      <c r="X238" s="578"/>
      <c r="Z238" s="11" t="s">
        <v>1530</v>
      </c>
      <c r="AA238" s="8"/>
      <c r="AB238" s="8"/>
      <c r="AC238" s="8"/>
      <c r="AD238" s="8"/>
      <c r="AE238" s="8"/>
      <c r="AF238" s="8"/>
    </row>
    <row r="239" spans="24:38">
      <c r="X239" s="578"/>
      <c r="Z239" s="132" t="s">
        <v>1531</v>
      </c>
    </row>
    <row r="240" spans="24:38">
      <c r="X240" s="578"/>
    </row>
    <row r="241" spans="24:31">
      <c r="X241" s="578"/>
      <c r="Z241" t="s">
        <v>1532</v>
      </c>
      <c r="AA241">
        <f>AVERAGE(AB292:AB303)</f>
        <v>342.83333333333331</v>
      </c>
      <c r="AB241" t="s">
        <v>1533</v>
      </c>
    </row>
    <row r="242" spans="24:31">
      <c r="X242" s="578"/>
      <c r="AB242" s="682" t="s">
        <v>1534</v>
      </c>
      <c r="AC242" s="682"/>
      <c r="AD242" s="682"/>
      <c r="AE242" t="s">
        <v>1535</v>
      </c>
    </row>
    <row r="243" spans="24:31" ht="15.75" thickBot="1">
      <c r="X243" s="578"/>
      <c r="AB243" t="s">
        <v>1532</v>
      </c>
      <c r="AC243" t="s">
        <v>1536</v>
      </c>
      <c r="AD243" t="s">
        <v>1537</v>
      </c>
      <c r="AE243" t="s">
        <v>1538</v>
      </c>
    </row>
    <row r="244" spans="24:31" ht="15.75" thickBot="1">
      <c r="X244" s="578"/>
      <c r="Z244" s="664">
        <v>2015</v>
      </c>
      <c r="AA244" s="664">
        <v>1</v>
      </c>
      <c r="AB244" s="664">
        <v>389</v>
      </c>
      <c r="AC244" s="664">
        <v>365</v>
      </c>
      <c r="AD244" s="664">
        <v>320</v>
      </c>
      <c r="AE244" s="664">
        <v>390</v>
      </c>
    </row>
    <row r="245" spans="24:31" ht="15.75" thickBot="1">
      <c r="X245" s="578"/>
      <c r="Z245" s="664">
        <v>2015</v>
      </c>
      <c r="AA245" s="664">
        <v>2</v>
      </c>
      <c r="AB245" s="664">
        <v>342</v>
      </c>
      <c r="AC245" s="664">
        <v>351</v>
      </c>
      <c r="AD245" s="664">
        <v>306</v>
      </c>
      <c r="AE245" s="664">
        <v>414</v>
      </c>
    </row>
    <row r="246" spans="24:31" ht="15.75" thickBot="1">
      <c r="X246" s="578"/>
      <c r="Z246" s="664">
        <v>2015</v>
      </c>
      <c r="AA246" s="664">
        <v>3</v>
      </c>
      <c r="AB246" s="664">
        <v>338</v>
      </c>
      <c r="AC246" s="664">
        <v>313</v>
      </c>
      <c r="AD246" s="664">
        <v>280</v>
      </c>
      <c r="AE246" s="664">
        <v>340</v>
      </c>
    </row>
    <row r="247" spans="24:31" ht="15.75" thickBot="1">
      <c r="X247" s="578"/>
      <c r="Z247" s="664">
        <v>2015</v>
      </c>
      <c r="AA247" s="664">
        <v>4</v>
      </c>
      <c r="AB247" s="664">
        <v>291</v>
      </c>
      <c r="AC247" s="664">
        <v>288</v>
      </c>
      <c r="AD247" s="664">
        <v>238</v>
      </c>
      <c r="AE247" s="664">
        <v>330</v>
      </c>
    </row>
    <row r="248" spans="24:31" ht="15.75" thickBot="1">
      <c r="X248" s="578"/>
      <c r="Z248" s="664">
        <v>2015</v>
      </c>
      <c r="AA248" s="664">
        <v>5</v>
      </c>
      <c r="AB248" s="664">
        <v>278</v>
      </c>
      <c r="AC248" s="664">
        <v>283</v>
      </c>
      <c r="AD248" s="664">
        <v>247</v>
      </c>
      <c r="AE248" s="664">
        <v>325</v>
      </c>
    </row>
    <row r="249" spans="24:31" ht="15.75" thickBot="1">
      <c r="X249" s="578"/>
      <c r="Z249" s="664">
        <v>2015</v>
      </c>
      <c r="AA249" s="664">
        <v>6</v>
      </c>
      <c r="AB249" s="664">
        <v>259</v>
      </c>
      <c r="AC249" s="664">
        <v>258</v>
      </c>
      <c r="AD249" s="664">
        <v>252</v>
      </c>
      <c r="AE249" s="664">
        <v>299</v>
      </c>
    </row>
    <row r="250" spans="24:31" ht="15.75" thickBot="1">
      <c r="X250" s="578"/>
      <c r="Z250" s="664">
        <v>2015</v>
      </c>
      <c r="AA250" s="664">
        <v>7</v>
      </c>
      <c r="AB250" s="664">
        <v>279</v>
      </c>
      <c r="AC250" s="664">
        <v>253</v>
      </c>
      <c r="AD250" s="664">
        <v>252</v>
      </c>
      <c r="AE250" s="664">
        <v>316</v>
      </c>
    </row>
    <row r="251" spans="24:31" ht="15.75" thickBot="1">
      <c r="X251" s="578"/>
      <c r="Z251" s="664">
        <v>2015</v>
      </c>
      <c r="AA251" s="664">
        <v>8</v>
      </c>
      <c r="AB251" s="664">
        <v>264</v>
      </c>
      <c r="AC251" s="664">
        <v>273</v>
      </c>
      <c r="AD251" s="664">
        <v>243</v>
      </c>
      <c r="AE251" s="664">
        <v>301</v>
      </c>
    </row>
    <row r="252" spans="24:31" ht="15.75" thickBot="1">
      <c r="X252" s="578"/>
      <c r="Z252" s="664">
        <v>2015</v>
      </c>
      <c r="AA252" s="664">
        <v>9</v>
      </c>
      <c r="AB252" s="664">
        <v>280</v>
      </c>
      <c r="AC252" s="664">
        <v>233</v>
      </c>
      <c r="AD252" s="664">
        <v>228</v>
      </c>
      <c r="AE252" s="664">
        <v>295</v>
      </c>
    </row>
    <row r="253" spans="24:31" ht="15.75" thickBot="1">
      <c r="X253" s="578"/>
      <c r="Z253" s="664">
        <v>2015</v>
      </c>
      <c r="AA253" s="664">
        <v>10</v>
      </c>
      <c r="AB253" s="664">
        <v>246</v>
      </c>
      <c r="AC253" s="664">
        <v>255</v>
      </c>
      <c r="AD253" s="664">
        <v>209</v>
      </c>
      <c r="AE253" s="664">
        <v>265</v>
      </c>
    </row>
    <row r="254" spans="24:31" ht="15.75" thickBot="1">
      <c r="X254" s="578"/>
      <c r="Z254" s="664">
        <v>2015</v>
      </c>
      <c r="AA254" s="664">
        <v>11</v>
      </c>
      <c r="AB254" s="664">
        <v>222</v>
      </c>
      <c r="AC254" s="664">
        <v>201</v>
      </c>
      <c r="AD254" s="664">
        <v>184</v>
      </c>
      <c r="AE254" s="664">
        <v>213</v>
      </c>
    </row>
    <row r="255" spans="24:31" ht="15.75" thickBot="1">
      <c r="X255" s="578"/>
      <c r="Z255" s="664">
        <v>2015</v>
      </c>
      <c r="AA255" s="664">
        <v>12</v>
      </c>
      <c r="AB255" s="664">
        <v>181</v>
      </c>
      <c r="AC255" s="664">
        <v>174</v>
      </c>
      <c r="AD255" s="664">
        <v>169</v>
      </c>
      <c r="AE255" s="664">
        <v>204</v>
      </c>
    </row>
    <row r="256" spans="24:31" ht="15.75" thickBot="1">
      <c r="X256" s="578"/>
      <c r="Z256" s="664">
        <v>2016</v>
      </c>
      <c r="AA256" s="664">
        <v>1</v>
      </c>
      <c r="AB256" s="664">
        <v>252</v>
      </c>
      <c r="AC256" s="664">
        <v>203</v>
      </c>
      <c r="AD256" s="664">
        <v>167</v>
      </c>
      <c r="AE256" s="664">
        <v>215</v>
      </c>
    </row>
    <row r="257" spans="24:31" ht="15.75" thickBot="1">
      <c r="X257" s="578"/>
      <c r="Z257" s="664">
        <v>2016</v>
      </c>
      <c r="AA257" s="664">
        <v>2</v>
      </c>
      <c r="AB257" s="664">
        <v>214</v>
      </c>
      <c r="AC257" s="664">
        <v>199</v>
      </c>
      <c r="AD257" s="664">
        <v>164</v>
      </c>
      <c r="AE257" s="664">
        <v>209</v>
      </c>
    </row>
    <row r="258" spans="24:31" ht="15.75" thickBot="1">
      <c r="X258" s="578"/>
      <c r="Z258" s="664">
        <v>2016</v>
      </c>
      <c r="AA258" s="664">
        <v>3</v>
      </c>
      <c r="AB258" s="664">
        <v>198</v>
      </c>
      <c r="AC258" s="664">
        <v>182</v>
      </c>
      <c r="AD258" s="664">
        <v>175</v>
      </c>
      <c r="AE258" s="664">
        <v>211</v>
      </c>
    </row>
    <row r="259" spans="24:31" ht="15.75" thickBot="1">
      <c r="X259" s="578"/>
      <c r="Z259" s="664">
        <v>2016</v>
      </c>
      <c r="AA259" s="664">
        <v>4</v>
      </c>
      <c r="AB259" s="664">
        <v>212</v>
      </c>
      <c r="AC259" s="664">
        <v>195</v>
      </c>
      <c r="AD259" s="664">
        <v>184</v>
      </c>
      <c r="AE259" s="664">
        <v>237</v>
      </c>
    </row>
    <row r="260" spans="24:31" ht="15.75" thickBot="1">
      <c r="X260" s="578"/>
      <c r="Z260" s="664">
        <v>2016</v>
      </c>
      <c r="AA260" s="664">
        <v>5</v>
      </c>
      <c r="AB260" s="664">
        <v>212</v>
      </c>
      <c r="AC260" s="664">
        <v>202</v>
      </c>
      <c r="AD260" s="664">
        <v>227</v>
      </c>
      <c r="AE260" s="664">
        <v>247</v>
      </c>
    </row>
    <row r="261" spans="24:31" ht="15.75" thickBot="1">
      <c r="X261" s="578"/>
      <c r="Z261" s="664">
        <v>2016</v>
      </c>
      <c r="AA261" s="664">
        <v>6</v>
      </c>
      <c r="AB261" s="664">
        <v>225</v>
      </c>
      <c r="AC261" s="664">
        <v>224</v>
      </c>
      <c r="AD261" s="664">
        <v>229</v>
      </c>
      <c r="AE261" s="664">
        <v>278</v>
      </c>
    </row>
    <row r="262" spans="24:31" ht="15.75" thickBot="1">
      <c r="X262" s="578"/>
      <c r="Z262" s="664">
        <v>2016</v>
      </c>
      <c r="AA262" s="664">
        <v>7</v>
      </c>
      <c r="AB262" s="664">
        <v>261</v>
      </c>
      <c r="AC262" s="664">
        <v>248</v>
      </c>
      <c r="AD262" s="664">
        <v>246</v>
      </c>
      <c r="AE262" s="664">
        <v>259</v>
      </c>
    </row>
    <row r="263" spans="24:31" ht="15.75" thickBot="1">
      <c r="X263" s="578"/>
      <c r="Z263" s="664">
        <v>2016</v>
      </c>
      <c r="AA263" s="664">
        <v>8</v>
      </c>
      <c r="AB263" s="664">
        <v>272</v>
      </c>
      <c r="AC263" s="664">
        <v>273</v>
      </c>
      <c r="AD263" s="664">
        <v>230</v>
      </c>
      <c r="AE263" s="664">
        <v>271</v>
      </c>
    </row>
    <row r="264" spans="24:31" ht="15.75" thickBot="1">
      <c r="X264" s="578"/>
      <c r="Z264" s="664">
        <v>2016</v>
      </c>
      <c r="AA264" s="664">
        <v>9</v>
      </c>
      <c r="AB264" s="664">
        <v>261</v>
      </c>
      <c r="AC264" s="664">
        <v>241</v>
      </c>
      <c r="AD264" s="664">
        <v>226</v>
      </c>
      <c r="AE264" s="664">
        <v>261</v>
      </c>
    </row>
    <row r="265" spans="24:31" ht="15.75" thickBot="1">
      <c r="X265" s="578"/>
      <c r="Z265" s="664">
        <v>2016</v>
      </c>
      <c r="AA265" s="664">
        <v>10</v>
      </c>
      <c r="AB265" s="664">
        <v>266</v>
      </c>
      <c r="AC265" s="664">
        <v>257</v>
      </c>
      <c r="AD265" s="664">
        <v>229</v>
      </c>
      <c r="AE265" s="664">
        <v>272</v>
      </c>
    </row>
    <row r="266" spans="24:31" ht="15.75" thickBot="1">
      <c r="X266" s="578"/>
      <c r="Z266" s="664">
        <v>2016</v>
      </c>
      <c r="AA266" s="664">
        <v>11</v>
      </c>
      <c r="AB266" s="664">
        <v>255</v>
      </c>
      <c r="AC266" s="664">
        <v>245</v>
      </c>
      <c r="AD266" s="664">
        <v>227</v>
      </c>
      <c r="AE266" s="664">
        <v>264</v>
      </c>
    </row>
    <row r="267" spans="24:31" ht="15.75" thickBot="1">
      <c r="X267" s="578"/>
      <c r="Z267" s="664">
        <v>2016</v>
      </c>
      <c r="AA267" s="664">
        <v>12</v>
      </c>
      <c r="AB267" s="664">
        <v>249</v>
      </c>
      <c r="AC267" s="664">
        <v>271</v>
      </c>
      <c r="AD267" s="664">
        <v>259</v>
      </c>
      <c r="AE267" s="664">
        <v>293</v>
      </c>
    </row>
    <row r="268" spans="24:31" ht="15.75" thickBot="1">
      <c r="X268" s="578"/>
      <c r="Z268" s="664">
        <v>2017</v>
      </c>
      <c r="AA268" s="664">
        <v>1</v>
      </c>
      <c r="AB268" s="664">
        <v>276</v>
      </c>
      <c r="AC268" s="664">
        <v>316</v>
      </c>
      <c r="AD268" s="664">
        <v>284</v>
      </c>
      <c r="AE268" s="664">
        <v>305</v>
      </c>
    </row>
    <row r="269" spans="24:31" ht="15.75" thickBot="1">
      <c r="X269" s="578"/>
      <c r="Z269" s="664">
        <v>2017</v>
      </c>
      <c r="AA269" s="664">
        <v>2</v>
      </c>
      <c r="AB269" s="664">
        <v>296</v>
      </c>
      <c r="AC269" s="664">
        <v>303</v>
      </c>
      <c r="AD269" s="664">
        <v>293</v>
      </c>
      <c r="AE269" s="664">
        <v>322</v>
      </c>
    </row>
    <row r="270" spans="24:31" ht="15.75" thickBot="1">
      <c r="X270" s="578"/>
      <c r="Z270" s="664">
        <v>2017</v>
      </c>
      <c r="AA270" s="664">
        <v>3</v>
      </c>
      <c r="AB270" s="664">
        <v>313</v>
      </c>
      <c r="AC270" s="664">
        <v>316</v>
      </c>
      <c r="AD270" s="664">
        <v>280</v>
      </c>
      <c r="AE270" s="664">
        <v>328</v>
      </c>
    </row>
    <row r="271" spans="24:31" ht="15.75" thickBot="1">
      <c r="X271" s="578"/>
      <c r="Z271" s="664">
        <v>2017</v>
      </c>
      <c r="AA271" s="664">
        <v>4</v>
      </c>
      <c r="AB271" s="664">
        <v>307</v>
      </c>
      <c r="AC271" s="664">
        <v>339</v>
      </c>
      <c r="AD271" s="664">
        <v>305</v>
      </c>
      <c r="AE271" s="664">
        <v>358</v>
      </c>
    </row>
    <row r="272" spans="24:31" ht="15.75" thickBot="1">
      <c r="X272" s="578"/>
      <c r="Z272" s="664">
        <v>2017</v>
      </c>
      <c r="AA272" s="664">
        <v>5</v>
      </c>
      <c r="AB272" s="664">
        <v>319</v>
      </c>
      <c r="AC272" s="664">
        <v>346</v>
      </c>
      <c r="AD272" s="664">
        <v>331</v>
      </c>
      <c r="AE272" s="664">
        <v>378</v>
      </c>
    </row>
    <row r="273" spans="24:31" ht="15.75" thickBot="1">
      <c r="X273" s="578"/>
      <c r="Z273" s="664">
        <v>2017</v>
      </c>
      <c r="AA273" s="664">
        <v>6</v>
      </c>
      <c r="AB273" s="664">
        <v>349</v>
      </c>
      <c r="AC273" s="664">
        <v>365</v>
      </c>
      <c r="AD273" s="664">
        <v>333</v>
      </c>
      <c r="AE273" s="664">
        <v>357</v>
      </c>
    </row>
    <row r="274" spans="24:31" ht="15.75" thickBot="1">
      <c r="X274" s="578"/>
      <c r="Z274" s="664">
        <v>2017</v>
      </c>
      <c r="AA274" s="664">
        <v>7</v>
      </c>
      <c r="AB274" s="664">
        <v>359</v>
      </c>
      <c r="AC274" s="664">
        <v>369</v>
      </c>
      <c r="AD274" s="664">
        <v>324</v>
      </c>
      <c r="AE274" s="664">
        <v>350</v>
      </c>
    </row>
    <row r="275" spans="24:31" ht="15.75" thickBot="1">
      <c r="X275" s="578"/>
      <c r="Z275" s="664">
        <v>2017</v>
      </c>
      <c r="AA275" s="664">
        <v>8</v>
      </c>
      <c r="AB275" s="664">
        <v>364</v>
      </c>
      <c r="AC275" s="664">
        <v>359</v>
      </c>
      <c r="AD275" s="664">
        <v>315</v>
      </c>
      <c r="AE275" s="664">
        <v>365</v>
      </c>
    </row>
    <row r="276" spans="24:31" ht="15.75" thickBot="1">
      <c r="X276" s="578"/>
      <c r="Z276" s="664">
        <v>2017</v>
      </c>
      <c r="AA276" s="664">
        <v>9</v>
      </c>
      <c r="AB276" s="664">
        <v>349</v>
      </c>
      <c r="AC276" s="664">
        <v>345</v>
      </c>
      <c r="AD276" s="664">
        <v>319</v>
      </c>
      <c r="AE276" s="664">
        <v>373</v>
      </c>
    </row>
    <row r="277" spans="24:31" ht="15.75" thickBot="1">
      <c r="X277" s="578"/>
      <c r="Z277" s="664">
        <v>2017</v>
      </c>
      <c r="AA277" s="664">
        <v>10</v>
      </c>
      <c r="AB277" s="664">
        <v>353</v>
      </c>
      <c r="AC277" s="664">
        <v>356</v>
      </c>
      <c r="AD277" s="664">
        <v>333</v>
      </c>
      <c r="AE277" s="664">
        <v>375</v>
      </c>
    </row>
    <row r="278" spans="24:31" ht="15.75" thickBot="1">
      <c r="X278" s="578"/>
      <c r="Z278" s="664">
        <v>2017</v>
      </c>
      <c r="AA278" s="664">
        <v>11</v>
      </c>
      <c r="AB278" s="664">
        <v>353</v>
      </c>
      <c r="AC278" s="664">
        <v>365</v>
      </c>
      <c r="AD278" s="664">
        <v>325</v>
      </c>
      <c r="AE278" s="664">
        <v>364</v>
      </c>
    </row>
    <row r="279" spans="24:31" ht="15.75" thickBot="1">
      <c r="X279" s="578"/>
      <c r="Z279" s="664">
        <v>2017</v>
      </c>
      <c r="AA279" s="664">
        <v>12</v>
      </c>
      <c r="AB279" s="664">
        <v>366</v>
      </c>
      <c r="AC279" s="664">
        <v>316</v>
      </c>
      <c r="AD279" s="664">
        <v>324</v>
      </c>
      <c r="AE279" s="664">
        <v>370</v>
      </c>
    </row>
    <row r="280" spans="24:31" ht="15.75" thickBot="1">
      <c r="X280" s="578"/>
      <c r="Z280" s="664">
        <v>2018</v>
      </c>
      <c r="AA280" s="664">
        <v>1</v>
      </c>
      <c r="AB280" s="664">
        <v>357</v>
      </c>
      <c r="AC280" s="664">
        <v>379</v>
      </c>
      <c r="AD280" s="664">
        <v>325</v>
      </c>
      <c r="AE280" s="664">
        <v>380</v>
      </c>
    </row>
    <row r="281" spans="24:31" ht="15.75" thickBot="1">
      <c r="X281" s="578"/>
      <c r="Z281" s="664">
        <v>2018</v>
      </c>
      <c r="AA281" s="664">
        <v>2</v>
      </c>
      <c r="AB281" s="664">
        <v>381</v>
      </c>
      <c r="AC281" s="664">
        <v>352</v>
      </c>
      <c r="AD281" s="664">
        <v>329</v>
      </c>
      <c r="AE281" s="664">
        <v>370</v>
      </c>
    </row>
    <row r="282" spans="24:31" ht="15.75" thickBot="1">
      <c r="X282" s="578"/>
      <c r="Z282" s="664">
        <v>2018</v>
      </c>
      <c r="AA282" s="664">
        <v>3</v>
      </c>
      <c r="AB282" s="664">
        <v>370</v>
      </c>
      <c r="AC282" s="664">
        <v>334</v>
      </c>
      <c r="AD282" s="664">
        <v>341</v>
      </c>
      <c r="AE282" s="664">
        <v>377</v>
      </c>
    </row>
    <row r="283" spans="24:31" ht="15.75" thickBot="1">
      <c r="X283" s="578"/>
      <c r="Z283" s="664">
        <v>2018</v>
      </c>
      <c r="AA283" s="664">
        <v>4</v>
      </c>
      <c r="AB283" s="664">
        <v>381</v>
      </c>
      <c r="AC283" s="664">
        <v>387</v>
      </c>
      <c r="AD283" s="664">
        <v>330</v>
      </c>
      <c r="AE283" s="664">
        <v>376</v>
      </c>
    </row>
    <row r="284" spans="24:31" ht="15.75" thickBot="1">
      <c r="X284" s="578"/>
      <c r="Z284" s="664">
        <v>2018</v>
      </c>
      <c r="AA284" s="664">
        <v>5</v>
      </c>
      <c r="AB284" s="664">
        <v>387</v>
      </c>
      <c r="AC284" s="664">
        <v>399</v>
      </c>
      <c r="AD284" s="664">
        <v>350</v>
      </c>
      <c r="AE284" s="664">
        <v>406</v>
      </c>
    </row>
    <row r="285" spans="24:31" ht="15.75" thickBot="1">
      <c r="X285" s="578"/>
      <c r="Z285" s="664">
        <v>2018</v>
      </c>
      <c r="AA285" s="664">
        <v>6</v>
      </c>
      <c r="AB285" s="664">
        <v>396</v>
      </c>
      <c r="AC285" s="664">
        <v>377</v>
      </c>
      <c r="AD285" s="664">
        <v>371</v>
      </c>
      <c r="AE285" s="664">
        <v>396</v>
      </c>
    </row>
    <row r="286" spans="24:31" ht="15.75" thickBot="1">
      <c r="X286" s="578"/>
      <c r="Z286" s="664">
        <v>2018</v>
      </c>
      <c r="AA286" s="664">
        <v>7</v>
      </c>
      <c r="AB286" s="664">
        <v>433</v>
      </c>
      <c r="AC286" s="664">
        <v>370</v>
      </c>
      <c r="AD286" s="664">
        <v>368</v>
      </c>
      <c r="AE286" s="664">
        <v>408</v>
      </c>
    </row>
    <row r="287" spans="24:31" ht="15.75" thickBot="1">
      <c r="X287" s="578"/>
      <c r="Z287" s="664">
        <v>2018</v>
      </c>
      <c r="AA287" s="664">
        <v>8</v>
      </c>
      <c r="AB287" s="664">
        <v>415</v>
      </c>
      <c r="AC287" s="664">
        <v>399</v>
      </c>
      <c r="AD287" s="664">
        <v>373</v>
      </c>
      <c r="AE287" s="664">
        <v>407</v>
      </c>
    </row>
    <row r="288" spans="24:31" ht="15.75" thickBot="1">
      <c r="X288" s="578"/>
      <c r="Z288" s="664">
        <v>2018</v>
      </c>
      <c r="AA288" s="664">
        <v>9</v>
      </c>
      <c r="AB288" s="664">
        <v>391</v>
      </c>
      <c r="AC288" s="664">
        <v>394</v>
      </c>
      <c r="AD288" s="664">
        <v>363</v>
      </c>
      <c r="AE288" s="664">
        <v>412</v>
      </c>
    </row>
    <row r="289" spans="24:31" ht="15.75" thickBot="1">
      <c r="X289" s="578"/>
      <c r="Z289" s="664">
        <v>2018</v>
      </c>
      <c r="AA289" s="664">
        <v>10</v>
      </c>
      <c r="AB289" s="664">
        <v>421</v>
      </c>
      <c r="AC289" s="664">
        <v>392</v>
      </c>
      <c r="AD289" s="664">
        <v>358</v>
      </c>
      <c r="AE289" s="664">
        <v>394</v>
      </c>
    </row>
    <row r="290" spans="24:31" ht="15.75" thickBot="1">
      <c r="X290" s="578"/>
      <c r="Z290" s="664">
        <v>2018</v>
      </c>
      <c r="AA290" s="664">
        <v>11</v>
      </c>
      <c r="AB290" s="664">
        <v>410</v>
      </c>
      <c r="AC290" s="664">
        <v>382</v>
      </c>
      <c r="AD290" s="664">
        <v>349</v>
      </c>
      <c r="AE290" s="664">
        <v>393</v>
      </c>
    </row>
    <row r="291" spans="24:31" ht="15.75" thickBot="1">
      <c r="X291" s="578"/>
      <c r="Z291" s="664">
        <v>2018</v>
      </c>
      <c r="AA291" s="664">
        <v>12</v>
      </c>
      <c r="AB291" s="664">
        <v>381</v>
      </c>
      <c r="AC291" s="664">
        <v>364</v>
      </c>
      <c r="AD291" s="664">
        <v>342</v>
      </c>
      <c r="AE291" s="664">
        <v>391</v>
      </c>
    </row>
    <row r="292" spans="24:31" ht="15.75" thickBot="1">
      <c r="X292" s="578"/>
      <c r="Z292" s="664">
        <v>2019</v>
      </c>
      <c r="AA292" s="664">
        <v>1</v>
      </c>
      <c r="AB292" s="664">
        <v>382</v>
      </c>
      <c r="AC292" s="664">
        <v>365</v>
      </c>
      <c r="AD292" s="664">
        <v>344</v>
      </c>
      <c r="AE292" s="664">
        <v>379</v>
      </c>
    </row>
    <row r="293" spans="24:31" ht="15.75" thickBot="1">
      <c r="X293" s="578"/>
      <c r="Z293" s="664">
        <v>2019</v>
      </c>
      <c r="AA293" s="664">
        <v>2</v>
      </c>
      <c r="AB293" s="664">
        <v>383</v>
      </c>
      <c r="AC293" s="664">
        <v>356</v>
      </c>
      <c r="AD293" s="664">
        <v>314</v>
      </c>
      <c r="AE293" s="664">
        <v>359</v>
      </c>
    </row>
    <row r="294" spans="24:31" ht="15.75" thickBot="1">
      <c r="X294" s="578"/>
      <c r="Z294" s="664">
        <v>2019</v>
      </c>
      <c r="AA294" s="664">
        <v>3</v>
      </c>
      <c r="AB294" s="664">
        <v>345</v>
      </c>
      <c r="AC294" s="664">
        <v>345</v>
      </c>
      <c r="AD294" s="664">
        <v>313</v>
      </c>
      <c r="AE294" s="664">
        <v>363</v>
      </c>
    </row>
    <row r="295" spans="24:31" ht="15.75" thickBot="1">
      <c r="X295" s="578"/>
      <c r="Z295" s="664">
        <v>2019</v>
      </c>
      <c r="AA295" s="664">
        <v>4</v>
      </c>
      <c r="AB295" s="664">
        <v>342</v>
      </c>
      <c r="AC295" s="664">
        <v>351</v>
      </c>
      <c r="AD295" s="664">
        <v>331</v>
      </c>
      <c r="AE295" s="664">
        <v>360</v>
      </c>
    </row>
    <row r="296" spans="24:31" ht="15.75" thickBot="1">
      <c r="X296" s="578"/>
      <c r="Z296" s="664">
        <v>2019</v>
      </c>
      <c r="AA296" s="664">
        <v>5</v>
      </c>
      <c r="AB296" s="664">
        <v>369</v>
      </c>
      <c r="AC296" s="664">
        <v>346</v>
      </c>
      <c r="AD296" s="664">
        <v>326</v>
      </c>
      <c r="AE296" s="664">
        <v>358</v>
      </c>
    </row>
    <row r="297" spans="24:31" ht="15.75" thickBot="1">
      <c r="X297" s="578"/>
      <c r="Z297" s="664">
        <v>2019</v>
      </c>
      <c r="AA297" s="664">
        <v>6</v>
      </c>
      <c r="AB297" s="664">
        <v>370</v>
      </c>
      <c r="AC297" s="664">
        <v>341</v>
      </c>
      <c r="AD297" s="664">
        <v>321</v>
      </c>
      <c r="AE297" s="664">
        <v>364</v>
      </c>
    </row>
    <row r="298" spans="24:31" ht="15.75" thickBot="1">
      <c r="X298" s="578"/>
      <c r="Z298" s="664">
        <v>2019</v>
      </c>
      <c r="AA298" s="664">
        <v>7</v>
      </c>
      <c r="AB298" s="664">
        <v>332</v>
      </c>
      <c r="AC298" s="664">
        <v>337</v>
      </c>
      <c r="AD298" s="664">
        <v>316</v>
      </c>
      <c r="AE298" s="664">
        <v>374</v>
      </c>
    </row>
    <row r="299" spans="24:31" ht="15.75" thickBot="1">
      <c r="X299" s="578"/>
      <c r="Z299" s="664">
        <v>2019</v>
      </c>
      <c r="AA299" s="664">
        <v>8</v>
      </c>
      <c r="AB299" s="664">
        <v>355</v>
      </c>
      <c r="AC299" s="664">
        <v>324</v>
      </c>
      <c r="AD299" s="664">
        <v>315</v>
      </c>
      <c r="AE299" s="664">
        <v>384</v>
      </c>
    </row>
    <row r="300" spans="24:31" ht="15.75" thickBot="1">
      <c r="X300" s="578"/>
      <c r="Z300" s="664">
        <v>2019</v>
      </c>
      <c r="AA300" s="664">
        <v>9</v>
      </c>
      <c r="AB300" s="664">
        <v>328</v>
      </c>
      <c r="AC300" s="664">
        <v>335</v>
      </c>
      <c r="AD300" s="664">
        <v>319</v>
      </c>
      <c r="AE300" s="664">
        <v>375</v>
      </c>
    </row>
    <row r="301" spans="24:31" ht="15.75" thickBot="1">
      <c r="X301" s="578"/>
      <c r="Z301" s="664">
        <v>2019</v>
      </c>
      <c r="AA301" s="664">
        <v>10</v>
      </c>
      <c r="AB301" s="664">
        <v>316</v>
      </c>
      <c r="AC301" s="664">
        <v>336</v>
      </c>
      <c r="AD301" s="664">
        <v>307</v>
      </c>
      <c r="AE301" s="664">
        <v>339</v>
      </c>
    </row>
    <row r="302" spans="24:31" ht="15.75" thickBot="1">
      <c r="X302" s="578"/>
      <c r="Z302" s="664">
        <v>2019</v>
      </c>
      <c r="AA302" s="664">
        <v>11</v>
      </c>
      <c r="AB302" s="664">
        <v>313</v>
      </c>
      <c r="AC302" s="664">
        <v>320</v>
      </c>
      <c r="AD302" s="664">
        <v>270</v>
      </c>
      <c r="AE302" s="664">
        <v>336</v>
      </c>
    </row>
    <row r="303" spans="24:31" ht="15.75" thickBot="1">
      <c r="X303" s="578"/>
      <c r="Z303" s="664">
        <v>2019</v>
      </c>
      <c r="AA303" s="664">
        <v>12</v>
      </c>
      <c r="AB303" s="664">
        <v>279</v>
      </c>
      <c r="AC303" s="664">
        <v>296</v>
      </c>
      <c r="AD303" s="664">
        <v>274</v>
      </c>
      <c r="AE303" s="664">
        <v>322</v>
      </c>
    </row>
    <row r="304" spans="24:31" ht="15.75" thickBot="1">
      <c r="X304" s="578"/>
      <c r="Z304" s="664">
        <v>2020</v>
      </c>
      <c r="AA304" s="664">
        <v>1</v>
      </c>
      <c r="AB304" s="664">
        <v>291</v>
      </c>
      <c r="AC304" s="664">
        <v>304</v>
      </c>
      <c r="AD304" s="664">
        <v>305</v>
      </c>
      <c r="AE304" s="664">
        <v>330</v>
      </c>
    </row>
    <row r="305" spans="24:31" ht="15.75" thickBot="1">
      <c r="X305" s="578"/>
      <c r="Z305" s="664">
        <v>2020</v>
      </c>
      <c r="AA305" s="664">
        <v>2</v>
      </c>
      <c r="AB305" s="664">
        <v>297</v>
      </c>
      <c r="AC305" s="664">
        <v>308</v>
      </c>
      <c r="AD305" s="664">
        <v>306</v>
      </c>
      <c r="AE305" s="664" t="s">
        <v>1191</v>
      </c>
    </row>
    <row r="306" spans="24:31">
      <c r="X306" s="578"/>
    </row>
    <row r="307" spans="24:31">
      <c r="X307" s="578"/>
    </row>
  </sheetData>
  <mergeCells count="6">
    <mergeCell ref="AB242:AD242"/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workbookViewId="0"/>
  </sheetViews>
  <sheetFormatPr defaultRowHeight="1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>
      <c r="B1" t="s">
        <v>892</v>
      </c>
      <c r="I1" t="s">
        <v>893</v>
      </c>
      <c r="J1">
        <f>1000000*3600/1000000000000000</f>
        <v>3.5999999999999998E-6</v>
      </c>
      <c r="K1" t="s">
        <v>894</v>
      </c>
    </row>
    <row r="2" spans="1:37">
      <c r="B2" t="s">
        <v>895</v>
      </c>
      <c r="I2" t="s">
        <v>839</v>
      </c>
      <c r="J2">
        <f>'H-DRI literature and calcs'!AO130</f>
        <v>120</v>
      </c>
      <c r="K2" t="s">
        <v>434</v>
      </c>
    </row>
    <row r="3" spans="1:37">
      <c r="B3" s="515">
        <v>1</v>
      </c>
      <c r="C3" s="507" t="s">
        <v>896</v>
      </c>
      <c r="I3" t="s">
        <v>897</v>
      </c>
      <c r="J3">
        <f>1/8</f>
        <v>0.125</v>
      </c>
    </row>
    <row r="4" spans="1:37" ht="15.75" thickBot="1">
      <c r="B4">
        <v>11.914999999999999</v>
      </c>
      <c r="C4" t="s">
        <v>898</v>
      </c>
    </row>
    <row r="5" spans="1:37">
      <c r="A5" t="s">
        <v>998</v>
      </c>
      <c r="B5">
        <v>1.1499999999999999</v>
      </c>
      <c r="C5" s="132" t="s">
        <v>819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>
      <c r="B6" s="355">
        <v>0.85343228200371057</v>
      </c>
      <c r="C6" t="s">
        <v>999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>
      <c r="A7" s="11" t="s">
        <v>997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>
      <c r="A8" s="516" t="s">
        <v>899</v>
      </c>
      <c r="B8" t="s">
        <v>996</v>
      </c>
      <c r="C8" s="355">
        <v>1</v>
      </c>
      <c r="D8" t="s">
        <v>900</v>
      </c>
      <c r="K8" s="437"/>
      <c r="AK8" s="438"/>
    </row>
    <row r="9" spans="1:37">
      <c r="B9" t="s">
        <v>901</v>
      </c>
      <c r="C9" s="421">
        <f>'H-DRI literature and calcs'!AG137*1000000*J1</f>
        <v>2.7107999999999999</v>
      </c>
      <c r="D9" t="s">
        <v>142</v>
      </c>
      <c r="K9" s="437"/>
      <c r="AK9" s="438"/>
    </row>
    <row r="10" spans="1:37">
      <c r="B10" s="550" t="s">
        <v>902</v>
      </c>
      <c r="C10" s="551">
        <v>0</v>
      </c>
      <c r="D10" s="550" t="s">
        <v>900</v>
      </c>
      <c r="E10" s="550"/>
      <c r="K10" s="437"/>
      <c r="AK10" s="438"/>
    </row>
    <row r="11" spans="1:37">
      <c r="B11" s="550" t="s">
        <v>903</v>
      </c>
      <c r="C11" s="550">
        <f>'[16]Facility technicals and LCOE'!E23/1000000</f>
        <v>1</v>
      </c>
      <c r="D11" s="550" t="s">
        <v>900</v>
      </c>
      <c r="E11" s="550"/>
      <c r="F11" s="550"/>
      <c r="K11" s="437"/>
      <c r="AK11" s="438"/>
    </row>
    <row r="12" spans="1:37">
      <c r="K12" s="437"/>
      <c r="AK12" s="438"/>
    </row>
    <row r="13" spans="1:37">
      <c r="B13" t="s">
        <v>904</v>
      </c>
      <c r="C13" s="355">
        <f>C8+C9</f>
        <v>3.7107999999999999</v>
      </c>
      <c r="D13" t="s">
        <v>905</v>
      </c>
      <c r="K13" s="437"/>
      <c r="AK13" s="438"/>
    </row>
    <row r="14" spans="1:37">
      <c r="B14" t="s">
        <v>906</v>
      </c>
      <c r="C14" s="421">
        <f>C8/C13</f>
        <v>0.26948366928964107</v>
      </c>
      <c r="D14" t="s">
        <v>837</v>
      </c>
      <c r="K14" s="437"/>
      <c r="S14" s="517"/>
      <c r="AK14" s="438"/>
    </row>
    <row r="15" spans="1:37">
      <c r="B15" t="s">
        <v>906</v>
      </c>
      <c r="C15" s="421">
        <f>C9/C13</f>
        <v>0.73051633071035893</v>
      </c>
      <c r="D15" t="s">
        <v>38</v>
      </c>
      <c r="K15" s="437"/>
      <c r="O15" s="518"/>
      <c r="U15" s="689"/>
      <c r="V15" s="689"/>
      <c r="Y15" s="518"/>
      <c r="AK15" s="438"/>
    </row>
    <row r="16" spans="1:37">
      <c r="K16" s="437"/>
      <c r="S16" s="518"/>
      <c r="AK16" s="438"/>
    </row>
    <row r="17" spans="1:37">
      <c r="B17" s="550" t="s">
        <v>907</v>
      </c>
      <c r="C17" s="550"/>
      <c r="D17" s="550" t="s">
        <v>908</v>
      </c>
      <c r="E17" s="550"/>
      <c r="K17" s="437"/>
      <c r="Z17" s="518"/>
      <c r="AK17" s="438"/>
    </row>
    <row r="18" spans="1:37" ht="18.75">
      <c r="K18" s="437"/>
      <c r="AD18" s="519"/>
      <c r="AK18" s="438"/>
    </row>
    <row r="19" spans="1:37">
      <c r="A19" s="516" t="s">
        <v>909</v>
      </c>
      <c r="B19" s="516" t="s">
        <v>910</v>
      </c>
      <c r="C19" s="516">
        <f>'H-DRI literature and calcs'!AG131</f>
        <v>184</v>
      </c>
      <c r="D19" s="516" t="s">
        <v>861</v>
      </c>
      <c r="K19" s="437"/>
      <c r="Z19" s="518"/>
      <c r="AK19" s="438"/>
    </row>
    <row r="20" spans="1:37">
      <c r="C20">
        <f>C19*B5</f>
        <v>211.6</v>
      </c>
      <c r="D20" t="s">
        <v>683</v>
      </c>
      <c r="K20" s="437"/>
      <c r="AK20" s="438"/>
    </row>
    <row r="21" spans="1:37">
      <c r="B21" t="s">
        <v>912</v>
      </c>
      <c r="C21" s="494">
        <f>C20*B4</f>
        <v>2521.2139999999999</v>
      </c>
      <c r="D21" t="s">
        <v>911</v>
      </c>
      <c r="K21" s="437"/>
      <c r="AK21" s="438"/>
    </row>
    <row r="22" spans="1:37">
      <c r="B22" s="550"/>
      <c r="C22" s="553">
        <f>C21</f>
        <v>2521.2139999999999</v>
      </c>
      <c r="D22" s="550" t="s">
        <v>913</v>
      </c>
      <c r="E22" s="550"/>
      <c r="K22" s="520"/>
      <c r="AK22" s="438"/>
    </row>
    <row r="23" spans="1:37">
      <c r="A23" t="s">
        <v>222</v>
      </c>
      <c r="B23" t="s">
        <v>701</v>
      </c>
      <c r="C23" s="494">
        <f>'AMSA reports'!O13*H23</f>
        <v>725.14525500322793</v>
      </c>
      <c r="D23" t="s">
        <v>914</v>
      </c>
      <c r="H23" s="367">
        <v>0.5</v>
      </c>
      <c r="I23" t="s">
        <v>1014</v>
      </c>
      <c r="K23" s="437"/>
      <c r="AK23" s="438"/>
    </row>
    <row r="24" spans="1:37">
      <c r="B24" t="s">
        <v>915</v>
      </c>
      <c r="C24" s="494">
        <f>C23*B6</f>
        <v>618.86236976156738</v>
      </c>
      <c r="D24" t="s">
        <v>916</v>
      </c>
      <c r="K24" s="437"/>
      <c r="AK24" s="438"/>
    </row>
    <row r="25" spans="1:37">
      <c r="K25" s="437"/>
      <c r="AK25" s="438"/>
    </row>
    <row r="26" spans="1:37">
      <c r="K26" s="437"/>
      <c r="AK26" s="438"/>
    </row>
    <row r="27" spans="1:37">
      <c r="A27" s="11" t="s">
        <v>1015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>
      <c r="F29" s="522"/>
      <c r="G29" s="522"/>
      <c r="K29" s="437"/>
      <c r="AK29" s="438"/>
    </row>
    <row r="30" spans="1:37">
      <c r="A30" s="523" t="s">
        <v>922</v>
      </c>
      <c r="B30" t="s">
        <v>901</v>
      </c>
      <c r="C30" s="432">
        <f>'[16]Facility technicals and LCOE'!M56*3.6*'Summary Hydrogen DRI new'!B3/1000000</f>
        <v>10.928571428571427</v>
      </c>
      <c r="D30" t="s">
        <v>142</v>
      </c>
      <c r="F30" s="522"/>
      <c r="G30" s="522"/>
      <c r="H30" t="s">
        <v>918</v>
      </c>
      <c r="I30" t="s">
        <v>919</v>
      </c>
      <c r="K30" s="437"/>
      <c r="AK30" s="438"/>
    </row>
    <row r="31" spans="1:37">
      <c r="B31" t="s">
        <v>920</v>
      </c>
      <c r="C31" s="432">
        <f>C30*C34</f>
        <v>6.12</v>
      </c>
      <c r="D31" t="s">
        <v>142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>
      <c r="B32" t="s">
        <v>921</v>
      </c>
      <c r="C32" s="524">
        <f>I31/J3</f>
        <v>0.40799999999999997</v>
      </c>
      <c r="D32" t="s">
        <v>900</v>
      </c>
      <c r="F32" s="522"/>
      <c r="G32" s="522"/>
      <c r="K32" s="437"/>
      <c r="AK32" s="438"/>
    </row>
    <row r="33" spans="1:37">
      <c r="I33" s="421"/>
      <c r="K33" s="437"/>
      <c r="AK33" s="438"/>
    </row>
    <row r="34" spans="1:37">
      <c r="A34" s="523" t="s">
        <v>922</v>
      </c>
      <c r="B34" s="523" t="s">
        <v>923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>
      <c r="B35" t="s">
        <v>924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>
      <c r="B36" t="s">
        <v>907</v>
      </c>
      <c r="C36" s="432">
        <f>C31</f>
        <v>6.12</v>
      </c>
      <c r="D36" t="s">
        <v>925</v>
      </c>
      <c r="F36" s="525">
        <f>C36*(F34/$C$34)</f>
        <v>6.8849999999999998</v>
      </c>
      <c r="G36" s="525">
        <f>C36*(G34/$C$34)</f>
        <v>7.3221428571428575</v>
      </c>
      <c r="I36" t="s">
        <v>926</v>
      </c>
      <c r="K36" s="437"/>
      <c r="AK36" s="438"/>
    </row>
    <row r="37" spans="1:37">
      <c r="B37" t="s">
        <v>907</v>
      </c>
      <c r="C37" s="524">
        <f>C32</f>
        <v>0.40799999999999997</v>
      </c>
      <c r="D37" t="s">
        <v>927</v>
      </c>
      <c r="F37" s="525">
        <f>C37*(F36/C36)</f>
        <v>0.45899999999999996</v>
      </c>
      <c r="G37" s="525">
        <f>C37*(G36/C36)</f>
        <v>0.4881428571428571</v>
      </c>
      <c r="I37" t="s">
        <v>926</v>
      </c>
      <c r="K37" s="437"/>
      <c r="AK37" s="438"/>
    </row>
    <row r="38" spans="1:37">
      <c r="B38" t="s">
        <v>907</v>
      </c>
      <c r="C38" s="432">
        <f>C30</f>
        <v>10.928571428571427</v>
      </c>
      <c r="D38" t="s">
        <v>928</v>
      </c>
      <c r="F38" s="522"/>
      <c r="G38" s="522"/>
      <c r="I38" t="s">
        <v>926</v>
      </c>
      <c r="K38" s="437"/>
      <c r="AK38" s="438"/>
    </row>
    <row r="39" spans="1:37" ht="15.75" thickBot="1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>
      <c r="A40" t="s">
        <v>929</v>
      </c>
      <c r="B40" t="s">
        <v>930</v>
      </c>
      <c r="C40" s="367">
        <f>'[16]Facility technicals and LCOE'!AA24</f>
        <v>0.9</v>
      </c>
    </row>
    <row r="41" spans="1:37">
      <c r="A41" s="523" t="s">
        <v>922</v>
      </c>
      <c r="B41" s="523" t="s">
        <v>931</v>
      </c>
      <c r="C41" s="523">
        <f>'H-DRI literature and calcs'!AC63</f>
        <v>1800</v>
      </c>
      <c r="D41" s="523" t="s">
        <v>791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>
      <c r="A42" s="526" t="s">
        <v>932</v>
      </c>
      <c r="B42" t="s">
        <v>931</v>
      </c>
      <c r="C42" s="494">
        <f>C41*$B$4</f>
        <v>21447</v>
      </c>
      <c r="D42" t="s">
        <v>933</v>
      </c>
      <c r="F42" s="494">
        <f>F41*$B$4</f>
        <v>17872.5</v>
      </c>
      <c r="G42" s="494">
        <f>G41*$B$4</f>
        <v>10723.5</v>
      </c>
      <c r="L42" s="136" t="s">
        <v>934</v>
      </c>
    </row>
    <row r="43" spans="1:37">
      <c r="B43" t="s">
        <v>912</v>
      </c>
      <c r="C43" s="494">
        <f>C42</f>
        <v>21447</v>
      </c>
      <c r="D43" t="s">
        <v>935</v>
      </c>
      <c r="F43" s="494">
        <f>F42</f>
        <v>17872.5</v>
      </c>
      <c r="G43" s="494">
        <f>G42</f>
        <v>10723.5</v>
      </c>
    </row>
    <row r="44" spans="1:37">
      <c r="C44" s="355"/>
      <c r="F44" s="355"/>
      <c r="G44" s="355"/>
    </row>
    <row r="45" spans="1:37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426</v>
      </c>
    </row>
    <row r="46" spans="1:37">
      <c r="A46" s="523" t="s">
        <v>922</v>
      </c>
      <c r="B46" s="523" t="s">
        <v>936</v>
      </c>
      <c r="C46" s="523">
        <f>'H-DRI literature and calcs'!AC67</f>
        <v>60000</v>
      </c>
      <c r="D46" s="523" t="s">
        <v>937</v>
      </c>
      <c r="F46" s="523">
        <f>'H-DRI literature and calcs'!AD67</f>
        <v>75000</v>
      </c>
      <c r="G46" s="523">
        <f>'H-DRI literature and calcs'!AE67</f>
        <v>12500</v>
      </c>
      <c r="N46" s="690" t="s">
        <v>938</v>
      </c>
      <c r="O46" s="131" t="s">
        <v>939</v>
      </c>
      <c r="P46" s="131" t="s">
        <v>533</v>
      </c>
      <c r="Q46" s="131" t="s">
        <v>940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>
      <c r="B47" t="s">
        <v>941</v>
      </c>
      <c r="C47">
        <f>ROUNDUP(C46/(8760*$C$40),0)</f>
        <v>8</v>
      </c>
      <c r="D47" t="s">
        <v>757</v>
      </c>
      <c r="F47">
        <f>ROUNDUP(F46/(8760*$C$40),0)</f>
        <v>10</v>
      </c>
      <c r="G47">
        <f>ROUNDUP(G46/(8760*$C$40),0)</f>
        <v>2</v>
      </c>
      <c r="N47" s="690"/>
      <c r="O47" s="131"/>
      <c r="P47" s="131" t="s">
        <v>532</v>
      </c>
      <c r="Q47" s="131" t="s">
        <v>942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>
      <c r="N48" s="690"/>
      <c r="O48" s="131" t="s">
        <v>943</v>
      </c>
      <c r="P48" s="131"/>
      <c r="Q48" s="131" t="s">
        <v>944</v>
      </c>
      <c r="R48" s="131"/>
      <c r="S48" s="131"/>
      <c r="T48" s="131"/>
      <c r="U48" s="131"/>
      <c r="V48" s="131"/>
    </row>
    <row r="49" spans="1:22">
      <c r="A49" s="136" t="s">
        <v>945</v>
      </c>
      <c r="N49" s="690"/>
      <c r="O49" s="131" t="s">
        <v>946</v>
      </c>
      <c r="P49" s="131"/>
      <c r="Q49" s="131" t="s">
        <v>947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>
      <c r="C50" s="432"/>
      <c r="F50" s="521">
        <v>2030</v>
      </c>
      <c r="G50" s="521">
        <v>2050</v>
      </c>
      <c r="N50" s="690"/>
      <c r="O50" s="131" t="s">
        <v>743</v>
      </c>
      <c r="P50" s="131" t="s">
        <v>533</v>
      </c>
      <c r="Q50" s="131" t="s">
        <v>948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>
      <c r="F51" s="522"/>
      <c r="G51" s="522"/>
      <c r="N51" s="690"/>
      <c r="O51" s="131"/>
      <c r="P51" s="131" t="s">
        <v>532</v>
      </c>
      <c r="Q51" s="131" t="s">
        <v>948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>
      <c r="A52" s="523" t="s">
        <v>917</v>
      </c>
      <c r="B52" t="s">
        <v>901</v>
      </c>
      <c r="C52" s="432">
        <f>'[16]Facility technicals and LCOE'!M78*3.6*'Summary Hydrogen DRI new'!B3/1000000</f>
        <v>0</v>
      </c>
      <c r="D52" t="s">
        <v>142</v>
      </c>
      <c r="F52" s="522"/>
      <c r="G52" s="522"/>
      <c r="H52" t="s">
        <v>918</v>
      </c>
      <c r="I52" t="s">
        <v>919</v>
      </c>
      <c r="N52" s="690"/>
      <c r="O52" s="131" t="s">
        <v>930</v>
      </c>
      <c r="P52" s="131" t="s">
        <v>949</v>
      </c>
      <c r="Q52" s="131" t="s">
        <v>264</v>
      </c>
      <c r="R52" s="529">
        <f>C62</f>
        <v>0.9</v>
      </c>
      <c r="S52" s="131"/>
      <c r="T52" s="131"/>
      <c r="U52" s="131"/>
      <c r="V52" s="131" t="s">
        <v>862</v>
      </c>
    </row>
    <row r="53" spans="1:22">
      <c r="B53" t="s">
        <v>920</v>
      </c>
      <c r="C53" s="432">
        <f>C52*'[17]Cost effectiveness'!Z47</f>
        <v>0</v>
      </c>
      <c r="D53" t="s">
        <v>142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90"/>
      <c r="O53" s="131" t="s">
        <v>789</v>
      </c>
      <c r="P53" s="131" t="s">
        <v>533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>
      <c r="B54" t="s">
        <v>921</v>
      </c>
      <c r="C54" s="524" t="e">
        <f>I53/J26</f>
        <v>#DIV/0!</v>
      </c>
      <c r="D54" t="s">
        <v>900</v>
      </c>
      <c r="F54" s="522"/>
      <c r="G54" s="522"/>
      <c r="N54" s="690"/>
      <c r="O54" s="131"/>
      <c r="P54" s="131" t="s">
        <v>532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>
      <c r="I55" s="421"/>
      <c r="M55" t="s">
        <v>950</v>
      </c>
    </row>
    <row r="56" spans="1:22">
      <c r="A56" s="523" t="s">
        <v>922</v>
      </c>
      <c r="B56" s="523" t="s">
        <v>923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>
      <c r="B57" s="531" t="s">
        <v>924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>
      <c r="B58" t="s">
        <v>907</v>
      </c>
      <c r="C58" s="432">
        <f>C53</f>
        <v>0</v>
      </c>
      <c r="D58" t="s">
        <v>925</v>
      </c>
      <c r="F58" s="525">
        <f>C58*(F56/$C$34)</f>
        <v>0</v>
      </c>
      <c r="G58" s="525">
        <f>C58*(G56/$C$34)</f>
        <v>0</v>
      </c>
      <c r="I58" t="s">
        <v>926</v>
      </c>
    </row>
    <row r="59" spans="1:22">
      <c r="B59" t="s">
        <v>907</v>
      </c>
      <c r="C59" s="524" t="e">
        <f>C54</f>
        <v>#DIV/0!</v>
      </c>
      <c r="D59" t="s">
        <v>927</v>
      </c>
      <c r="F59" s="525" t="e">
        <f>C59*(F58/C58)</f>
        <v>#DIV/0!</v>
      </c>
      <c r="G59" s="525" t="e">
        <f>C59*(G58/C58)</f>
        <v>#DIV/0!</v>
      </c>
      <c r="I59" t="s">
        <v>926</v>
      </c>
    </row>
    <row r="60" spans="1:22">
      <c r="B60" t="s">
        <v>907</v>
      </c>
      <c r="C60" s="432">
        <f>C52</f>
        <v>0</v>
      </c>
      <c r="D60" t="s">
        <v>928</v>
      </c>
      <c r="F60" s="522"/>
      <c r="G60" s="522"/>
      <c r="I60" t="s">
        <v>926</v>
      </c>
    </row>
    <row r="62" spans="1:22">
      <c r="A62" s="531" t="s">
        <v>929</v>
      </c>
      <c r="B62" s="531" t="s">
        <v>930</v>
      </c>
      <c r="C62" s="533">
        <f>C40</f>
        <v>0.9</v>
      </c>
      <c r="I62" t="s">
        <v>401</v>
      </c>
    </row>
    <row r="63" spans="1:22">
      <c r="A63" s="523" t="s">
        <v>922</v>
      </c>
      <c r="B63" s="523" t="s">
        <v>931</v>
      </c>
      <c r="C63" s="523">
        <f>'H-DRI literature and calcs'!AF63</f>
        <v>1400</v>
      </c>
      <c r="D63" s="523" t="s">
        <v>791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951</v>
      </c>
    </row>
    <row r="64" spans="1:22">
      <c r="A64" s="526" t="s">
        <v>932</v>
      </c>
      <c r="B64" t="s">
        <v>931</v>
      </c>
      <c r="C64" s="494">
        <f>C63*$B$4</f>
        <v>16681</v>
      </c>
      <c r="D64" t="s">
        <v>933</v>
      </c>
      <c r="F64" s="494">
        <f>F63*$B$4</f>
        <v>10127.75</v>
      </c>
      <c r="G64" s="494">
        <f>G63*$B$4</f>
        <v>8340.5</v>
      </c>
    </row>
    <row r="65" spans="1:10">
      <c r="B65" s="531" t="s">
        <v>912</v>
      </c>
      <c r="C65" s="534">
        <f>C64</f>
        <v>16681</v>
      </c>
      <c r="D65" s="531" t="s">
        <v>935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>
      <c r="B67" t="s">
        <v>952</v>
      </c>
      <c r="C67" s="494"/>
      <c r="E67" s="367">
        <v>7.0000000000000007E-2</v>
      </c>
      <c r="F67" s="367">
        <v>0.05</v>
      </c>
      <c r="G67" s="367">
        <v>0.05</v>
      </c>
      <c r="H67" t="s">
        <v>953</v>
      </c>
    </row>
    <row r="68" spans="1:10">
      <c r="B68" s="531" t="s">
        <v>954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>
      <c r="B69" s="523" t="s">
        <v>931</v>
      </c>
      <c r="C69" s="523">
        <f>'H-DRI literature and calcs'!AF62</f>
        <v>500</v>
      </c>
      <c r="D69" s="523" t="s">
        <v>791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955</v>
      </c>
    </row>
    <row r="70" spans="1:10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>
      <c r="A71" s="523" t="s">
        <v>922</v>
      </c>
      <c r="B71" s="523" t="s">
        <v>936</v>
      </c>
      <c r="C71" s="523">
        <f>'H-DRI literature and calcs'!AF67</f>
        <v>75000</v>
      </c>
      <c r="D71" s="523" t="s">
        <v>937</v>
      </c>
      <c r="F71" s="523">
        <f>'H-DRI literature and calcs'!AG67</f>
        <v>95000</v>
      </c>
      <c r="G71" s="523">
        <f>'H-DRI literature and calcs'!AH67</f>
        <v>125000</v>
      </c>
      <c r="H71" t="s">
        <v>956</v>
      </c>
    </row>
    <row r="72" spans="1:10">
      <c r="A72" s="523"/>
      <c r="B72" s="523"/>
      <c r="C72" s="523"/>
      <c r="D72" s="523" t="s">
        <v>937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955</v>
      </c>
    </row>
    <row r="73" spans="1:10">
      <c r="B73" s="531" t="s">
        <v>941</v>
      </c>
      <c r="C73" s="531">
        <f>ROUNDUP(C71/(8760*$C$62),0)</f>
        <v>10</v>
      </c>
      <c r="D73" s="531" t="s">
        <v>757</v>
      </c>
      <c r="E73" s="531"/>
      <c r="F73" s="531">
        <f>ROUNDUP(F71/(8760*$C$62),0)</f>
        <v>13</v>
      </c>
      <c r="G73" s="531">
        <f>ROUNDUP(G71/(8760*$C$62),0)</f>
        <v>16</v>
      </c>
    </row>
    <row r="75" spans="1:10">
      <c r="A75" s="136" t="s">
        <v>957</v>
      </c>
    </row>
    <row r="76" spans="1:10">
      <c r="C76" s="432"/>
      <c r="F76" s="521">
        <v>2030</v>
      </c>
      <c r="G76" s="521">
        <v>2050</v>
      </c>
    </row>
    <row r="77" spans="1:10">
      <c r="F77" s="522"/>
      <c r="G77" s="522"/>
    </row>
    <row r="78" spans="1:10">
      <c r="A78" s="523" t="s">
        <v>917</v>
      </c>
      <c r="B78" t="s">
        <v>901</v>
      </c>
      <c r="C78" s="432">
        <f>'[16]Facility technicals and LCOE'!M103*3.6*'Summary Hydrogen DRI new'!B51/1000000</f>
        <v>0</v>
      </c>
      <c r="D78" t="s">
        <v>142</v>
      </c>
      <c r="F78" s="522"/>
      <c r="G78" s="522"/>
      <c r="H78" t="s">
        <v>918</v>
      </c>
      <c r="I78" t="s">
        <v>919</v>
      </c>
      <c r="J78" t="s">
        <v>926</v>
      </c>
    </row>
    <row r="79" spans="1:10">
      <c r="B79" t="s">
        <v>920</v>
      </c>
      <c r="C79" s="432">
        <f>C78*'[17]Cost effectiveness'!Z72</f>
        <v>0</v>
      </c>
      <c r="D79" t="s">
        <v>142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926</v>
      </c>
    </row>
    <row r="80" spans="1:10">
      <c r="B80" t="s">
        <v>921</v>
      </c>
      <c r="C80" s="524" t="e">
        <f>I79/J51</f>
        <v>#DIV/0!</v>
      </c>
      <c r="D80" t="s">
        <v>900</v>
      </c>
      <c r="F80" s="522"/>
      <c r="G80" s="522"/>
      <c r="J80" t="s">
        <v>926</v>
      </c>
    </row>
    <row r="81" spans="1:9">
      <c r="I81" s="421"/>
    </row>
    <row r="82" spans="1:9">
      <c r="A82" s="523" t="s">
        <v>922</v>
      </c>
      <c r="B82" s="523" t="s">
        <v>923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951</v>
      </c>
    </row>
    <row r="83" spans="1:9">
      <c r="B83" s="531" t="s">
        <v>924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>
      <c r="B84" t="s">
        <v>907</v>
      </c>
      <c r="C84" s="432">
        <f>C79</f>
        <v>0</v>
      </c>
      <c r="D84" t="s">
        <v>925</v>
      </c>
      <c r="F84" s="525">
        <f>C84*(F82/$C$34)</f>
        <v>0</v>
      </c>
      <c r="G84" s="525">
        <f>C84*(G82/$C$34)</f>
        <v>0</v>
      </c>
    </row>
    <row r="85" spans="1:9">
      <c r="B85" t="s">
        <v>907</v>
      </c>
      <c r="C85" s="524" t="e">
        <f>C80</f>
        <v>#DIV/0!</v>
      </c>
      <c r="D85" t="s">
        <v>927</v>
      </c>
      <c r="F85" s="525" t="e">
        <f>C85*(F84/C84)</f>
        <v>#DIV/0!</v>
      </c>
      <c r="G85" s="525" t="e">
        <f>C85*(G84/C84)</f>
        <v>#DIV/0!</v>
      </c>
    </row>
    <row r="86" spans="1:9">
      <c r="B86" t="s">
        <v>907</v>
      </c>
      <c r="C86" s="432">
        <f>C78</f>
        <v>0</v>
      </c>
      <c r="D86" t="s">
        <v>928</v>
      </c>
      <c r="F86" s="522"/>
      <c r="G86" s="522"/>
    </row>
    <row r="88" spans="1:9">
      <c r="A88" t="s">
        <v>929</v>
      </c>
      <c r="B88" t="s">
        <v>930</v>
      </c>
      <c r="C88" s="367"/>
    </row>
    <row r="89" spans="1:9">
      <c r="A89" s="523" t="s">
        <v>922</v>
      </c>
      <c r="B89" s="523" t="s">
        <v>931</v>
      </c>
      <c r="C89" s="523">
        <f>'H-DRI literature and calcs'!AF62</f>
        <v>500</v>
      </c>
      <c r="D89" s="523" t="s">
        <v>791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>
      <c r="A90" s="526" t="s">
        <v>932</v>
      </c>
      <c r="B90" t="s">
        <v>931</v>
      </c>
      <c r="C90" s="494">
        <f>C89*$B$4</f>
        <v>5957.5</v>
      </c>
      <c r="D90" t="s">
        <v>933</v>
      </c>
      <c r="F90" s="494">
        <f>F89*$B$4</f>
        <v>4766</v>
      </c>
      <c r="G90" s="494">
        <f>G89*$B$4</f>
        <v>2383</v>
      </c>
      <c r="H90" t="s">
        <v>958</v>
      </c>
    </row>
    <row r="91" spans="1:9">
      <c r="B91" s="531" t="s">
        <v>912</v>
      </c>
      <c r="C91" s="534">
        <f>C90</f>
        <v>5957.5</v>
      </c>
      <c r="D91" s="531" t="s">
        <v>935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>
      <c r="C92" s="494"/>
      <c r="F92" s="494"/>
      <c r="G92" s="494"/>
    </row>
    <row r="93" spans="1:9">
      <c r="B93" t="s">
        <v>952</v>
      </c>
      <c r="C93" s="494"/>
      <c r="E93" s="367">
        <v>7.0000000000000007E-2</v>
      </c>
      <c r="F93" s="367">
        <v>0.05</v>
      </c>
      <c r="G93" s="367">
        <v>0.05</v>
      </c>
      <c r="H93" t="s">
        <v>953</v>
      </c>
    </row>
    <row r="94" spans="1:9">
      <c r="B94" s="531" t="s">
        <v>954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>
      <c r="C95" s="355"/>
      <c r="F95" s="355"/>
      <c r="G95" s="355"/>
    </row>
    <row r="96" spans="1:9">
      <c r="C96" s="422"/>
      <c r="F96" s="494"/>
      <c r="G96" s="494"/>
    </row>
    <row r="97" spans="1:25">
      <c r="A97" s="523" t="s">
        <v>922</v>
      </c>
      <c r="B97" s="523" t="s">
        <v>936</v>
      </c>
      <c r="C97" s="523">
        <f>C71</f>
        <v>75000</v>
      </c>
      <c r="D97" s="523" t="s">
        <v>937</v>
      </c>
      <c r="F97" s="523">
        <f>F71</f>
        <v>95000</v>
      </c>
      <c r="G97" s="523">
        <f>G71</f>
        <v>125000</v>
      </c>
      <c r="H97" t="s">
        <v>959</v>
      </c>
    </row>
    <row r="98" spans="1: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792</v>
      </c>
    </row>
    <row r="99" spans="1:25">
      <c r="B99" s="531" t="s">
        <v>941</v>
      </c>
      <c r="C99" s="531">
        <f>ROUNDUP(C97/(8760*$C$62),0)</f>
        <v>10</v>
      </c>
      <c r="D99" s="531" t="s">
        <v>757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>
      <c r="O102" t="s">
        <v>960</v>
      </c>
      <c r="U102" t="s">
        <v>961</v>
      </c>
    </row>
    <row r="103" spans="1:25">
      <c r="A103" s="11" t="s">
        <v>962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963</v>
      </c>
      <c r="U103" s="537">
        <f>C32*1000000</f>
        <v>408000</v>
      </c>
      <c r="V103" t="s">
        <v>964</v>
      </c>
    </row>
    <row r="104" spans="1:25">
      <c r="F104" s="522"/>
      <c r="G104" s="522"/>
      <c r="O104">
        <f>C108</f>
        <v>0.74400000000000022</v>
      </c>
      <c r="P104" t="s">
        <v>965</v>
      </c>
      <c r="U104" s="355">
        <f>[16]Prices!M70*1000/Y104</f>
        <v>2266.6666666666665</v>
      </c>
      <c r="V104" t="s">
        <v>966</v>
      </c>
      <c r="Y104">
        <v>15</v>
      </c>
    </row>
    <row r="105" spans="1:25">
      <c r="A105" s="516" t="s">
        <v>967</v>
      </c>
      <c r="B105" t="s">
        <v>968</v>
      </c>
      <c r="C105" s="349">
        <f>'[16]Facility technicals and LCOE'!N18*B3*J2/1000000000</f>
        <v>6.12</v>
      </c>
      <c r="D105" t="s">
        <v>142</v>
      </c>
      <c r="F105" s="522"/>
      <c r="G105" s="522"/>
    </row>
    <row r="106" spans="1:25">
      <c r="B106" t="s">
        <v>969</v>
      </c>
      <c r="C106">
        <f>'[16]Facility technicals and LCOE'!M18/1000000</f>
        <v>1.504</v>
      </c>
      <c r="D106" t="s">
        <v>970</v>
      </c>
      <c r="F106" s="522"/>
      <c r="G106" s="522"/>
      <c r="U106" s="494">
        <f>U103*U104</f>
        <v>924799999.99999988</v>
      </c>
      <c r="V106" t="s">
        <v>971</v>
      </c>
    </row>
    <row r="107" spans="1:25">
      <c r="B107" t="s">
        <v>972</v>
      </c>
      <c r="C107" s="348">
        <f>'[16]Facility technicals and LCOE'!M23*B3/1000000</f>
        <v>1</v>
      </c>
      <c r="D107" t="s">
        <v>900</v>
      </c>
      <c r="F107" s="522"/>
      <c r="G107" s="522"/>
      <c r="U107" s="349">
        <f>U106/1000000</f>
        <v>924.79999999999984</v>
      </c>
      <c r="V107" t="s">
        <v>973</v>
      </c>
    </row>
    <row r="108" spans="1:25">
      <c r="B108" s="526" t="s">
        <v>907</v>
      </c>
      <c r="C108" s="526">
        <f>'H-DRI literature and calcs'!AE216*3.6/1.5</f>
        <v>0.74400000000000022</v>
      </c>
      <c r="D108" s="526" t="s">
        <v>974</v>
      </c>
      <c r="E108" s="526" t="s">
        <v>975</v>
      </c>
      <c r="F108" s="538"/>
      <c r="G108" s="538"/>
      <c r="H108" s="526" t="s">
        <v>976</v>
      </c>
    </row>
    <row r="109" spans="1:25">
      <c r="B109" t="s">
        <v>907</v>
      </c>
      <c r="C109">
        <f>C106</f>
        <v>1.504</v>
      </c>
      <c r="D109" t="s">
        <v>37</v>
      </c>
      <c r="F109" s="522"/>
      <c r="G109" s="522"/>
    </row>
    <row r="110" spans="1:25">
      <c r="B110" t="s">
        <v>907</v>
      </c>
      <c r="C110" s="349">
        <f>C105</f>
        <v>6.12</v>
      </c>
      <c r="D110" t="s">
        <v>925</v>
      </c>
    </row>
    <row r="111" spans="1:25">
      <c r="B111" t="s">
        <v>907</v>
      </c>
      <c r="C111" s="348">
        <f>C107</f>
        <v>1</v>
      </c>
      <c r="D111" t="s">
        <v>837</v>
      </c>
    </row>
    <row r="113" spans="1:17">
      <c r="A113" t="s">
        <v>929</v>
      </c>
      <c r="B113" t="s">
        <v>977</v>
      </c>
      <c r="C113" s="367">
        <v>0.9</v>
      </c>
      <c r="D113" t="s">
        <v>978</v>
      </c>
    </row>
    <row r="115" spans="1:17">
      <c r="A115" s="516" t="s">
        <v>909</v>
      </c>
      <c r="B115" s="516" t="s">
        <v>910</v>
      </c>
      <c r="C115" s="516">
        <f>'H-DRI literature and calcs'!AK131</f>
        <v>230</v>
      </c>
      <c r="D115" s="516" t="s">
        <v>861</v>
      </c>
      <c r="N115" s="131"/>
      <c r="O115" s="131"/>
      <c r="P115" s="131">
        <v>2020</v>
      </c>
      <c r="Q115" s="131" t="s">
        <v>426</v>
      </c>
    </row>
    <row r="116" spans="1:17">
      <c r="C116">
        <f>C115*[16]Deflators!D25</f>
        <v>264.5</v>
      </c>
      <c r="D116" t="s">
        <v>662</v>
      </c>
      <c r="N116" s="131" t="s">
        <v>910</v>
      </c>
      <c r="O116" s="131" t="s">
        <v>944</v>
      </c>
      <c r="P116" s="539">
        <f>C118</f>
        <v>3151.5174999999999</v>
      </c>
      <c r="Q116" s="131"/>
    </row>
    <row r="117" spans="1:17">
      <c r="C117" s="488">
        <f>C116*$B$4</f>
        <v>3151.5174999999999</v>
      </c>
      <c r="D117" t="s">
        <v>979</v>
      </c>
      <c r="N117" s="131" t="s">
        <v>943</v>
      </c>
      <c r="O117" s="131"/>
      <c r="P117" s="527">
        <f>C122</f>
        <v>618.86236976156738</v>
      </c>
      <c r="Q117" s="131"/>
    </row>
    <row r="118" spans="1:17">
      <c r="B118" t="s">
        <v>912</v>
      </c>
      <c r="C118" s="432">
        <f>C117</f>
        <v>3151.5174999999999</v>
      </c>
      <c r="D118" t="s">
        <v>913</v>
      </c>
      <c r="N118" s="150" t="s">
        <v>834</v>
      </c>
      <c r="O118" s="131"/>
      <c r="P118" s="131"/>
      <c r="Q118" s="131"/>
    </row>
    <row r="119" spans="1:17">
      <c r="C119" s="432"/>
      <c r="N119" s="131" t="s">
        <v>246</v>
      </c>
      <c r="O119" s="131" t="s">
        <v>980</v>
      </c>
      <c r="P119" s="131">
        <f>C109</f>
        <v>1.504</v>
      </c>
      <c r="Q119" s="131"/>
    </row>
    <row r="120" spans="1:17">
      <c r="B120" t="s">
        <v>981</v>
      </c>
      <c r="C120" s="432"/>
      <c r="N120" s="131" t="s">
        <v>839</v>
      </c>
      <c r="O120" s="131" t="s">
        <v>542</v>
      </c>
      <c r="P120" s="540">
        <f>C105</f>
        <v>6.12</v>
      </c>
      <c r="Q120" s="131"/>
    </row>
    <row r="121" spans="1:17">
      <c r="A121" t="s">
        <v>222</v>
      </c>
      <c r="B121" t="s">
        <v>701</v>
      </c>
      <c r="C121" s="494">
        <f>'[16]AMSA 2018 IA report'!D12*[16]Prices!C52</f>
        <v>725.14525500322793</v>
      </c>
      <c r="D121" t="s">
        <v>914</v>
      </c>
      <c r="N121" s="131" t="s">
        <v>14</v>
      </c>
      <c r="O121" s="131"/>
      <c r="P121" s="131"/>
      <c r="Q121" s="131"/>
    </row>
    <row r="122" spans="1:17">
      <c r="B122" t="s">
        <v>915</v>
      </c>
      <c r="C122" s="494">
        <f>C121*[16]Deflators!H8</f>
        <v>618.86236976156738</v>
      </c>
      <c r="D122" t="s">
        <v>916</v>
      </c>
      <c r="N122" s="131" t="s">
        <v>743</v>
      </c>
      <c r="O122" s="131" t="s">
        <v>745</v>
      </c>
      <c r="P122" s="131">
        <v>20</v>
      </c>
      <c r="Q122" s="131" t="s">
        <v>982</v>
      </c>
    </row>
    <row r="123" spans="1:17">
      <c r="N123" s="131" t="s">
        <v>930</v>
      </c>
      <c r="O123" s="131"/>
      <c r="P123" s="529">
        <v>0.9</v>
      </c>
      <c r="Q123" s="131" t="s">
        <v>983</v>
      </c>
    </row>
    <row r="125" spans="1:17">
      <c r="C125" s="349"/>
    </row>
    <row r="127" spans="1:17">
      <c r="A127" t="s">
        <v>984</v>
      </c>
    </row>
    <row r="129" spans="1:9">
      <c r="A129" t="s">
        <v>985</v>
      </c>
      <c r="C129" s="488">
        <f>[16]Prices!C16</f>
        <v>318.83499999999998</v>
      </c>
      <c r="D129" t="s">
        <v>986</v>
      </c>
    </row>
    <row r="130" spans="1:9">
      <c r="C130">
        <f>C129*[16]Deflators!C15</f>
        <v>4162.2431015000002</v>
      </c>
      <c r="D130" t="s">
        <v>979</v>
      </c>
    </row>
    <row r="136" spans="1:9">
      <c r="A136" s="11" t="s">
        <v>795</v>
      </c>
      <c r="B136" s="8"/>
      <c r="C136" s="8"/>
      <c r="D136" s="8"/>
      <c r="E136" s="8"/>
      <c r="F136" s="8"/>
      <c r="G136" s="8"/>
      <c r="H136" s="8"/>
      <c r="I136" s="8"/>
    </row>
    <row r="149" spans="10:10">
      <c r="J149" s="494"/>
    </row>
    <row r="150" spans="10:10">
      <c r="J150" s="494"/>
    </row>
    <row r="151" spans="10:10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/>
  </sheetViews>
  <sheetFormatPr defaultRowHeight="1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>
      <c r="B1" t="s">
        <v>892</v>
      </c>
      <c r="I1" t="s">
        <v>893</v>
      </c>
      <c r="J1">
        <f>1000000*3600/1000000000000000</f>
        <v>3.5999999999999998E-6</v>
      </c>
      <c r="K1" t="s">
        <v>894</v>
      </c>
    </row>
    <row r="2" spans="1:37">
      <c r="B2" t="s">
        <v>895</v>
      </c>
      <c r="I2" t="s">
        <v>839</v>
      </c>
      <c r="J2">
        <f>'H-DRI literature and calcs'!AO130</f>
        <v>120</v>
      </c>
      <c r="K2" t="s">
        <v>434</v>
      </c>
    </row>
    <row r="3" spans="1:37">
      <c r="B3" s="515">
        <v>1</v>
      </c>
      <c r="C3" s="507" t="s">
        <v>896</v>
      </c>
      <c r="I3" t="s">
        <v>897</v>
      </c>
      <c r="J3">
        <f>1/8</f>
        <v>0.125</v>
      </c>
    </row>
    <row r="4" spans="1:37" ht="15.75" thickBot="1">
      <c r="B4">
        <v>11.914999999999999</v>
      </c>
      <c r="C4" t="s">
        <v>898</v>
      </c>
    </row>
    <row r="5" spans="1:37">
      <c r="A5" t="s">
        <v>998</v>
      </c>
      <c r="B5">
        <v>1.1499999999999999</v>
      </c>
      <c r="C5" s="132" t="s">
        <v>819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>
      <c r="B6" s="355">
        <v>0.85343228200371057</v>
      </c>
      <c r="C6" t="s">
        <v>999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>
      <c r="A7" s="11" t="s">
        <v>997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>
      <c r="A8" s="516" t="s">
        <v>899</v>
      </c>
      <c r="B8" t="s">
        <v>996</v>
      </c>
      <c r="C8" s="355">
        <v>1</v>
      </c>
      <c r="D8" t="s">
        <v>900</v>
      </c>
      <c r="K8" s="437"/>
      <c r="AK8" s="438"/>
    </row>
    <row r="9" spans="1:37">
      <c r="B9" t="s">
        <v>901</v>
      </c>
      <c r="C9" s="421">
        <f>'H-DRI literature and calcs'!AG137*1000000*J1</f>
        <v>2.7107999999999999</v>
      </c>
      <c r="D9" t="s">
        <v>142</v>
      </c>
      <c r="K9" s="437"/>
      <c r="AK9" s="438"/>
    </row>
    <row r="10" spans="1:37">
      <c r="B10" s="550" t="s">
        <v>902</v>
      </c>
      <c r="C10" s="551">
        <v>0</v>
      </c>
      <c r="D10" s="550" t="s">
        <v>900</v>
      </c>
      <c r="E10" s="550"/>
      <c r="K10" s="437"/>
      <c r="AK10" s="438"/>
    </row>
    <row r="11" spans="1:37">
      <c r="B11" s="550" t="s">
        <v>903</v>
      </c>
      <c r="C11" s="550">
        <f>'[16]Facility technicals and LCOE'!E23/1000000</f>
        <v>1</v>
      </c>
      <c r="D11" s="550" t="s">
        <v>900</v>
      </c>
      <c r="E11" s="550"/>
      <c r="F11" s="550"/>
      <c r="K11" s="437"/>
      <c r="AK11" s="438"/>
    </row>
    <row r="12" spans="1:37">
      <c r="K12" s="437"/>
      <c r="AK12" s="438"/>
    </row>
    <row r="13" spans="1:37">
      <c r="B13" t="s">
        <v>904</v>
      </c>
      <c r="C13" s="355">
        <f>C8+C9</f>
        <v>3.7107999999999999</v>
      </c>
      <c r="D13" t="s">
        <v>905</v>
      </c>
      <c r="K13" s="437"/>
      <c r="AK13" s="438"/>
    </row>
    <row r="14" spans="1:37">
      <c r="B14" t="s">
        <v>906</v>
      </c>
      <c r="C14" s="421">
        <f>C8/C13</f>
        <v>0.26948366928964107</v>
      </c>
      <c r="D14" t="s">
        <v>837</v>
      </c>
      <c r="K14" s="437"/>
      <c r="S14" s="517"/>
      <c r="AK14" s="438"/>
    </row>
    <row r="15" spans="1:37">
      <c r="B15" t="s">
        <v>906</v>
      </c>
      <c r="C15" s="421">
        <f>C9/C13</f>
        <v>0.73051633071035893</v>
      </c>
      <c r="D15" t="s">
        <v>38</v>
      </c>
      <c r="K15" s="437"/>
      <c r="O15" s="518"/>
      <c r="U15" s="689"/>
      <c r="V15" s="689"/>
      <c r="Y15" s="518"/>
      <c r="AK15" s="438"/>
    </row>
    <row r="16" spans="1:37">
      <c r="K16" s="437"/>
      <c r="S16" s="518"/>
      <c r="AK16" s="438"/>
    </row>
    <row r="17" spans="1:37">
      <c r="B17" s="550" t="s">
        <v>907</v>
      </c>
      <c r="C17" s="550"/>
      <c r="D17" s="550" t="s">
        <v>908</v>
      </c>
      <c r="E17" s="550"/>
      <c r="K17" s="437"/>
      <c r="Z17" s="518"/>
      <c r="AK17" s="438"/>
    </row>
    <row r="18" spans="1:37" ht="18.75">
      <c r="K18" s="437"/>
      <c r="AD18" s="519"/>
      <c r="AK18" s="438"/>
    </row>
    <row r="19" spans="1:37">
      <c r="A19" s="516" t="s">
        <v>909</v>
      </c>
      <c r="B19" s="516" t="s">
        <v>910</v>
      </c>
      <c r="C19" s="516">
        <f>'H-DRI literature and calcs'!AG131</f>
        <v>184</v>
      </c>
      <c r="D19" s="516" t="s">
        <v>861</v>
      </c>
      <c r="K19" s="437"/>
      <c r="Z19" s="518"/>
      <c r="AK19" s="438"/>
    </row>
    <row r="20" spans="1:37">
      <c r="C20">
        <f>C19*B5</f>
        <v>211.6</v>
      </c>
      <c r="D20" t="s">
        <v>683</v>
      </c>
      <c r="K20" s="437"/>
      <c r="AK20" s="438"/>
    </row>
    <row r="21" spans="1:37">
      <c r="B21" t="s">
        <v>912</v>
      </c>
      <c r="C21" s="494">
        <f>C20*B4</f>
        <v>2521.2139999999999</v>
      </c>
      <c r="D21" t="s">
        <v>911</v>
      </c>
      <c r="K21" s="437"/>
      <c r="AK21" s="438"/>
    </row>
    <row r="22" spans="1:37">
      <c r="B22" s="550"/>
      <c r="C22" s="553">
        <f>C21</f>
        <v>2521.2139999999999</v>
      </c>
      <c r="D22" s="550" t="s">
        <v>913</v>
      </c>
      <c r="E22" s="550"/>
      <c r="K22" s="520"/>
      <c r="AK22" s="438"/>
    </row>
    <row r="23" spans="1:37">
      <c r="A23" t="s">
        <v>222</v>
      </c>
      <c r="B23" t="s">
        <v>701</v>
      </c>
      <c r="C23" s="494">
        <f>'AMSA reports'!O13*H23</f>
        <v>725.14525500322793</v>
      </c>
      <c r="D23" t="s">
        <v>914</v>
      </c>
      <c r="H23" s="367">
        <v>0.5</v>
      </c>
      <c r="I23" t="s">
        <v>1014</v>
      </c>
      <c r="K23" s="437"/>
      <c r="AK23" s="438"/>
    </row>
    <row r="24" spans="1:37">
      <c r="B24" t="s">
        <v>915</v>
      </c>
      <c r="C24" s="494">
        <f>C23*B6</f>
        <v>618.86236976156738</v>
      </c>
      <c r="D24" t="s">
        <v>916</v>
      </c>
      <c r="K24" s="437"/>
      <c r="AK24" s="438"/>
    </row>
    <row r="25" spans="1:37">
      <c r="K25" s="437"/>
      <c r="AK25" s="438"/>
    </row>
    <row r="26" spans="1:37">
      <c r="K26" s="437"/>
      <c r="AK26" s="438"/>
    </row>
    <row r="27" spans="1:37">
      <c r="A27" s="11" t="s">
        <v>1015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>
      <c r="F29" s="522"/>
      <c r="G29" s="522"/>
      <c r="K29" s="437"/>
      <c r="AK29" s="438"/>
    </row>
    <row r="30" spans="1:37">
      <c r="A30" s="523" t="s">
        <v>922</v>
      </c>
      <c r="B30" t="s">
        <v>901</v>
      </c>
      <c r="C30" s="432">
        <f>'[16]Facility technicals and LCOE'!M56*3.6*'Summary Hydrogen DRI'!B3/1000000</f>
        <v>10.928571428571427</v>
      </c>
      <c r="D30" t="s">
        <v>142</v>
      </c>
      <c r="F30" s="522"/>
      <c r="G30" s="522"/>
      <c r="H30" t="s">
        <v>918</v>
      </c>
      <c r="I30" t="s">
        <v>919</v>
      </c>
      <c r="K30" s="437"/>
      <c r="AK30" s="438"/>
    </row>
    <row r="31" spans="1:37">
      <c r="B31" t="s">
        <v>920</v>
      </c>
      <c r="C31" s="432">
        <f>C30*C34</f>
        <v>6.12</v>
      </c>
      <c r="D31" t="s">
        <v>142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>
      <c r="B32" t="s">
        <v>921</v>
      </c>
      <c r="C32" s="524">
        <f>I31/J3</f>
        <v>0.40799999999999997</v>
      </c>
      <c r="D32" t="s">
        <v>900</v>
      </c>
      <c r="F32" s="522"/>
      <c r="G32" s="522"/>
      <c r="K32" s="437"/>
      <c r="AK32" s="438"/>
    </row>
    <row r="33" spans="1:37">
      <c r="I33" s="421"/>
      <c r="K33" s="437"/>
      <c r="AK33" s="438"/>
    </row>
    <row r="34" spans="1:37">
      <c r="A34" s="523" t="s">
        <v>922</v>
      </c>
      <c r="B34" s="523" t="s">
        <v>923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>
      <c r="B35" t="s">
        <v>924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>
      <c r="B36" t="s">
        <v>907</v>
      </c>
      <c r="C36" s="432">
        <f>C31</f>
        <v>6.12</v>
      </c>
      <c r="D36" t="s">
        <v>925</v>
      </c>
      <c r="F36" s="525">
        <f>C36*(F34/$C$34)</f>
        <v>6.8849999999999998</v>
      </c>
      <c r="G36" s="525">
        <f>C36*(G34/$C$34)</f>
        <v>7.3221428571428575</v>
      </c>
      <c r="I36" t="s">
        <v>926</v>
      </c>
      <c r="K36" s="437"/>
      <c r="AK36" s="438"/>
    </row>
    <row r="37" spans="1:37">
      <c r="B37" t="s">
        <v>907</v>
      </c>
      <c r="C37" s="524">
        <f>C32</f>
        <v>0.40799999999999997</v>
      </c>
      <c r="D37" t="s">
        <v>927</v>
      </c>
      <c r="F37" s="525">
        <f>C37*(F36/C36)</f>
        <v>0.45899999999999996</v>
      </c>
      <c r="G37" s="525">
        <f>C37*(G36/C36)</f>
        <v>0.4881428571428571</v>
      </c>
      <c r="I37" t="s">
        <v>926</v>
      </c>
      <c r="K37" s="437"/>
      <c r="AK37" s="438"/>
    </row>
    <row r="38" spans="1:37">
      <c r="B38" t="s">
        <v>907</v>
      </c>
      <c r="C38" s="432">
        <f>C30</f>
        <v>10.928571428571427</v>
      </c>
      <c r="D38" t="s">
        <v>928</v>
      </c>
      <c r="F38" s="522"/>
      <c r="G38" s="522"/>
      <c r="I38" t="s">
        <v>926</v>
      </c>
      <c r="K38" s="437"/>
      <c r="AK38" s="438"/>
    </row>
    <row r="39" spans="1:37" ht="15.75" thickBot="1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>
      <c r="A40" t="s">
        <v>929</v>
      </c>
      <c r="B40" t="s">
        <v>930</v>
      </c>
      <c r="C40" s="367">
        <f>'[16]Facility technicals and LCOE'!AA24</f>
        <v>0.9</v>
      </c>
    </row>
    <row r="41" spans="1:37">
      <c r="A41" s="523" t="s">
        <v>922</v>
      </c>
      <c r="B41" s="523" t="s">
        <v>931</v>
      </c>
      <c r="C41" s="523">
        <f>'H-DRI literature and calcs'!AC63</f>
        <v>1800</v>
      </c>
      <c r="D41" s="523" t="s">
        <v>791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>
      <c r="A42" s="526" t="s">
        <v>932</v>
      </c>
      <c r="B42" t="s">
        <v>931</v>
      </c>
      <c r="C42" s="494">
        <f>C41*$B$4</f>
        <v>21447</v>
      </c>
      <c r="D42" t="s">
        <v>933</v>
      </c>
      <c r="F42" s="494">
        <f>F41*$B$4</f>
        <v>17872.5</v>
      </c>
      <c r="G42" s="494">
        <f>G41*$B$4</f>
        <v>10723.5</v>
      </c>
      <c r="L42" s="136" t="s">
        <v>934</v>
      </c>
    </row>
    <row r="43" spans="1:37">
      <c r="B43" t="s">
        <v>912</v>
      </c>
      <c r="C43" s="494">
        <f>C42</f>
        <v>21447</v>
      </c>
      <c r="D43" t="s">
        <v>935</v>
      </c>
      <c r="F43" s="494">
        <f>F42</f>
        <v>17872.5</v>
      </c>
      <c r="G43" s="494">
        <f>G42</f>
        <v>10723.5</v>
      </c>
    </row>
    <row r="44" spans="1:37">
      <c r="C44" s="355"/>
      <c r="F44" s="355"/>
      <c r="G44" s="355"/>
    </row>
    <row r="45" spans="1:37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426</v>
      </c>
    </row>
    <row r="46" spans="1:37">
      <c r="A46" s="523" t="s">
        <v>922</v>
      </c>
      <c r="B46" s="523" t="s">
        <v>936</v>
      </c>
      <c r="C46" s="523">
        <f>'H-DRI literature and calcs'!AC67</f>
        <v>60000</v>
      </c>
      <c r="D46" s="523" t="s">
        <v>937</v>
      </c>
      <c r="F46" s="523">
        <f>'H-DRI literature and calcs'!AD67</f>
        <v>75000</v>
      </c>
      <c r="G46" s="523">
        <f>'H-DRI literature and calcs'!AE67</f>
        <v>12500</v>
      </c>
      <c r="N46" s="690" t="s">
        <v>938</v>
      </c>
      <c r="O46" s="131" t="s">
        <v>939</v>
      </c>
      <c r="P46" s="131" t="s">
        <v>533</v>
      </c>
      <c r="Q46" s="131" t="s">
        <v>940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>
      <c r="B47" t="s">
        <v>941</v>
      </c>
      <c r="C47">
        <f>ROUNDUP(C46/(8760*$C$40),0)</f>
        <v>8</v>
      </c>
      <c r="D47" t="s">
        <v>757</v>
      </c>
      <c r="F47">
        <f>ROUNDUP(F46/(8760*$C$40),0)</f>
        <v>10</v>
      </c>
      <c r="G47">
        <f>ROUNDUP(G46/(8760*$C$40),0)</f>
        <v>2</v>
      </c>
      <c r="N47" s="690"/>
      <c r="O47" s="131"/>
      <c r="P47" s="131" t="s">
        <v>532</v>
      </c>
      <c r="Q47" s="131" t="s">
        <v>942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>
      <c r="N48" s="690"/>
      <c r="O48" s="131" t="s">
        <v>943</v>
      </c>
      <c r="P48" s="131"/>
      <c r="Q48" s="131" t="s">
        <v>944</v>
      </c>
      <c r="R48" s="131"/>
      <c r="S48" s="131"/>
      <c r="T48" s="131"/>
      <c r="U48" s="131"/>
      <c r="V48" s="131"/>
    </row>
    <row r="49" spans="1:22">
      <c r="A49" s="136" t="s">
        <v>945</v>
      </c>
      <c r="N49" s="690"/>
      <c r="O49" s="131" t="s">
        <v>946</v>
      </c>
      <c r="P49" s="131"/>
      <c r="Q49" s="131" t="s">
        <v>947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>
      <c r="C50" s="432"/>
      <c r="F50" s="521">
        <v>2030</v>
      </c>
      <c r="G50" s="521">
        <v>2050</v>
      </c>
      <c r="N50" s="690"/>
      <c r="O50" s="131" t="s">
        <v>743</v>
      </c>
      <c r="P50" s="131" t="s">
        <v>533</v>
      </c>
      <c r="Q50" s="131" t="s">
        <v>948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>
      <c r="F51" s="522"/>
      <c r="G51" s="522"/>
      <c r="N51" s="690"/>
      <c r="O51" s="131"/>
      <c r="P51" s="131" t="s">
        <v>532</v>
      </c>
      <c r="Q51" s="131" t="s">
        <v>948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>
      <c r="A52" s="523" t="s">
        <v>917</v>
      </c>
      <c r="B52" t="s">
        <v>901</v>
      </c>
      <c r="C52" s="432">
        <f>'[16]Facility technicals and LCOE'!M78*3.6*'Summary Hydrogen DRI'!B3/1000000</f>
        <v>0</v>
      </c>
      <c r="D52" t="s">
        <v>142</v>
      </c>
      <c r="F52" s="522"/>
      <c r="G52" s="522"/>
      <c r="H52" t="s">
        <v>918</v>
      </c>
      <c r="I52" t="s">
        <v>919</v>
      </c>
      <c r="N52" s="690"/>
      <c r="O52" s="131" t="s">
        <v>930</v>
      </c>
      <c r="P52" s="131" t="s">
        <v>949</v>
      </c>
      <c r="Q52" s="131" t="s">
        <v>264</v>
      </c>
      <c r="R52" s="529">
        <f>C62</f>
        <v>0.9</v>
      </c>
      <c r="S52" s="131"/>
      <c r="T52" s="131"/>
      <c r="U52" s="131"/>
      <c r="V52" s="131" t="s">
        <v>862</v>
      </c>
    </row>
    <row r="53" spans="1:22">
      <c r="B53" t="s">
        <v>920</v>
      </c>
      <c r="C53" s="432">
        <f>C52*'[17]Cost effectiveness'!Z47</f>
        <v>0</v>
      </c>
      <c r="D53" t="s">
        <v>142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90"/>
      <c r="O53" s="131" t="s">
        <v>789</v>
      </c>
      <c r="P53" s="131" t="s">
        <v>533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>
      <c r="B54" t="s">
        <v>921</v>
      </c>
      <c r="C54" s="524" t="e">
        <f>I53/J26</f>
        <v>#DIV/0!</v>
      </c>
      <c r="D54" t="s">
        <v>900</v>
      </c>
      <c r="F54" s="522"/>
      <c r="G54" s="522"/>
      <c r="N54" s="690"/>
      <c r="O54" s="131"/>
      <c r="P54" s="131" t="s">
        <v>532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>
      <c r="I55" s="421"/>
      <c r="M55" t="s">
        <v>950</v>
      </c>
    </row>
    <row r="56" spans="1:22">
      <c r="A56" s="523" t="s">
        <v>922</v>
      </c>
      <c r="B56" s="523" t="s">
        <v>923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>
      <c r="B57" s="531" t="s">
        <v>924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>
      <c r="B58" t="s">
        <v>907</v>
      </c>
      <c r="C58" s="432">
        <f>C53</f>
        <v>0</v>
      </c>
      <c r="D58" t="s">
        <v>925</v>
      </c>
      <c r="F58" s="525">
        <f>C58*(F56/$C$34)</f>
        <v>0</v>
      </c>
      <c r="G58" s="525">
        <f>C58*(G56/$C$34)</f>
        <v>0</v>
      </c>
      <c r="I58" t="s">
        <v>926</v>
      </c>
    </row>
    <row r="59" spans="1:22">
      <c r="B59" t="s">
        <v>907</v>
      </c>
      <c r="C59" s="524" t="e">
        <f>C54</f>
        <v>#DIV/0!</v>
      </c>
      <c r="D59" t="s">
        <v>927</v>
      </c>
      <c r="F59" s="525" t="e">
        <f>C59*(F58/C58)</f>
        <v>#DIV/0!</v>
      </c>
      <c r="G59" s="525" t="e">
        <f>C59*(G58/C58)</f>
        <v>#DIV/0!</v>
      </c>
      <c r="I59" t="s">
        <v>926</v>
      </c>
    </row>
    <row r="60" spans="1:22">
      <c r="B60" t="s">
        <v>907</v>
      </c>
      <c r="C60" s="432">
        <f>C52</f>
        <v>0</v>
      </c>
      <c r="D60" t="s">
        <v>928</v>
      </c>
      <c r="F60" s="522"/>
      <c r="G60" s="522"/>
      <c r="I60" t="s">
        <v>926</v>
      </c>
    </row>
    <row r="62" spans="1:22">
      <c r="A62" s="531" t="s">
        <v>929</v>
      </c>
      <c r="B62" s="531" t="s">
        <v>930</v>
      </c>
      <c r="C62" s="533">
        <f>C40</f>
        <v>0.9</v>
      </c>
      <c r="I62" t="s">
        <v>401</v>
      </c>
    </row>
    <row r="63" spans="1:22">
      <c r="A63" s="523" t="s">
        <v>922</v>
      </c>
      <c r="B63" s="523" t="s">
        <v>931</v>
      </c>
      <c r="C63" s="523">
        <f>'H-DRI literature and calcs'!AF63</f>
        <v>1400</v>
      </c>
      <c r="D63" s="523" t="s">
        <v>791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951</v>
      </c>
    </row>
    <row r="64" spans="1:22">
      <c r="A64" s="526" t="s">
        <v>932</v>
      </c>
      <c r="B64" t="s">
        <v>931</v>
      </c>
      <c r="C64" s="494">
        <f>C63*$B$4</f>
        <v>16681</v>
      </c>
      <c r="D64" t="s">
        <v>933</v>
      </c>
      <c r="F64" s="494">
        <f>F63*$B$4</f>
        <v>10127.75</v>
      </c>
      <c r="G64" s="494">
        <f>G63*$B$4</f>
        <v>8340.5</v>
      </c>
    </row>
    <row r="65" spans="1:10">
      <c r="B65" s="531" t="s">
        <v>912</v>
      </c>
      <c r="C65" s="534">
        <f>C64</f>
        <v>16681</v>
      </c>
      <c r="D65" s="531" t="s">
        <v>935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>
      <c r="B67" t="s">
        <v>952</v>
      </c>
      <c r="C67" s="494"/>
      <c r="E67" s="367">
        <v>7.0000000000000007E-2</v>
      </c>
      <c r="F67" s="367">
        <v>0.05</v>
      </c>
      <c r="G67" s="367">
        <v>0.05</v>
      </c>
      <c r="H67" t="s">
        <v>953</v>
      </c>
    </row>
    <row r="68" spans="1:10">
      <c r="B68" s="531" t="s">
        <v>954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>
      <c r="B69" s="523" t="s">
        <v>931</v>
      </c>
      <c r="C69" s="523">
        <f>'H-DRI literature and calcs'!AF62</f>
        <v>500</v>
      </c>
      <c r="D69" s="523" t="s">
        <v>791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955</v>
      </c>
    </row>
    <row r="70" spans="1:10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>
      <c r="A71" s="523" t="s">
        <v>922</v>
      </c>
      <c r="B71" s="523" t="s">
        <v>936</v>
      </c>
      <c r="C71" s="523">
        <f>'H-DRI literature and calcs'!AF67</f>
        <v>75000</v>
      </c>
      <c r="D71" s="523" t="s">
        <v>937</v>
      </c>
      <c r="F71" s="523">
        <f>'H-DRI literature and calcs'!AG67</f>
        <v>95000</v>
      </c>
      <c r="G71" s="523">
        <f>'H-DRI literature and calcs'!AH67</f>
        <v>125000</v>
      </c>
      <c r="H71" t="s">
        <v>956</v>
      </c>
    </row>
    <row r="72" spans="1:10">
      <c r="A72" s="523"/>
      <c r="B72" s="523"/>
      <c r="C72" s="523"/>
      <c r="D72" s="523" t="s">
        <v>937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955</v>
      </c>
    </row>
    <row r="73" spans="1:10">
      <c r="B73" s="531" t="s">
        <v>941</v>
      </c>
      <c r="C73" s="531">
        <f>ROUNDUP(C71/(8760*$C$62),0)</f>
        <v>10</v>
      </c>
      <c r="D73" s="531" t="s">
        <v>757</v>
      </c>
      <c r="E73" s="531"/>
      <c r="F73" s="531">
        <f>ROUNDUP(F71/(8760*$C$62),0)</f>
        <v>13</v>
      </c>
      <c r="G73" s="531">
        <f>ROUNDUP(G71/(8760*$C$62),0)</f>
        <v>16</v>
      </c>
    </row>
    <row r="75" spans="1:10">
      <c r="A75" s="136" t="s">
        <v>957</v>
      </c>
    </row>
    <row r="76" spans="1:10">
      <c r="C76" s="432"/>
      <c r="F76" s="521">
        <v>2030</v>
      </c>
      <c r="G76" s="521">
        <v>2050</v>
      </c>
    </row>
    <row r="77" spans="1:10">
      <c r="F77" s="522"/>
      <c r="G77" s="522"/>
    </row>
    <row r="78" spans="1:10">
      <c r="A78" s="523" t="s">
        <v>917</v>
      </c>
      <c r="B78" t="s">
        <v>901</v>
      </c>
      <c r="C78" s="432">
        <f>'[16]Facility technicals and LCOE'!M103*3.6*'Summary Hydrogen DRI'!B51/1000000</f>
        <v>0</v>
      </c>
      <c r="D78" t="s">
        <v>142</v>
      </c>
      <c r="F78" s="522"/>
      <c r="G78" s="522"/>
      <c r="H78" t="s">
        <v>918</v>
      </c>
      <c r="I78" t="s">
        <v>919</v>
      </c>
      <c r="J78" t="s">
        <v>926</v>
      </c>
    </row>
    <row r="79" spans="1:10">
      <c r="B79" t="s">
        <v>920</v>
      </c>
      <c r="C79" s="432">
        <f>C78*'[17]Cost effectiveness'!Z72</f>
        <v>0</v>
      </c>
      <c r="D79" t="s">
        <v>142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926</v>
      </c>
    </row>
    <row r="80" spans="1:10">
      <c r="B80" t="s">
        <v>921</v>
      </c>
      <c r="C80" s="524" t="e">
        <f>I79/J51</f>
        <v>#DIV/0!</v>
      </c>
      <c r="D80" t="s">
        <v>900</v>
      </c>
      <c r="F80" s="522"/>
      <c r="G80" s="522"/>
      <c r="J80" t="s">
        <v>926</v>
      </c>
    </row>
    <row r="81" spans="1:9">
      <c r="I81" s="421"/>
    </row>
    <row r="82" spans="1:9">
      <c r="A82" s="523" t="s">
        <v>922</v>
      </c>
      <c r="B82" s="523" t="s">
        <v>923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951</v>
      </c>
    </row>
    <row r="83" spans="1:9">
      <c r="B83" s="531" t="s">
        <v>924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>
      <c r="B84" t="s">
        <v>907</v>
      </c>
      <c r="C84" s="432">
        <f>C79</f>
        <v>0</v>
      </c>
      <c r="D84" t="s">
        <v>925</v>
      </c>
      <c r="F84" s="525">
        <f>C84*(F82/$C$34)</f>
        <v>0</v>
      </c>
      <c r="G84" s="525">
        <f>C84*(G82/$C$34)</f>
        <v>0</v>
      </c>
    </row>
    <row r="85" spans="1:9">
      <c r="B85" t="s">
        <v>907</v>
      </c>
      <c r="C85" s="524" t="e">
        <f>C80</f>
        <v>#DIV/0!</v>
      </c>
      <c r="D85" t="s">
        <v>927</v>
      </c>
      <c r="F85" s="525" t="e">
        <f>C85*(F84/C84)</f>
        <v>#DIV/0!</v>
      </c>
      <c r="G85" s="525" t="e">
        <f>C85*(G84/C84)</f>
        <v>#DIV/0!</v>
      </c>
    </row>
    <row r="86" spans="1:9">
      <c r="B86" t="s">
        <v>907</v>
      </c>
      <c r="C86" s="432">
        <f>C78</f>
        <v>0</v>
      </c>
      <c r="D86" t="s">
        <v>928</v>
      </c>
      <c r="F86" s="522"/>
      <c r="G86" s="522"/>
    </row>
    <row r="88" spans="1:9">
      <c r="A88" t="s">
        <v>929</v>
      </c>
      <c r="B88" t="s">
        <v>930</v>
      </c>
      <c r="C88" s="367"/>
    </row>
    <row r="89" spans="1:9">
      <c r="A89" s="523" t="s">
        <v>922</v>
      </c>
      <c r="B89" s="523" t="s">
        <v>931</v>
      </c>
      <c r="C89" s="523">
        <f>'H-DRI literature and calcs'!AF62</f>
        <v>500</v>
      </c>
      <c r="D89" s="523" t="s">
        <v>791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>
      <c r="A90" s="526" t="s">
        <v>932</v>
      </c>
      <c r="B90" t="s">
        <v>931</v>
      </c>
      <c r="C90" s="494">
        <f>C89*$B$4</f>
        <v>5957.5</v>
      </c>
      <c r="D90" t="s">
        <v>933</v>
      </c>
      <c r="F90" s="494">
        <f>F89*$B$4</f>
        <v>4766</v>
      </c>
      <c r="G90" s="494">
        <f>G89*$B$4</f>
        <v>2383</v>
      </c>
      <c r="H90" t="s">
        <v>958</v>
      </c>
    </row>
    <row r="91" spans="1:9">
      <c r="B91" s="531" t="s">
        <v>912</v>
      </c>
      <c r="C91" s="534">
        <f>C90</f>
        <v>5957.5</v>
      </c>
      <c r="D91" s="531" t="s">
        <v>935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>
      <c r="C92" s="494"/>
      <c r="F92" s="494"/>
      <c r="G92" s="494"/>
    </row>
    <row r="93" spans="1:9">
      <c r="B93" t="s">
        <v>952</v>
      </c>
      <c r="C93" s="494"/>
      <c r="E93" s="367">
        <v>7.0000000000000007E-2</v>
      </c>
      <c r="F93" s="367">
        <v>0.05</v>
      </c>
      <c r="G93" s="367">
        <v>0.05</v>
      </c>
      <c r="H93" t="s">
        <v>953</v>
      </c>
    </row>
    <row r="94" spans="1:9">
      <c r="B94" s="531" t="s">
        <v>954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>
      <c r="C95" s="355"/>
      <c r="F95" s="355"/>
      <c r="G95" s="355"/>
    </row>
    <row r="96" spans="1:9">
      <c r="C96" s="422"/>
      <c r="F96" s="494"/>
      <c r="G96" s="494"/>
    </row>
    <row r="97" spans="1:25">
      <c r="A97" s="523" t="s">
        <v>922</v>
      </c>
      <c r="B97" s="523" t="s">
        <v>936</v>
      </c>
      <c r="C97" s="523">
        <f>C71</f>
        <v>75000</v>
      </c>
      <c r="D97" s="523" t="s">
        <v>937</v>
      </c>
      <c r="F97" s="523">
        <f>F71</f>
        <v>95000</v>
      </c>
      <c r="G97" s="523">
        <f>G71</f>
        <v>125000</v>
      </c>
      <c r="H97" t="s">
        <v>959</v>
      </c>
    </row>
    <row r="98" spans="1: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792</v>
      </c>
    </row>
    <row r="99" spans="1:25">
      <c r="B99" s="531" t="s">
        <v>941</v>
      </c>
      <c r="C99" s="531">
        <f>ROUNDUP(C97/(8760*$C$62),0)</f>
        <v>10</v>
      </c>
      <c r="D99" s="531" t="s">
        <v>757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>
      <c r="O102" t="s">
        <v>960</v>
      </c>
      <c r="U102" t="s">
        <v>961</v>
      </c>
    </row>
    <row r="103" spans="1:25">
      <c r="A103" s="11" t="s">
        <v>962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963</v>
      </c>
      <c r="U103" s="537">
        <f>C32*1000000</f>
        <v>408000</v>
      </c>
      <c r="V103" t="s">
        <v>964</v>
      </c>
    </row>
    <row r="104" spans="1:25">
      <c r="F104" s="522"/>
      <c r="G104" s="522"/>
      <c r="O104">
        <f>'H-DRI literature and calcs'!D129</f>
        <v>0.74400000000000022</v>
      </c>
      <c r="P104" t="s">
        <v>965</v>
      </c>
      <c r="U104" s="355">
        <f>[16]Prices!M70*1000/Y104</f>
        <v>2266.6666666666665</v>
      </c>
      <c r="V104" t="s">
        <v>966</v>
      </c>
      <c r="Y104">
        <v>15</v>
      </c>
    </row>
    <row r="105" spans="1:25">
      <c r="A105" s="516" t="s">
        <v>967</v>
      </c>
      <c r="B105" t="s">
        <v>968</v>
      </c>
      <c r="C105" s="349">
        <f>'[16]Facility technicals and LCOE'!N18*B3*J2/1000000000</f>
        <v>6.12</v>
      </c>
      <c r="D105" t="s">
        <v>142</v>
      </c>
      <c r="F105" s="522"/>
      <c r="G105" s="522"/>
    </row>
    <row r="106" spans="1:25">
      <c r="B106" t="s">
        <v>969</v>
      </c>
      <c r="C106">
        <f>'[16]Facility technicals and LCOE'!M18/1000000</f>
        <v>1.504</v>
      </c>
      <c r="D106" t="s">
        <v>970</v>
      </c>
      <c r="F106" s="522"/>
      <c r="G106" s="522"/>
      <c r="U106" s="494">
        <f>U103*U104</f>
        <v>924799999.99999988</v>
      </c>
      <c r="V106" t="s">
        <v>971</v>
      </c>
    </row>
    <row r="107" spans="1:25">
      <c r="B107" t="s">
        <v>972</v>
      </c>
      <c r="C107" s="348">
        <f>'[16]Facility technicals and LCOE'!M23*B3/1000000</f>
        <v>1</v>
      </c>
      <c r="D107" t="s">
        <v>900</v>
      </c>
      <c r="F107" s="522"/>
      <c r="G107" s="522"/>
      <c r="U107" s="349">
        <f>U106/1000000</f>
        <v>924.79999999999984</v>
      </c>
      <c r="V107" t="s">
        <v>973</v>
      </c>
    </row>
    <row r="108" spans="1:25">
      <c r="B108" s="526" t="s">
        <v>907</v>
      </c>
      <c r="E108" s="526" t="s">
        <v>975</v>
      </c>
      <c r="F108" s="538"/>
      <c r="G108" s="538"/>
      <c r="H108" s="526" t="s">
        <v>976</v>
      </c>
    </row>
    <row r="109" spans="1:25">
      <c r="B109" t="s">
        <v>907</v>
      </c>
      <c r="C109">
        <f>C106</f>
        <v>1.504</v>
      </c>
      <c r="D109" t="s">
        <v>37</v>
      </c>
      <c r="F109" s="522"/>
      <c r="G109" s="522"/>
    </row>
    <row r="110" spans="1:25">
      <c r="B110" t="s">
        <v>907</v>
      </c>
      <c r="C110" s="349">
        <f>C105</f>
        <v>6.12</v>
      </c>
      <c r="D110" t="s">
        <v>925</v>
      </c>
    </row>
    <row r="111" spans="1:25">
      <c r="B111" t="s">
        <v>907</v>
      </c>
      <c r="C111" s="348">
        <f>C107</f>
        <v>1</v>
      </c>
      <c r="D111" t="s">
        <v>837</v>
      </c>
    </row>
    <row r="113" spans="1:17">
      <c r="A113" t="s">
        <v>929</v>
      </c>
      <c r="B113" t="s">
        <v>977</v>
      </c>
      <c r="C113" s="367">
        <v>0.9</v>
      </c>
      <c r="D113" t="s">
        <v>978</v>
      </c>
    </row>
    <row r="115" spans="1:17">
      <c r="A115" s="516" t="s">
        <v>909</v>
      </c>
      <c r="B115" s="516" t="s">
        <v>910</v>
      </c>
      <c r="C115" s="516">
        <f>'H-DRI literature and calcs'!AK131</f>
        <v>230</v>
      </c>
      <c r="D115" s="516" t="s">
        <v>861</v>
      </c>
      <c r="N115" s="131"/>
      <c r="O115" s="131"/>
      <c r="P115" s="131">
        <v>2020</v>
      </c>
      <c r="Q115" s="131" t="s">
        <v>426</v>
      </c>
    </row>
    <row r="116" spans="1:17">
      <c r="C116">
        <f>C115*[16]Deflators!D25</f>
        <v>264.5</v>
      </c>
      <c r="D116" t="s">
        <v>662</v>
      </c>
      <c r="N116" s="131" t="s">
        <v>910</v>
      </c>
      <c r="O116" s="131" t="s">
        <v>944</v>
      </c>
      <c r="P116" s="539">
        <f>C118</f>
        <v>3151.5174999999999</v>
      </c>
      <c r="Q116" s="131"/>
    </row>
    <row r="117" spans="1:17">
      <c r="C117" s="488">
        <f>C116*$B$4</f>
        <v>3151.5174999999999</v>
      </c>
      <c r="D117" t="s">
        <v>979</v>
      </c>
      <c r="N117" s="131" t="s">
        <v>943</v>
      </c>
      <c r="O117" s="131"/>
      <c r="P117" s="527">
        <f>C122</f>
        <v>618.86236976156738</v>
      </c>
      <c r="Q117" s="131"/>
    </row>
    <row r="118" spans="1:17">
      <c r="B118" t="s">
        <v>912</v>
      </c>
      <c r="C118" s="432">
        <f>C117</f>
        <v>3151.5174999999999</v>
      </c>
      <c r="D118" t="s">
        <v>913</v>
      </c>
      <c r="N118" s="150" t="s">
        <v>834</v>
      </c>
      <c r="O118" s="131"/>
      <c r="P118" s="131"/>
      <c r="Q118" s="131"/>
    </row>
    <row r="119" spans="1:17">
      <c r="C119" s="432"/>
      <c r="N119" s="131" t="s">
        <v>246</v>
      </c>
      <c r="O119" s="131" t="s">
        <v>980</v>
      </c>
      <c r="P119" s="131">
        <f>C109</f>
        <v>1.504</v>
      </c>
      <c r="Q119" s="131"/>
    </row>
    <row r="120" spans="1:17">
      <c r="B120" t="s">
        <v>981</v>
      </c>
      <c r="C120" s="432"/>
      <c r="N120" s="131" t="s">
        <v>839</v>
      </c>
      <c r="O120" s="131" t="s">
        <v>542</v>
      </c>
      <c r="P120" s="540">
        <f>C105</f>
        <v>6.12</v>
      </c>
      <c r="Q120" s="131"/>
    </row>
    <row r="121" spans="1:17">
      <c r="A121" t="s">
        <v>222</v>
      </c>
      <c r="B121" t="s">
        <v>701</v>
      </c>
      <c r="C121" s="494">
        <f>'[16]AMSA 2018 IA report'!D12*[16]Prices!C52</f>
        <v>725.14525500322793</v>
      </c>
      <c r="D121" t="s">
        <v>914</v>
      </c>
      <c r="N121" s="131" t="s">
        <v>14</v>
      </c>
      <c r="O121" s="131"/>
      <c r="P121" s="131"/>
      <c r="Q121" s="131"/>
    </row>
    <row r="122" spans="1:17">
      <c r="B122" t="s">
        <v>915</v>
      </c>
      <c r="C122" s="494">
        <f>C121*[16]Deflators!H8</f>
        <v>618.86236976156738</v>
      </c>
      <c r="D122" t="s">
        <v>916</v>
      </c>
      <c r="N122" s="131" t="s">
        <v>743</v>
      </c>
      <c r="O122" s="131" t="s">
        <v>745</v>
      </c>
      <c r="P122" s="131">
        <v>20</v>
      </c>
      <c r="Q122" s="131" t="s">
        <v>982</v>
      </c>
    </row>
    <row r="123" spans="1:17">
      <c r="N123" s="131" t="s">
        <v>930</v>
      </c>
      <c r="O123" s="131"/>
      <c r="P123" s="529">
        <v>0.9</v>
      </c>
      <c r="Q123" s="131" t="s">
        <v>983</v>
      </c>
    </row>
    <row r="125" spans="1:17">
      <c r="C125" s="349"/>
    </row>
    <row r="127" spans="1:17">
      <c r="A127" t="s">
        <v>984</v>
      </c>
    </row>
    <row r="129" spans="1:10">
      <c r="A129" t="s">
        <v>985</v>
      </c>
      <c r="C129" s="488">
        <f>[16]Prices!C16</f>
        <v>318.83499999999998</v>
      </c>
      <c r="D129" t="s">
        <v>986</v>
      </c>
    </row>
    <row r="130" spans="1:10">
      <c r="C130">
        <f>C129*[16]Deflators!C15</f>
        <v>4162.2431015000002</v>
      </c>
      <c r="D130" t="s">
        <v>979</v>
      </c>
    </row>
    <row r="136" spans="1:10">
      <c r="A136" s="11" t="s">
        <v>795</v>
      </c>
      <c r="B136" s="8"/>
      <c r="C136" s="8"/>
      <c r="D136" s="8"/>
      <c r="E136" s="8"/>
      <c r="F136" s="8"/>
      <c r="G136" s="8"/>
      <c r="H136" s="8"/>
      <c r="I136" s="8"/>
    </row>
    <row r="137" spans="1:10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>
      <c r="D138" s="541" t="s">
        <v>987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988</v>
      </c>
      <c r="I138" s="545" t="e" cm="1">
        <f t="array" aca="1" ref="I138" ca="1">MID(CELL("filename",#REF!),FIND("]",CELL("filename",#REF!))+1,256)</f>
        <v>#REF!</v>
      </c>
      <c r="J138" s="526" t="s">
        <v>989</v>
      </c>
    </row>
    <row r="139" spans="1:10">
      <c r="D139" s="546" t="s">
        <v>789</v>
      </c>
      <c r="E139" s="546"/>
      <c r="F139" s="547">
        <v>0.99</v>
      </c>
      <c r="G139" s="546"/>
      <c r="I139" t="s">
        <v>990</v>
      </c>
    </row>
    <row r="140" spans="1:10">
      <c r="B140" t="s">
        <v>991</v>
      </c>
      <c r="D140" s="546" t="s">
        <v>743</v>
      </c>
      <c r="E140" s="546"/>
      <c r="F140" s="546">
        <v>20</v>
      </c>
      <c r="G140" s="546"/>
      <c r="H140" t="s">
        <v>757</v>
      </c>
      <c r="I140" t="s">
        <v>929</v>
      </c>
      <c r="J140" s="367"/>
    </row>
    <row r="141" spans="1:10">
      <c r="B141">
        <v>1</v>
      </c>
      <c r="C141" t="s">
        <v>992</v>
      </c>
      <c r="D141" s="546"/>
      <c r="E141" s="546"/>
      <c r="F141" s="548">
        <f>B141*3.6/J2</f>
        <v>3.0000000000000002E-2</v>
      </c>
      <c r="G141" s="546"/>
      <c r="H141" t="s">
        <v>993</v>
      </c>
    </row>
    <row r="142" spans="1:10">
      <c r="C142" t="s">
        <v>994</v>
      </c>
      <c r="D142" s="131"/>
      <c r="E142" s="131"/>
      <c r="F142" s="131"/>
      <c r="G142" s="131"/>
    </row>
    <row r="143" spans="1:10">
      <c r="D143" s="131"/>
      <c r="E143" s="529">
        <v>0.01</v>
      </c>
      <c r="F143" s="529">
        <v>0.01</v>
      </c>
      <c r="G143" s="529">
        <v>0.01</v>
      </c>
      <c r="H143" t="s">
        <v>401</v>
      </c>
      <c r="I143" t="s">
        <v>995</v>
      </c>
      <c r="J143" s="497"/>
    </row>
    <row r="144" spans="1:10">
      <c r="D144" s="546" t="s">
        <v>954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>
      <c r="J149" s="494"/>
    </row>
    <row r="150" spans="10:10">
      <c r="J150" s="494"/>
    </row>
    <row r="151" spans="10:10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20"/>
  <sheetViews>
    <sheetView workbookViewId="0"/>
  </sheetViews>
  <sheetFormatPr defaultRowHeight="12.75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>
      <c r="A1" s="574" t="s">
        <v>1512</v>
      </c>
      <c r="B1" s="574" t="s">
        <v>1082</v>
      </c>
      <c r="C1" s="574"/>
      <c r="D1" s="574"/>
      <c r="E1" s="574"/>
      <c r="F1" s="574"/>
    </row>
    <row r="2" spans="1:6" ht="15">
      <c r="A2" s="574"/>
      <c r="B2" s="574" t="s">
        <v>1071</v>
      </c>
      <c r="C2" s="574" t="s">
        <v>1081</v>
      </c>
      <c r="D2" s="574" t="s">
        <v>1080</v>
      </c>
      <c r="E2" s="574" t="s">
        <v>142</v>
      </c>
      <c r="F2" s="574" t="s">
        <v>1075</v>
      </c>
    </row>
    <row r="3" spans="1:6" ht="15">
      <c r="A3" s="574"/>
      <c r="B3" s="574" t="s">
        <v>1071</v>
      </c>
      <c r="C3" s="574" t="s">
        <v>1079</v>
      </c>
      <c r="D3" s="574" t="s">
        <v>1078</v>
      </c>
      <c r="E3" s="574" t="s">
        <v>142</v>
      </c>
      <c r="F3" s="574" t="s">
        <v>1068</v>
      </c>
    </row>
    <row r="4" spans="1:6" ht="15">
      <c r="A4" s="574"/>
      <c r="B4" s="574" t="s">
        <v>1071</v>
      </c>
      <c r="C4" s="574" t="s">
        <v>1077</v>
      </c>
      <c r="D4" s="574" t="s">
        <v>1076</v>
      </c>
      <c r="E4" s="574" t="s">
        <v>142</v>
      </c>
      <c r="F4" s="574" t="s">
        <v>1075</v>
      </c>
    </row>
    <row r="5" spans="1:6" ht="15">
      <c r="A5" s="574"/>
      <c r="B5" s="574" t="s">
        <v>1071</v>
      </c>
      <c r="C5" s="574" t="s">
        <v>1074</v>
      </c>
      <c r="D5" s="574" t="s">
        <v>1073</v>
      </c>
      <c r="E5" s="574" t="s">
        <v>142</v>
      </c>
      <c r="F5" s="574" t="s">
        <v>1072</v>
      </c>
    </row>
    <row r="6" spans="1:6" ht="15">
      <c r="A6" s="574"/>
      <c r="B6" s="574" t="s">
        <v>1071</v>
      </c>
      <c r="C6" s="574" t="s">
        <v>1070</v>
      </c>
      <c r="D6" s="574" t="s">
        <v>1069</v>
      </c>
      <c r="E6" s="574" t="s">
        <v>142</v>
      </c>
      <c r="F6" s="574" t="s">
        <v>1068</v>
      </c>
    </row>
    <row r="7" spans="1:6" ht="15">
      <c r="A7" s="574"/>
      <c r="B7" s="574" t="s">
        <v>1042</v>
      </c>
      <c r="C7" s="574" t="s">
        <v>1067</v>
      </c>
      <c r="D7" s="574" t="s">
        <v>1066</v>
      </c>
      <c r="E7" s="574" t="s">
        <v>1039</v>
      </c>
      <c r="F7" s="574" t="s">
        <v>1043</v>
      </c>
    </row>
    <row r="8" spans="1:6" ht="15">
      <c r="A8" s="574"/>
      <c r="B8" s="574" t="s">
        <v>1042</v>
      </c>
      <c r="C8" s="574" t="s">
        <v>1065</v>
      </c>
      <c r="D8" s="574" t="s">
        <v>1064</v>
      </c>
      <c r="E8" s="574" t="s">
        <v>1047</v>
      </c>
      <c r="F8" s="574" t="s">
        <v>1038</v>
      </c>
    </row>
    <row r="9" spans="1:6" ht="15">
      <c r="A9" s="574"/>
      <c r="B9" s="574" t="s">
        <v>1042</v>
      </c>
      <c r="C9" s="574" t="s">
        <v>1063</v>
      </c>
      <c r="D9" s="574" t="s">
        <v>1062</v>
      </c>
      <c r="E9" s="574" t="s">
        <v>1047</v>
      </c>
      <c r="F9" s="574" t="s">
        <v>1051</v>
      </c>
    </row>
    <row r="10" spans="1:6" ht="15">
      <c r="A10" s="574"/>
      <c r="B10" s="574" t="s">
        <v>1042</v>
      </c>
      <c r="C10" s="574" t="s">
        <v>1061</v>
      </c>
      <c r="D10" s="574" t="s">
        <v>1060</v>
      </c>
      <c r="E10" s="574" t="s">
        <v>1054</v>
      </c>
      <c r="F10" s="574" t="s">
        <v>1038</v>
      </c>
    </row>
    <row r="11" spans="1:6" ht="15">
      <c r="A11" s="574"/>
      <c r="B11" s="574" t="s">
        <v>1042</v>
      </c>
      <c r="C11" s="574" t="s">
        <v>1059</v>
      </c>
      <c r="D11" s="574" t="s">
        <v>1058</v>
      </c>
      <c r="E11" s="574" t="s">
        <v>1057</v>
      </c>
      <c r="F11" s="574" t="s">
        <v>1051</v>
      </c>
    </row>
    <row r="12" spans="1:6" ht="15">
      <c r="A12" s="574"/>
      <c r="B12" s="574" t="s">
        <v>1042</v>
      </c>
      <c r="C12" s="574" t="s">
        <v>1056</v>
      </c>
      <c r="D12" s="574" t="s">
        <v>1055</v>
      </c>
      <c r="E12" s="574" t="s">
        <v>1054</v>
      </c>
      <c r="F12" s="574" t="s">
        <v>1038</v>
      </c>
    </row>
    <row r="13" spans="1:6" ht="15">
      <c r="A13" s="574"/>
      <c r="B13" s="574" t="s">
        <v>1042</v>
      </c>
      <c r="C13" s="574" t="s">
        <v>1053</v>
      </c>
      <c r="D13" s="574" t="s">
        <v>1052</v>
      </c>
      <c r="E13" s="574" t="s">
        <v>1039</v>
      </c>
      <c r="F13" s="574" t="s">
        <v>1051</v>
      </c>
    </row>
    <row r="14" spans="1:6" ht="15">
      <c r="A14" s="574" t="s">
        <v>1050</v>
      </c>
      <c r="B14" s="574" t="s">
        <v>1042</v>
      </c>
      <c r="C14" s="574" t="s">
        <v>1049</v>
      </c>
      <c r="D14" s="574" t="s">
        <v>1048</v>
      </c>
      <c r="E14" s="574" t="s">
        <v>1047</v>
      </c>
      <c r="F14" s="574" t="s">
        <v>1046</v>
      </c>
    </row>
    <row r="15" spans="1:6" ht="15">
      <c r="A15" s="574"/>
      <c r="B15" s="574" t="s">
        <v>1042</v>
      </c>
      <c r="C15" s="574" t="s">
        <v>1045</v>
      </c>
      <c r="D15" s="574" t="s">
        <v>1044</v>
      </c>
      <c r="E15" s="574" t="s">
        <v>1039</v>
      </c>
      <c r="F15" s="574" t="s">
        <v>1043</v>
      </c>
    </row>
    <row r="16" spans="1:6" ht="15">
      <c r="A16" s="574"/>
      <c r="B16" s="574" t="s">
        <v>1042</v>
      </c>
      <c r="C16" s="574" t="s">
        <v>1041</v>
      </c>
      <c r="D16" s="574" t="s">
        <v>1040</v>
      </c>
      <c r="E16" s="574" t="s">
        <v>1039</v>
      </c>
      <c r="F16" s="574" t="s">
        <v>1038</v>
      </c>
    </row>
    <row r="17" spans="2:6" ht="15">
      <c r="B17" s="573" t="s">
        <v>1035</v>
      </c>
      <c r="C17" s="573" t="s">
        <v>1037</v>
      </c>
      <c r="D17" s="573" t="s">
        <v>1036</v>
      </c>
      <c r="E17" s="573"/>
      <c r="F17" s="573" t="s">
        <v>1032</v>
      </c>
    </row>
    <row r="18" spans="2:6" ht="15">
      <c r="B18" s="573" t="s">
        <v>1035</v>
      </c>
      <c r="C18" s="573" t="s">
        <v>1034</v>
      </c>
      <c r="D18" s="573" t="s">
        <v>1033</v>
      </c>
      <c r="E18" s="573"/>
      <c r="F18" s="573" t="s">
        <v>1032</v>
      </c>
    </row>
    <row r="19" spans="2:6" ht="15">
      <c r="B19" t="s">
        <v>1071</v>
      </c>
      <c r="C19" t="s">
        <v>1544</v>
      </c>
      <c r="D19" t="s">
        <v>1545</v>
      </c>
      <c r="E19" t="s">
        <v>142</v>
      </c>
      <c r="F19" t="s">
        <v>1075</v>
      </c>
    </row>
    <row r="20" spans="2:6" ht="15">
      <c r="B20" t="s">
        <v>1042</v>
      </c>
      <c r="C20" t="s">
        <v>1543</v>
      </c>
      <c r="D20" t="s">
        <v>1546</v>
      </c>
      <c r="E20" t="s">
        <v>1039</v>
      </c>
      <c r="F20" t="s">
        <v>1043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workbookViewId="0"/>
  </sheetViews>
  <sheetFormatPr defaultRowHeight="12.75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>
      <c r="A1" s="574" t="s">
        <v>1513</v>
      </c>
      <c r="B1" s="574" t="s">
        <v>1082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>
      <c r="A2" s="574"/>
      <c r="B2" s="574" t="s">
        <v>915</v>
      </c>
      <c r="C2" s="574" t="s">
        <v>1061</v>
      </c>
      <c r="D2" s="574" t="s">
        <v>705</v>
      </c>
      <c r="E2" s="574" t="s">
        <v>705</v>
      </c>
      <c r="F2" s="574" t="s">
        <v>705</v>
      </c>
      <c r="G2" s="574" t="s">
        <v>705</v>
      </c>
      <c r="H2" s="574" t="s">
        <v>705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>
      <c r="A3" s="574"/>
      <c r="B3" s="574" t="s">
        <v>915</v>
      </c>
      <c r="C3" s="574" t="s">
        <v>1056</v>
      </c>
      <c r="D3" s="574" t="s">
        <v>705</v>
      </c>
      <c r="E3" s="574" t="s">
        <v>705</v>
      </c>
      <c r="F3" s="574" t="s">
        <v>705</v>
      </c>
      <c r="G3" s="574" t="s">
        <v>705</v>
      </c>
      <c r="H3" s="574" t="s">
        <v>705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>
      <c r="A4" s="574" t="s">
        <v>1050</v>
      </c>
      <c r="B4" s="574" t="s">
        <v>915</v>
      </c>
      <c r="C4" s="574" t="s">
        <v>1049</v>
      </c>
      <c r="D4" s="574" t="s">
        <v>705</v>
      </c>
      <c r="E4" s="574" t="s">
        <v>705</v>
      </c>
      <c r="F4" s="574" t="s">
        <v>705</v>
      </c>
      <c r="G4" s="574" t="s">
        <v>705</v>
      </c>
      <c r="H4" s="574" t="s">
        <v>705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>
      <c r="A5" s="574"/>
      <c r="B5" s="574" t="s">
        <v>915</v>
      </c>
      <c r="C5" s="574" t="s">
        <v>1045</v>
      </c>
      <c r="D5" s="574" t="s">
        <v>705</v>
      </c>
      <c r="E5" s="574" t="s">
        <v>705</v>
      </c>
      <c r="F5" s="574" t="s">
        <v>705</v>
      </c>
      <c r="G5" s="574" t="s">
        <v>705</v>
      </c>
      <c r="H5" s="574" t="s">
        <v>705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>
      <c r="A6" s="574"/>
      <c r="B6" s="574" t="s">
        <v>924</v>
      </c>
      <c r="C6" s="574" t="s">
        <v>1067</v>
      </c>
      <c r="D6" s="574" t="s">
        <v>705</v>
      </c>
      <c r="E6" s="574" t="s">
        <v>1088</v>
      </c>
      <c r="F6" s="574" t="s">
        <v>705</v>
      </c>
      <c r="G6" s="574" t="s">
        <v>1099</v>
      </c>
      <c r="H6" s="574" t="s">
        <v>705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>
      <c r="A7" s="574"/>
      <c r="B7" s="574" t="s">
        <v>924</v>
      </c>
      <c r="C7" s="574" t="s">
        <v>1065</v>
      </c>
      <c r="D7" s="574" t="s">
        <v>705</v>
      </c>
      <c r="E7" s="574" t="s">
        <v>1088</v>
      </c>
      <c r="F7" s="574" t="s">
        <v>705</v>
      </c>
      <c r="G7" s="574" t="s">
        <v>1099</v>
      </c>
      <c r="H7" s="574" t="s">
        <v>705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scenarios'!Q7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scenarios'!R7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scenarios'!S7</f>
        <v>1.3333333333333333</v>
      </c>
      <c r="AO7" s="574"/>
      <c r="AP7" s="574"/>
    </row>
    <row r="8" spans="1:42" ht="15">
      <c r="A8" s="574"/>
      <c r="B8" s="574" t="s">
        <v>924</v>
      </c>
      <c r="C8" s="574" t="s">
        <v>1059</v>
      </c>
      <c r="D8" s="574" t="s">
        <v>705</v>
      </c>
      <c r="E8" s="574" t="s">
        <v>1088</v>
      </c>
      <c r="F8" s="574" t="s">
        <v>705</v>
      </c>
      <c r="G8" s="574" t="s">
        <v>1099</v>
      </c>
      <c r="H8" s="574" t="s">
        <v>705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>
      <c r="A9" s="574" t="s">
        <v>1050</v>
      </c>
      <c r="B9" s="574" t="s">
        <v>924</v>
      </c>
      <c r="C9" s="574" t="s">
        <v>1049</v>
      </c>
      <c r="D9" s="574" t="s">
        <v>705</v>
      </c>
      <c r="E9" s="574" t="s">
        <v>1088</v>
      </c>
      <c r="F9" s="574" t="s">
        <v>705</v>
      </c>
      <c r="G9" s="574" t="s">
        <v>1099</v>
      </c>
      <c r="H9" s="574" t="s">
        <v>705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>
      <c r="A10" s="574"/>
      <c r="B10" s="574" t="s">
        <v>924</v>
      </c>
      <c r="C10" s="574" t="s">
        <v>1041</v>
      </c>
      <c r="D10" s="574" t="s">
        <v>705</v>
      </c>
      <c r="E10" s="574" t="s">
        <v>1088</v>
      </c>
      <c r="F10" s="574" t="s">
        <v>705</v>
      </c>
      <c r="G10" s="574" t="s">
        <v>1099</v>
      </c>
      <c r="H10" s="574" t="s">
        <v>705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>
      <c r="A11" s="574"/>
      <c r="B11" s="574" t="s">
        <v>904</v>
      </c>
      <c r="C11" s="574" t="s">
        <v>1061</v>
      </c>
      <c r="D11" s="574" t="s">
        <v>705</v>
      </c>
      <c r="E11" s="574" t="s">
        <v>1034</v>
      </c>
      <c r="F11" s="574" t="s">
        <v>1037</v>
      </c>
      <c r="G11" s="574" t="s">
        <v>1099</v>
      </c>
      <c r="H11" s="574" t="s">
        <v>705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>
      <c r="A12" s="574"/>
      <c r="B12" s="574" t="s">
        <v>904</v>
      </c>
      <c r="C12" s="574" t="s">
        <v>1053</v>
      </c>
      <c r="D12" s="574" t="s">
        <v>705</v>
      </c>
      <c r="E12" s="574" t="s">
        <v>1070</v>
      </c>
      <c r="F12" s="574" t="s">
        <v>1074</v>
      </c>
      <c r="G12" s="574" t="s">
        <v>1099</v>
      </c>
      <c r="H12" s="574" t="s">
        <v>705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>
      <c r="A13" s="574"/>
      <c r="B13" s="574" t="s">
        <v>906</v>
      </c>
      <c r="C13" s="574" t="s">
        <v>1061</v>
      </c>
      <c r="D13" s="574" t="s">
        <v>1079</v>
      </c>
      <c r="E13" s="574" t="s">
        <v>1037</v>
      </c>
      <c r="F13" s="574" t="s">
        <v>705</v>
      </c>
      <c r="G13" s="574" t="s">
        <v>1099</v>
      </c>
      <c r="H13" s="574" t="s">
        <v>1100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>
      <c r="A14" s="574"/>
      <c r="B14" s="574" t="s">
        <v>906</v>
      </c>
      <c r="C14" s="574" t="s">
        <v>1061</v>
      </c>
      <c r="D14" s="574" t="s">
        <v>1074</v>
      </c>
      <c r="E14" s="574" t="s">
        <v>1037</v>
      </c>
      <c r="F14" s="574" t="s">
        <v>705</v>
      </c>
      <c r="G14" s="574" t="s">
        <v>1099</v>
      </c>
      <c r="H14" s="574" t="s">
        <v>1100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>
      <c r="A15" s="574"/>
      <c r="B15" s="574" t="s">
        <v>1091</v>
      </c>
      <c r="C15" s="574" t="s">
        <v>1063</v>
      </c>
      <c r="D15" s="574" t="s">
        <v>705</v>
      </c>
      <c r="E15" s="574" t="s">
        <v>705</v>
      </c>
      <c r="F15" s="574" t="s">
        <v>705</v>
      </c>
      <c r="G15" s="574" t="s">
        <v>1099</v>
      </c>
      <c r="H15" s="574" t="s">
        <v>592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>
      <c r="A16" s="574"/>
      <c r="B16" s="574" t="s">
        <v>1091</v>
      </c>
      <c r="C16" s="574" t="s">
        <v>1056</v>
      </c>
      <c r="D16" s="574" t="s">
        <v>705</v>
      </c>
      <c r="E16" s="574" t="s">
        <v>705</v>
      </c>
      <c r="F16" s="574" t="s">
        <v>705</v>
      </c>
      <c r="G16" s="574" t="s">
        <v>1099</v>
      </c>
      <c r="H16" s="574" t="s">
        <v>592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>
      <c r="A17" s="574" t="s">
        <v>1050</v>
      </c>
      <c r="B17" s="574" t="s">
        <v>1091</v>
      </c>
      <c r="C17" s="574" t="s">
        <v>1049</v>
      </c>
      <c r="D17" s="574" t="s">
        <v>705</v>
      </c>
      <c r="E17" s="574" t="s">
        <v>705</v>
      </c>
      <c r="F17" s="574" t="s">
        <v>705</v>
      </c>
      <c r="G17" s="574" t="s">
        <v>1098</v>
      </c>
      <c r="H17" s="574" t="s">
        <v>592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>
      <c r="A18" s="574" t="s">
        <v>1050</v>
      </c>
      <c r="B18" s="574" t="s">
        <v>1091</v>
      </c>
      <c r="C18" s="574" t="s">
        <v>1049</v>
      </c>
      <c r="D18" s="574" t="s">
        <v>705</v>
      </c>
      <c r="E18" s="574" t="s">
        <v>705</v>
      </c>
      <c r="F18" s="574" t="s">
        <v>705</v>
      </c>
      <c r="G18" s="574" t="s">
        <v>1097</v>
      </c>
      <c r="H18" s="574" t="s">
        <v>592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>
      <c r="A19" s="574" t="s">
        <v>1050</v>
      </c>
      <c r="B19" s="574" t="s">
        <v>1091</v>
      </c>
      <c r="C19" s="574" t="s">
        <v>1049</v>
      </c>
      <c r="D19" s="574" t="s">
        <v>705</v>
      </c>
      <c r="E19" s="574" t="s">
        <v>705</v>
      </c>
      <c r="F19" s="574" t="s">
        <v>705</v>
      </c>
      <c r="G19" s="574" t="s">
        <v>1096</v>
      </c>
      <c r="H19" s="574" t="s">
        <v>592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>
      <c r="A20" s="574" t="s">
        <v>1050</v>
      </c>
      <c r="B20" s="574" t="s">
        <v>1091</v>
      </c>
      <c r="C20" s="574" t="s">
        <v>1049</v>
      </c>
      <c r="D20" s="574" t="s">
        <v>705</v>
      </c>
      <c r="E20" s="574" t="s">
        <v>705</v>
      </c>
      <c r="F20" s="574" t="s">
        <v>705</v>
      </c>
      <c r="G20" s="574" t="s">
        <v>1095</v>
      </c>
      <c r="H20" s="574" t="s">
        <v>592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>
      <c r="A21" s="574" t="s">
        <v>1050</v>
      </c>
      <c r="B21" s="574" t="s">
        <v>1091</v>
      </c>
      <c r="C21" s="574" t="s">
        <v>1049</v>
      </c>
      <c r="D21" s="574" t="s">
        <v>705</v>
      </c>
      <c r="E21" s="574" t="s">
        <v>705</v>
      </c>
      <c r="F21" s="574" t="s">
        <v>705</v>
      </c>
      <c r="G21" s="574" t="s">
        <v>1094</v>
      </c>
      <c r="H21" s="574" t="s">
        <v>592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>
      <c r="A22" s="574" t="s">
        <v>1050</v>
      </c>
      <c r="B22" s="574" t="s">
        <v>1091</v>
      </c>
      <c r="C22" s="574" t="s">
        <v>1049</v>
      </c>
      <c r="D22" s="574" t="s">
        <v>705</v>
      </c>
      <c r="E22" s="574" t="s">
        <v>705</v>
      </c>
      <c r="F22" s="574" t="s">
        <v>705</v>
      </c>
      <c r="G22" s="574" t="s">
        <v>1093</v>
      </c>
      <c r="H22" s="574" t="s">
        <v>592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>
      <c r="A23" s="574" t="s">
        <v>1050</v>
      </c>
      <c r="B23" s="574" t="s">
        <v>1091</v>
      </c>
      <c r="C23" s="574" t="s">
        <v>1049</v>
      </c>
      <c r="D23" s="574" t="s">
        <v>705</v>
      </c>
      <c r="E23" s="574" t="s">
        <v>705</v>
      </c>
      <c r="F23" s="574" t="s">
        <v>705</v>
      </c>
      <c r="G23" s="574" t="s">
        <v>1092</v>
      </c>
      <c r="H23" s="574" t="s">
        <v>592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>
      <c r="A24" s="574" t="s">
        <v>1050</v>
      </c>
      <c r="B24" s="574" t="s">
        <v>1091</v>
      </c>
      <c r="C24" s="574" t="s">
        <v>1049</v>
      </c>
      <c r="D24" s="574" t="s">
        <v>705</v>
      </c>
      <c r="E24" s="574" t="s">
        <v>705</v>
      </c>
      <c r="F24" s="574" t="s">
        <v>705</v>
      </c>
      <c r="G24" s="574" t="s">
        <v>1090</v>
      </c>
      <c r="H24" s="574" t="s">
        <v>592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>
      <c r="B25" s="574" t="s">
        <v>977</v>
      </c>
      <c r="C25" s="574" t="s">
        <v>1065</v>
      </c>
      <c r="D25" s="574" t="s">
        <v>705</v>
      </c>
      <c r="E25" s="574" t="s">
        <v>705</v>
      </c>
      <c r="F25" s="574" t="s">
        <v>705</v>
      </c>
      <c r="G25" s="574" t="s">
        <v>705</v>
      </c>
      <c r="H25" s="574" t="s">
        <v>592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>
      <c r="B26" s="574" t="s">
        <v>977</v>
      </c>
      <c r="C26" s="574" t="s">
        <v>1063</v>
      </c>
      <c r="D26" s="574" t="s">
        <v>705</v>
      </c>
      <c r="E26" s="574" t="s">
        <v>705</v>
      </c>
      <c r="F26" s="574" t="s">
        <v>705</v>
      </c>
      <c r="G26" s="574" t="s">
        <v>705</v>
      </c>
      <c r="H26" s="574" t="s">
        <v>592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>
      <c r="B27" s="574" t="s">
        <v>977</v>
      </c>
      <c r="C27" s="574" t="s">
        <v>1061</v>
      </c>
      <c r="D27" s="574" t="s">
        <v>705</v>
      </c>
      <c r="E27" s="574" t="s">
        <v>705</v>
      </c>
      <c r="F27" s="574" t="s">
        <v>705</v>
      </c>
      <c r="G27" s="574" t="s">
        <v>705</v>
      </c>
      <c r="H27" s="574" t="s">
        <v>592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>
      <c r="B28" s="574" t="s">
        <v>1089</v>
      </c>
      <c r="C28" s="574" t="s">
        <v>1063</v>
      </c>
      <c r="D28" s="574" t="s">
        <v>705</v>
      </c>
      <c r="E28" s="574" t="s">
        <v>1088</v>
      </c>
      <c r="F28" s="574" t="s">
        <v>705</v>
      </c>
      <c r="G28" s="574" t="s">
        <v>1087</v>
      </c>
      <c r="H28" s="574" t="s">
        <v>705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>
      <c r="B29" s="574" t="s">
        <v>1086</v>
      </c>
      <c r="C29" s="574" t="s">
        <v>1067</v>
      </c>
      <c r="D29" s="574" t="s">
        <v>705</v>
      </c>
      <c r="E29" s="574" t="s">
        <v>705</v>
      </c>
      <c r="F29" s="574" t="s">
        <v>705</v>
      </c>
      <c r="G29" s="574" t="s">
        <v>705</v>
      </c>
      <c r="H29" s="574" t="s">
        <v>705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>
      <c r="B30" s="574" t="s">
        <v>1086</v>
      </c>
      <c r="C30" s="574" t="s">
        <v>1065</v>
      </c>
      <c r="D30" s="574" t="s">
        <v>705</v>
      </c>
      <c r="E30" s="574" t="s">
        <v>705</v>
      </c>
      <c r="F30" s="574" t="s">
        <v>705</v>
      </c>
      <c r="G30" s="574" t="s">
        <v>705</v>
      </c>
      <c r="H30" s="574" t="s">
        <v>705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scenarios'!Q6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scenarios'!R6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scenarios'!S6</f>
        <v>5361.75</v>
      </c>
      <c r="AO30" s="574"/>
      <c r="AP30" s="574"/>
    </row>
    <row r="31" spans="1:42" ht="15">
      <c r="B31" s="574" t="s">
        <v>1086</v>
      </c>
      <c r="C31" s="574" t="s">
        <v>1063</v>
      </c>
      <c r="D31" s="574" t="s">
        <v>705</v>
      </c>
      <c r="E31" s="574" t="s">
        <v>705</v>
      </c>
      <c r="F31" s="574" t="s">
        <v>705</v>
      </c>
      <c r="G31" s="574" t="s">
        <v>705</v>
      </c>
      <c r="H31" s="574" t="s">
        <v>705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>
      <c r="B32" s="574" t="s">
        <v>1086</v>
      </c>
      <c r="C32" s="574" t="s">
        <v>1061</v>
      </c>
      <c r="D32" s="574" t="s">
        <v>705</v>
      </c>
      <c r="E32" s="574" t="s">
        <v>705</v>
      </c>
      <c r="F32" s="574" t="s">
        <v>705</v>
      </c>
      <c r="G32" s="574" t="s">
        <v>705</v>
      </c>
      <c r="H32" s="574" t="s">
        <v>705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>
      <c r="B33" s="574" t="s">
        <v>1086</v>
      </c>
      <c r="C33" s="574" t="s">
        <v>1059</v>
      </c>
      <c r="D33" s="574" t="s">
        <v>705</v>
      </c>
      <c r="E33" s="574" t="s">
        <v>705</v>
      </c>
      <c r="F33" s="574" t="s">
        <v>705</v>
      </c>
      <c r="G33" s="574" t="s">
        <v>705</v>
      </c>
      <c r="H33" s="574" t="s">
        <v>705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>
      <c r="B34" s="574" t="s">
        <v>1086</v>
      </c>
      <c r="C34" s="574" t="s">
        <v>1056</v>
      </c>
      <c r="D34" s="574" t="s">
        <v>705</v>
      </c>
      <c r="E34" s="574" t="s">
        <v>705</v>
      </c>
      <c r="F34" s="574" t="s">
        <v>705</v>
      </c>
      <c r="G34" s="574" t="s">
        <v>705</v>
      </c>
      <c r="H34" s="574" t="s">
        <v>705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>
      <c r="B35" s="574" t="s">
        <v>1086</v>
      </c>
      <c r="C35" s="574" t="s">
        <v>1053</v>
      </c>
      <c r="D35" s="574" t="s">
        <v>705</v>
      </c>
      <c r="E35" s="574" t="s">
        <v>705</v>
      </c>
      <c r="F35" s="574" t="s">
        <v>705</v>
      </c>
      <c r="G35" s="574" t="s">
        <v>705</v>
      </c>
      <c r="H35" s="574" t="s">
        <v>705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>
      <c r="A36" s="574" t="s">
        <v>1050</v>
      </c>
      <c r="B36" s="574" t="s">
        <v>1086</v>
      </c>
      <c r="C36" s="574" t="s">
        <v>1049</v>
      </c>
      <c r="D36" s="574" t="s">
        <v>705</v>
      </c>
      <c r="E36" s="574" t="s">
        <v>705</v>
      </c>
      <c r="F36" s="574" t="s">
        <v>705</v>
      </c>
      <c r="G36" s="574" t="s">
        <v>705</v>
      </c>
      <c r="H36" s="574" t="s">
        <v>705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>
      <c r="B37" s="574" t="s">
        <v>1086</v>
      </c>
      <c r="C37" s="574" t="s">
        <v>1041</v>
      </c>
      <c r="D37" s="574" t="s">
        <v>705</v>
      </c>
      <c r="E37" s="574" t="s">
        <v>705</v>
      </c>
      <c r="F37" s="574" t="s">
        <v>705</v>
      </c>
      <c r="G37" s="574" t="s">
        <v>705</v>
      </c>
      <c r="H37" s="574" t="s">
        <v>705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>
      <c r="B38" s="574" t="s">
        <v>954</v>
      </c>
      <c r="C38" s="574" t="s">
        <v>1065</v>
      </c>
      <c r="D38" s="574" t="s">
        <v>705</v>
      </c>
      <c r="E38" s="574" t="s">
        <v>705</v>
      </c>
      <c r="F38" s="574" t="s">
        <v>705</v>
      </c>
      <c r="G38" s="574" t="s">
        <v>705</v>
      </c>
      <c r="H38" s="574" t="s">
        <v>705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scenarios'!Q9</f>
        <v>557.62199999999996</v>
      </c>
      <c r="U38" s="574"/>
      <c r="V38" s="574"/>
      <c r="Y38" s="574"/>
      <c r="Z38" s="574"/>
      <c r="AA38" s="574"/>
      <c r="AB38" s="575">
        <f>'HDRI scenarios'!R9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scenarios'!S9</f>
        <v>268.08750000000003</v>
      </c>
      <c r="AO38" s="574"/>
      <c r="AP38" s="574"/>
    </row>
    <row r="39" spans="1:42" ht="15">
      <c r="B39" s="574" t="s">
        <v>954</v>
      </c>
      <c r="C39" s="574" t="s">
        <v>1063</v>
      </c>
      <c r="D39" s="574" t="s">
        <v>705</v>
      </c>
      <c r="E39" s="574" t="s">
        <v>705</v>
      </c>
      <c r="F39" s="574" t="s">
        <v>705</v>
      </c>
      <c r="G39" s="574" t="s">
        <v>705</v>
      </c>
      <c r="H39" s="574" t="s">
        <v>705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>
      <c r="B40" s="574" t="s">
        <v>954</v>
      </c>
      <c r="C40" s="574" t="s">
        <v>1056</v>
      </c>
      <c r="D40" s="574" t="s">
        <v>705</v>
      </c>
      <c r="E40" s="574" t="s">
        <v>705</v>
      </c>
      <c r="F40" s="574" t="s">
        <v>705</v>
      </c>
      <c r="G40" s="574" t="s">
        <v>705</v>
      </c>
      <c r="H40" s="574" t="s">
        <v>705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>
      <c r="B41" s="574" t="s">
        <v>954</v>
      </c>
      <c r="C41" s="574" t="s">
        <v>1053</v>
      </c>
      <c r="D41" s="574" t="s">
        <v>705</v>
      </c>
      <c r="E41" s="574" t="s">
        <v>705</v>
      </c>
      <c r="F41" s="574" t="s">
        <v>705</v>
      </c>
      <c r="G41" s="574" t="s">
        <v>705</v>
      </c>
      <c r="H41" s="574" t="s">
        <v>705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>
      <c r="A42" s="574" t="s">
        <v>1050</v>
      </c>
      <c r="B42" s="574" t="s">
        <v>954</v>
      </c>
      <c r="C42" s="574" t="s">
        <v>1049</v>
      </c>
      <c r="D42" s="574" t="s">
        <v>705</v>
      </c>
      <c r="E42" s="574" t="s">
        <v>705</v>
      </c>
      <c r="F42" s="574" t="s">
        <v>705</v>
      </c>
      <c r="G42" s="574" t="s">
        <v>705</v>
      </c>
      <c r="H42" s="574" t="s">
        <v>705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>
      <c r="B43" s="574" t="s">
        <v>1085</v>
      </c>
      <c r="C43" s="574" t="s">
        <v>1065</v>
      </c>
      <c r="D43" s="574" t="s">
        <v>705</v>
      </c>
      <c r="E43" s="574" t="s">
        <v>705</v>
      </c>
      <c r="F43" s="574" t="s">
        <v>705</v>
      </c>
      <c r="G43" s="574" t="s">
        <v>705</v>
      </c>
      <c r="H43" s="574" t="s">
        <v>705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>
      <c r="B44" s="574" t="s">
        <v>1085</v>
      </c>
      <c r="C44" s="574" t="s">
        <v>1063</v>
      </c>
      <c r="D44" s="574" t="s">
        <v>705</v>
      </c>
      <c r="E44" s="574" t="s">
        <v>705</v>
      </c>
      <c r="F44" s="574" t="s">
        <v>705</v>
      </c>
      <c r="G44" s="574" t="s">
        <v>705</v>
      </c>
      <c r="H44" s="574" t="s">
        <v>705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>
      <c r="B45" s="574" t="s">
        <v>1085</v>
      </c>
      <c r="C45" s="574" t="s">
        <v>1061</v>
      </c>
      <c r="D45" s="574" t="s">
        <v>705</v>
      </c>
      <c r="E45" s="574" t="s">
        <v>705</v>
      </c>
      <c r="F45" s="574" t="s">
        <v>705</v>
      </c>
      <c r="G45" s="574" t="s">
        <v>705</v>
      </c>
      <c r="H45" s="574" t="s">
        <v>705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>
      <c r="B46" s="574" t="s">
        <v>1085</v>
      </c>
      <c r="C46" s="574" t="s">
        <v>1056</v>
      </c>
      <c r="D46" s="574" t="s">
        <v>705</v>
      </c>
      <c r="E46" s="574" t="s">
        <v>705</v>
      </c>
      <c r="F46" s="574" t="s">
        <v>705</v>
      </c>
      <c r="G46" s="574" t="s">
        <v>705</v>
      </c>
      <c r="H46" s="574" t="s">
        <v>705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>
      <c r="B47" s="574" t="s">
        <v>1085</v>
      </c>
      <c r="C47" s="574" t="s">
        <v>1053</v>
      </c>
      <c r="D47" s="574" t="s">
        <v>705</v>
      </c>
      <c r="E47" s="574" t="s">
        <v>705</v>
      </c>
      <c r="F47" s="574" t="s">
        <v>705</v>
      </c>
      <c r="G47" s="574" t="s">
        <v>705</v>
      </c>
      <c r="H47" s="574" t="s">
        <v>705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>
      <c r="A48" s="574" t="s">
        <v>1050</v>
      </c>
      <c r="B48" s="574" t="s">
        <v>1085</v>
      </c>
      <c r="C48" s="574" t="s">
        <v>1049</v>
      </c>
      <c r="D48" s="574" t="s">
        <v>705</v>
      </c>
      <c r="E48" s="574" t="s">
        <v>705</v>
      </c>
      <c r="F48" s="574" t="s">
        <v>705</v>
      </c>
      <c r="G48" s="574" t="s">
        <v>705</v>
      </c>
      <c r="H48" s="574" t="s">
        <v>705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>
      <c r="B49" s="574" t="s">
        <v>1084</v>
      </c>
      <c r="C49" s="574" t="s">
        <v>1065</v>
      </c>
      <c r="D49" s="574" t="s">
        <v>705</v>
      </c>
      <c r="E49" s="574" t="s">
        <v>705</v>
      </c>
      <c r="F49" s="574" t="s">
        <v>705</v>
      </c>
      <c r="G49" s="574" t="s">
        <v>705</v>
      </c>
      <c r="H49" s="574" t="s">
        <v>705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scenarios'!Q8</f>
        <v>10</v>
      </c>
      <c r="U49" s="574"/>
      <c r="X49" s="574"/>
      <c r="Y49" s="574"/>
      <c r="Z49" s="574"/>
      <c r="AA49" s="574"/>
      <c r="AB49" s="575">
        <f>'HDRI scenarios'!R8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scenarios'!S8</f>
        <v>16</v>
      </c>
      <c r="AO49" s="574"/>
      <c r="AP49" s="574"/>
    </row>
    <row r="50" spans="1:42" ht="15">
      <c r="B50" s="574" t="s">
        <v>1084</v>
      </c>
      <c r="C50" s="574" t="s">
        <v>1063</v>
      </c>
      <c r="D50" s="574" t="s">
        <v>705</v>
      </c>
      <c r="E50" s="574" t="s">
        <v>705</v>
      </c>
      <c r="F50" s="574" t="s">
        <v>705</v>
      </c>
      <c r="G50" s="574" t="s">
        <v>705</v>
      </c>
      <c r="H50" s="574" t="s">
        <v>705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>
      <c r="B51" s="574" t="s">
        <v>1084</v>
      </c>
      <c r="C51" s="574" t="s">
        <v>1061</v>
      </c>
      <c r="D51" s="574" t="s">
        <v>705</v>
      </c>
      <c r="E51" s="574" t="s">
        <v>705</v>
      </c>
      <c r="F51" s="574" t="s">
        <v>705</v>
      </c>
      <c r="G51" s="574" t="s">
        <v>705</v>
      </c>
      <c r="H51" s="574" t="s">
        <v>705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>
      <c r="B52" s="574" t="s">
        <v>1084</v>
      </c>
      <c r="C52" s="574" t="s">
        <v>1056</v>
      </c>
      <c r="D52" s="574" t="s">
        <v>705</v>
      </c>
      <c r="E52" s="574" t="s">
        <v>705</v>
      </c>
      <c r="F52" s="574" t="s">
        <v>705</v>
      </c>
      <c r="G52" s="574" t="s">
        <v>705</v>
      </c>
      <c r="H52" s="574" t="s">
        <v>705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>
      <c r="B53" s="574" t="s">
        <v>1084</v>
      </c>
      <c r="C53" s="574" t="s">
        <v>1053</v>
      </c>
      <c r="D53" s="574" t="s">
        <v>705</v>
      </c>
      <c r="E53" s="574" t="s">
        <v>705</v>
      </c>
      <c r="F53" s="574" t="s">
        <v>705</v>
      </c>
      <c r="G53" s="574" t="s">
        <v>705</v>
      </c>
      <c r="H53" s="574" t="s">
        <v>705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>
      <c r="A54" s="574" t="s">
        <v>1050</v>
      </c>
      <c r="B54" s="574" t="s">
        <v>1084</v>
      </c>
      <c r="C54" s="574" t="s">
        <v>1049</v>
      </c>
      <c r="D54" s="574" t="s">
        <v>705</v>
      </c>
      <c r="E54" s="574" t="s">
        <v>705</v>
      </c>
      <c r="F54" s="574" t="s">
        <v>705</v>
      </c>
      <c r="G54" s="574" t="s">
        <v>705</v>
      </c>
      <c r="H54" s="574" t="s">
        <v>705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>
      <c r="B55" s="574" t="s">
        <v>907</v>
      </c>
      <c r="C55" s="574" t="s">
        <v>1061</v>
      </c>
      <c r="D55" s="574" t="s">
        <v>705</v>
      </c>
      <c r="E55" s="574" t="s">
        <v>40</v>
      </c>
      <c r="F55" s="574" t="s">
        <v>705</v>
      </c>
      <c r="G55" s="574" t="s">
        <v>705</v>
      </c>
      <c r="H55" s="574" t="s">
        <v>705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>
      <c r="B56" s="574" t="s">
        <v>907</v>
      </c>
      <c r="C56" s="574" t="s">
        <v>1056</v>
      </c>
      <c r="D56" s="574" t="s">
        <v>705</v>
      </c>
      <c r="E56" s="574" t="s">
        <v>1081</v>
      </c>
      <c r="F56" s="574" t="s">
        <v>705</v>
      </c>
      <c r="G56" s="574" t="s">
        <v>705</v>
      </c>
      <c r="H56" s="574" t="s">
        <v>705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>
      <c r="B57" s="574" t="s">
        <v>907</v>
      </c>
      <c r="C57" s="574" t="s">
        <v>1056</v>
      </c>
      <c r="D57" s="574" t="s">
        <v>705</v>
      </c>
      <c r="E57" s="574" t="s">
        <v>1079</v>
      </c>
      <c r="F57" s="574" t="s">
        <v>705</v>
      </c>
      <c r="G57" s="574" t="s">
        <v>705</v>
      </c>
      <c r="H57" s="574" t="s">
        <v>705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>
      <c r="B58" s="574" t="s">
        <v>907</v>
      </c>
      <c r="C58" s="574" t="s">
        <v>1056</v>
      </c>
      <c r="D58" s="574" t="s">
        <v>705</v>
      </c>
      <c r="E58" s="574" t="s">
        <v>1070</v>
      </c>
      <c r="F58" s="574" t="s">
        <v>705</v>
      </c>
      <c r="G58" s="574" t="s">
        <v>705</v>
      </c>
      <c r="H58" s="574" t="s">
        <v>705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>
      <c r="B59" s="574" t="s">
        <v>1083</v>
      </c>
      <c r="C59" s="574" t="s">
        <v>1063</v>
      </c>
      <c r="D59" s="574" t="s">
        <v>705</v>
      </c>
      <c r="E59" s="574" t="s">
        <v>705</v>
      </c>
      <c r="F59" s="574" t="s">
        <v>705</v>
      </c>
      <c r="G59" s="574" t="s">
        <v>705</v>
      </c>
      <c r="H59" s="574" t="s">
        <v>705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>
      <c r="B60" s="574" t="s">
        <v>1083</v>
      </c>
      <c r="C60" s="574" t="s">
        <v>1053</v>
      </c>
      <c r="D60" s="574" t="s">
        <v>705</v>
      </c>
      <c r="E60" s="574" t="s">
        <v>705</v>
      </c>
      <c r="F60" s="574" t="s">
        <v>705</v>
      </c>
      <c r="G60" s="574" t="s">
        <v>705</v>
      </c>
      <c r="H60" s="574" t="s">
        <v>705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  <row r="61" spans="1:42" ht="15">
      <c r="B61" t="s">
        <v>924</v>
      </c>
      <c r="C61" t="s">
        <v>1543</v>
      </c>
      <c r="D61" t="s">
        <v>705</v>
      </c>
      <c r="E61" t="s">
        <v>1088</v>
      </c>
      <c r="F61" t="s">
        <v>705</v>
      </c>
      <c r="G61" t="s">
        <v>1099</v>
      </c>
      <c r="H61" t="s">
        <v>705</v>
      </c>
      <c r="I61">
        <v>0</v>
      </c>
      <c r="J61">
        <v>1</v>
      </c>
    </row>
    <row r="62" spans="1:42" ht="15">
      <c r="C62" s="574"/>
    </row>
  </sheetData>
  <autoFilter ref="A1:J60" xr:uid="{1A3D971A-3AB5-43BD-9E42-F007147A85A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>
      <selection activeCell="I12" sqref="I12"/>
    </sheetView>
  </sheetViews>
  <sheetFormatPr defaultRowHeight="12.75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>
      <c r="A1" s="574" t="s">
        <v>1514</v>
      </c>
      <c r="B1" s="574" t="s">
        <v>1082</v>
      </c>
      <c r="C1" s="574"/>
      <c r="D1" s="574"/>
      <c r="E1" s="574"/>
      <c r="F1" s="574"/>
      <c r="G1" s="574"/>
      <c r="H1" s="574"/>
      <c r="I1" s="574"/>
    </row>
    <row r="2" spans="1:9" ht="15">
      <c r="A2" s="574"/>
      <c r="B2" s="574" t="s">
        <v>1109</v>
      </c>
      <c r="C2" s="574" t="s">
        <v>705</v>
      </c>
      <c r="D2" s="574" t="s">
        <v>1079</v>
      </c>
      <c r="E2" s="574" t="s">
        <v>1037</v>
      </c>
      <c r="F2" s="574" t="s">
        <v>705</v>
      </c>
      <c r="G2" s="574" t="s">
        <v>705</v>
      </c>
      <c r="H2" s="574" t="s">
        <v>705</v>
      </c>
      <c r="I2" s="574">
        <v>1</v>
      </c>
    </row>
    <row r="3" spans="1:9" ht="15">
      <c r="A3" s="574"/>
      <c r="B3" s="574" t="s">
        <v>1109</v>
      </c>
      <c r="C3" s="574" t="s">
        <v>705</v>
      </c>
      <c r="D3" s="574" t="s">
        <v>1079</v>
      </c>
      <c r="E3" s="574" t="s">
        <v>1113</v>
      </c>
      <c r="F3" s="574" t="s">
        <v>705</v>
      </c>
      <c r="G3" s="574" t="s">
        <v>705</v>
      </c>
      <c r="H3" s="574" t="s">
        <v>705</v>
      </c>
      <c r="I3" s="574">
        <v>1</v>
      </c>
    </row>
    <row r="4" spans="1:9" ht="15">
      <c r="A4" s="574"/>
      <c r="B4" s="574" t="s">
        <v>1109</v>
      </c>
      <c r="C4" s="574" t="s">
        <v>705</v>
      </c>
      <c r="D4" s="574" t="s">
        <v>1077</v>
      </c>
      <c r="E4" s="574" t="s">
        <v>1034</v>
      </c>
      <c r="F4" s="574" t="s">
        <v>705</v>
      </c>
      <c r="G4" s="574" t="s">
        <v>705</v>
      </c>
      <c r="H4" s="574" t="s">
        <v>705</v>
      </c>
      <c r="I4" s="574">
        <v>1</v>
      </c>
    </row>
    <row r="5" spans="1:9" ht="15">
      <c r="A5" s="574"/>
      <c r="B5" s="574" t="s">
        <v>1109</v>
      </c>
      <c r="C5" s="574" t="s">
        <v>705</v>
      </c>
      <c r="D5" s="574" t="s">
        <v>1074</v>
      </c>
      <c r="E5" s="574" t="s">
        <v>1037</v>
      </c>
      <c r="F5" s="574" t="s">
        <v>705</v>
      </c>
      <c r="G5" s="574" t="s">
        <v>705</v>
      </c>
      <c r="H5" s="574" t="s">
        <v>705</v>
      </c>
      <c r="I5" s="574">
        <v>1</v>
      </c>
    </row>
    <row r="6" spans="1:9" ht="15">
      <c r="A6" s="574"/>
      <c r="B6" s="574" t="s">
        <v>1109</v>
      </c>
      <c r="C6" s="574" t="s">
        <v>705</v>
      </c>
      <c r="D6" s="574" t="s">
        <v>1074</v>
      </c>
      <c r="E6" s="574" t="s">
        <v>1111</v>
      </c>
      <c r="F6" s="574" t="s">
        <v>705</v>
      </c>
      <c r="G6" s="574" t="s">
        <v>705</v>
      </c>
      <c r="H6" s="574" t="s">
        <v>705</v>
      </c>
      <c r="I6" s="574">
        <v>1</v>
      </c>
    </row>
    <row r="7" spans="1:9" ht="15">
      <c r="A7" s="574"/>
      <c r="B7" s="574" t="s">
        <v>1109</v>
      </c>
      <c r="C7" s="574" t="s">
        <v>705</v>
      </c>
      <c r="D7" s="574" t="s">
        <v>1074</v>
      </c>
      <c r="E7" s="574" t="s">
        <v>1112</v>
      </c>
      <c r="F7" s="574" t="s">
        <v>705</v>
      </c>
      <c r="G7" s="574" t="s">
        <v>705</v>
      </c>
      <c r="H7" s="574" t="s">
        <v>705</v>
      </c>
      <c r="I7" s="574">
        <v>1</v>
      </c>
    </row>
    <row r="8" spans="1:9" ht="15">
      <c r="A8" s="574"/>
      <c r="B8" s="574" t="s">
        <v>1109</v>
      </c>
      <c r="C8" s="574" t="s">
        <v>705</v>
      </c>
      <c r="D8" s="574" t="s">
        <v>1070</v>
      </c>
      <c r="E8" s="574" t="s">
        <v>1111</v>
      </c>
      <c r="F8" s="574" t="s">
        <v>705</v>
      </c>
      <c r="G8" s="574" t="s">
        <v>705</v>
      </c>
      <c r="H8" s="574" t="s">
        <v>705</v>
      </c>
      <c r="I8" s="574">
        <v>1</v>
      </c>
    </row>
    <row r="9" spans="1:9" ht="15">
      <c r="A9" s="574"/>
      <c r="B9" s="574" t="s">
        <v>1109</v>
      </c>
      <c r="C9" s="574" t="s">
        <v>705</v>
      </c>
      <c r="D9" s="574" t="s">
        <v>1070</v>
      </c>
      <c r="E9" s="574" t="s">
        <v>1110</v>
      </c>
      <c r="F9" s="574" t="s">
        <v>705</v>
      </c>
      <c r="G9" s="574" t="s">
        <v>705</v>
      </c>
      <c r="H9" s="574" t="s">
        <v>705</v>
      </c>
      <c r="I9" s="574">
        <v>1</v>
      </c>
    </row>
    <row r="10" spans="1:9" ht="15">
      <c r="A10" s="574"/>
      <c r="B10" s="574" t="s">
        <v>1109</v>
      </c>
      <c r="C10" s="574" t="s">
        <v>705</v>
      </c>
      <c r="D10" s="574" t="s">
        <v>1070</v>
      </c>
      <c r="E10" s="574" t="s">
        <v>1108</v>
      </c>
      <c r="F10" s="574" t="s">
        <v>705</v>
      </c>
      <c r="G10" s="574" t="s">
        <v>705</v>
      </c>
      <c r="H10" s="574" t="s">
        <v>705</v>
      </c>
      <c r="I10" s="574">
        <v>1</v>
      </c>
    </row>
    <row r="11" spans="1:9" ht="15">
      <c r="A11" s="574"/>
      <c r="B11" s="574" t="s">
        <v>1107</v>
      </c>
      <c r="C11" s="574" t="s">
        <v>1067</v>
      </c>
      <c r="D11" s="574" t="s">
        <v>705</v>
      </c>
      <c r="E11" s="574" t="s">
        <v>705</v>
      </c>
      <c r="F11" s="574" t="s">
        <v>705</v>
      </c>
      <c r="G11" s="574" t="s">
        <v>705</v>
      </c>
      <c r="H11" s="574" t="s">
        <v>705</v>
      </c>
      <c r="I11" s="574">
        <v>2020</v>
      </c>
    </row>
    <row r="12" spans="1:9" ht="15">
      <c r="A12" s="574"/>
      <c r="B12" s="574" t="s">
        <v>1107</v>
      </c>
      <c r="C12" s="574" t="s">
        <v>1065</v>
      </c>
      <c r="D12" s="574" t="s">
        <v>705</v>
      </c>
      <c r="E12" s="574" t="s">
        <v>705</v>
      </c>
      <c r="F12" s="574" t="s">
        <v>705</v>
      </c>
      <c r="G12" s="574" t="s">
        <v>705</v>
      </c>
      <c r="H12" s="574" t="s">
        <v>705</v>
      </c>
      <c r="I12" s="575">
        <f>'HDRI scenarios'!B9</f>
        <v>2028</v>
      </c>
    </row>
    <row r="13" spans="1:9" ht="15">
      <c r="A13" s="574"/>
      <c r="B13" s="574" t="s">
        <v>1107</v>
      </c>
      <c r="C13" s="574" t="s">
        <v>1063</v>
      </c>
      <c r="D13" s="574" t="s">
        <v>705</v>
      </c>
      <c r="E13" s="574" t="s">
        <v>705</v>
      </c>
      <c r="F13" s="574" t="s">
        <v>705</v>
      </c>
      <c r="G13" s="574" t="s">
        <v>705</v>
      </c>
      <c r="H13" s="574" t="s">
        <v>705</v>
      </c>
      <c r="I13" s="574">
        <v>2020</v>
      </c>
    </row>
    <row r="14" spans="1:9" ht="15">
      <c r="A14" s="574"/>
      <c r="B14" s="574" t="s">
        <v>1107</v>
      </c>
      <c r="C14" s="574" t="s">
        <v>1061</v>
      </c>
      <c r="D14" s="574" t="s">
        <v>705</v>
      </c>
      <c r="E14" s="574" t="s">
        <v>705</v>
      </c>
      <c r="F14" s="574" t="s">
        <v>705</v>
      </c>
      <c r="G14" s="574" t="s">
        <v>705</v>
      </c>
      <c r="H14" s="574" t="s">
        <v>705</v>
      </c>
      <c r="I14" s="574">
        <v>2020</v>
      </c>
    </row>
    <row r="15" spans="1:9" ht="15">
      <c r="A15" s="574"/>
      <c r="B15" s="574" t="s">
        <v>1107</v>
      </c>
      <c r="C15" s="574" t="s">
        <v>1056</v>
      </c>
      <c r="D15" s="574" t="s">
        <v>705</v>
      </c>
      <c r="E15" s="574" t="s">
        <v>705</v>
      </c>
      <c r="F15" s="574" t="s">
        <v>705</v>
      </c>
      <c r="G15" s="574" t="s">
        <v>705</v>
      </c>
      <c r="H15" s="574" t="s">
        <v>705</v>
      </c>
      <c r="I15" s="574">
        <v>2020</v>
      </c>
    </row>
    <row r="16" spans="1:9" ht="15">
      <c r="A16" s="574"/>
      <c r="B16" s="574" t="s">
        <v>1107</v>
      </c>
      <c r="C16" s="574" t="s">
        <v>1053</v>
      </c>
      <c r="D16" s="574" t="s">
        <v>705</v>
      </c>
      <c r="E16" s="574" t="s">
        <v>705</v>
      </c>
      <c r="F16" s="574" t="s">
        <v>705</v>
      </c>
      <c r="G16" s="574" t="s">
        <v>705</v>
      </c>
      <c r="H16" s="574" t="s">
        <v>705</v>
      </c>
      <c r="I16" s="574">
        <v>2020</v>
      </c>
    </row>
    <row r="17" spans="1:9" ht="15">
      <c r="A17" s="572" t="s">
        <v>1050</v>
      </c>
      <c r="B17" s="574" t="s">
        <v>1107</v>
      </c>
      <c r="C17" s="574" t="s">
        <v>1049</v>
      </c>
      <c r="D17" s="574" t="s">
        <v>705</v>
      </c>
      <c r="E17" s="574" t="s">
        <v>705</v>
      </c>
      <c r="F17" s="574" t="s">
        <v>705</v>
      </c>
      <c r="G17" s="574" t="s">
        <v>705</v>
      </c>
      <c r="H17" s="574" t="s">
        <v>705</v>
      </c>
      <c r="I17" s="574">
        <v>2020</v>
      </c>
    </row>
    <row r="18" spans="1:9" ht="15">
      <c r="B18" s="574" t="s">
        <v>1107</v>
      </c>
      <c r="C18" s="574" t="s">
        <v>1041</v>
      </c>
      <c r="D18" s="574" t="s">
        <v>705</v>
      </c>
      <c r="E18" s="574" t="s">
        <v>705</v>
      </c>
      <c r="F18" s="574" t="s">
        <v>705</v>
      </c>
      <c r="G18" s="574" t="s">
        <v>705</v>
      </c>
      <c r="H18" s="574" t="s">
        <v>705</v>
      </c>
      <c r="I18" s="574">
        <v>2020</v>
      </c>
    </row>
    <row r="19" spans="1:9" ht="15">
      <c r="B19" s="574" t="s">
        <v>1106</v>
      </c>
      <c r="C19" s="574" t="s">
        <v>1067</v>
      </c>
      <c r="D19" s="574" t="s">
        <v>705</v>
      </c>
      <c r="E19" s="574" t="s">
        <v>41</v>
      </c>
      <c r="F19" s="574" t="s">
        <v>705</v>
      </c>
      <c r="G19" s="574" t="s">
        <v>705</v>
      </c>
      <c r="H19" s="574" t="s">
        <v>705</v>
      </c>
      <c r="I19" s="574">
        <v>1</v>
      </c>
    </row>
    <row r="20" spans="1:9" ht="15">
      <c r="B20" s="574" t="s">
        <v>1106</v>
      </c>
      <c r="C20" s="574" t="s">
        <v>1065</v>
      </c>
      <c r="D20" s="574" t="s">
        <v>705</v>
      </c>
      <c r="E20" s="574" t="s">
        <v>1074</v>
      </c>
      <c r="F20" s="574" t="s">
        <v>705</v>
      </c>
      <c r="G20" s="574" t="s">
        <v>705</v>
      </c>
      <c r="H20" s="574" t="s">
        <v>705</v>
      </c>
      <c r="I20" s="574">
        <v>1</v>
      </c>
    </row>
    <row r="21" spans="1:9" ht="15">
      <c r="B21" s="574" t="s">
        <v>1106</v>
      </c>
      <c r="C21" s="574" t="s">
        <v>1063</v>
      </c>
      <c r="D21" s="574" t="s">
        <v>705</v>
      </c>
      <c r="E21" s="574" t="s">
        <v>1074</v>
      </c>
      <c r="F21" s="574" t="s">
        <v>705</v>
      </c>
      <c r="G21" s="574" t="s">
        <v>705</v>
      </c>
      <c r="H21" s="574" t="s">
        <v>705</v>
      </c>
      <c r="I21" s="574">
        <v>1</v>
      </c>
    </row>
    <row r="22" spans="1:9" ht="15">
      <c r="B22" s="574" t="s">
        <v>1106</v>
      </c>
      <c r="C22" s="574" t="s">
        <v>1061</v>
      </c>
      <c r="D22" s="574" t="s">
        <v>705</v>
      </c>
      <c r="E22" s="574" t="s">
        <v>1077</v>
      </c>
      <c r="F22" s="574" t="s">
        <v>705</v>
      </c>
      <c r="G22" s="574" t="s">
        <v>705</v>
      </c>
      <c r="H22" s="574" t="s">
        <v>705</v>
      </c>
      <c r="I22" s="574">
        <v>1</v>
      </c>
    </row>
    <row r="23" spans="1:9" ht="15">
      <c r="B23" s="574" t="s">
        <v>1106</v>
      </c>
      <c r="C23" s="574" t="s">
        <v>1059</v>
      </c>
      <c r="D23" s="574" t="s">
        <v>705</v>
      </c>
      <c r="E23" s="574" t="s">
        <v>1079</v>
      </c>
      <c r="F23" s="574" t="s">
        <v>705</v>
      </c>
      <c r="G23" s="574" t="s">
        <v>705</v>
      </c>
      <c r="H23" s="574" t="s">
        <v>705</v>
      </c>
      <c r="I23" s="574">
        <v>1</v>
      </c>
    </row>
    <row r="24" spans="1:9" ht="15">
      <c r="B24" s="574" t="s">
        <v>1106</v>
      </c>
      <c r="C24" s="574" t="s">
        <v>1056</v>
      </c>
      <c r="D24" s="574" t="s">
        <v>705</v>
      </c>
      <c r="E24" s="574" t="s">
        <v>1079</v>
      </c>
      <c r="F24" s="574" t="s">
        <v>705</v>
      </c>
      <c r="G24" s="574" t="s">
        <v>705</v>
      </c>
      <c r="H24" s="574" t="s">
        <v>705</v>
      </c>
      <c r="I24" s="574">
        <v>1</v>
      </c>
    </row>
    <row r="25" spans="1:9" ht="15">
      <c r="B25" s="574" t="s">
        <v>1106</v>
      </c>
      <c r="C25" s="574" t="s">
        <v>1053</v>
      </c>
      <c r="D25" s="574" t="s">
        <v>705</v>
      </c>
      <c r="E25" s="574" t="s">
        <v>1070</v>
      </c>
      <c r="F25" s="574" t="s">
        <v>705</v>
      </c>
      <c r="G25" s="574" t="s">
        <v>705</v>
      </c>
      <c r="H25" s="574" t="s">
        <v>705</v>
      </c>
      <c r="I25" s="574">
        <v>1</v>
      </c>
    </row>
    <row r="26" spans="1:9" ht="15">
      <c r="A26" s="572" t="s">
        <v>1050</v>
      </c>
      <c r="B26" s="574" t="s">
        <v>1106</v>
      </c>
      <c r="C26" s="574" t="s">
        <v>1049</v>
      </c>
      <c r="D26" s="574" t="s">
        <v>705</v>
      </c>
      <c r="E26" s="574" t="s">
        <v>1074</v>
      </c>
      <c r="F26" s="574" t="s">
        <v>705</v>
      </c>
      <c r="G26" s="574" t="s">
        <v>705</v>
      </c>
      <c r="H26" s="574" t="s">
        <v>705</v>
      </c>
      <c r="I26" s="574">
        <v>1</v>
      </c>
    </row>
    <row r="27" spans="1:9" ht="15">
      <c r="B27" s="574" t="s">
        <v>1106</v>
      </c>
      <c r="C27" s="574" t="s">
        <v>1045</v>
      </c>
      <c r="D27" s="574" t="s">
        <v>705</v>
      </c>
      <c r="E27" s="574" t="s">
        <v>1081</v>
      </c>
      <c r="F27" s="574" t="s">
        <v>705</v>
      </c>
      <c r="G27" s="574" t="s">
        <v>705</v>
      </c>
      <c r="H27" s="574" t="s">
        <v>705</v>
      </c>
      <c r="I27" s="574">
        <v>1</v>
      </c>
    </row>
    <row r="28" spans="1:9" ht="15">
      <c r="B28" s="574" t="s">
        <v>1106</v>
      </c>
      <c r="C28" s="574" t="s">
        <v>1041</v>
      </c>
      <c r="D28" s="574" t="s">
        <v>705</v>
      </c>
      <c r="E28" s="574" t="s">
        <v>1074</v>
      </c>
      <c r="F28" s="574" t="s">
        <v>705</v>
      </c>
      <c r="G28" s="574" t="s">
        <v>705</v>
      </c>
      <c r="H28" s="574" t="s">
        <v>705</v>
      </c>
      <c r="I28" s="574">
        <v>1</v>
      </c>
    </row>
    <row r="29" spans="1:9" ht="15">
      <c r="B29" s="574" t="s">
        <v>1105</v>
      </c>
      <c r="C29" s="574" t="s">
        <v>1067</v>
      </c>
      <c r="D29" s="574" t="s">
        <v>705</v>
      </c>
      <c r="E29" s="574" t="s">
        <v>705</v>
      </c>
      <c r="F29" s="574" t="s">
        <v>705</v>
      </c>
      <c r="G29" s="574" t="s">
        <v>705</v>
      </c>
      <c r="H29" s="574" t="s">
        <v>705</v>
      </c>
      <c r="I29" s="574">
        <v>1</v>
      </c>
    </row>
    <row r="30" spans="1:9" ht="15">
      <c r="B30" s="574" t="s">
        <v>1105</v>
      </c>
      <c r="C30" s="574" t="s">
        <v>1065</v>
      </c>
      <c r="D30" s="574" t="s">
        <v>705</v>
      </c>
      <c r="E30" s="574" t="s">
        <v>705</v>
      </c>
      <c r="F30" s="574" t="s">
        <v>705</v>
      </c>
      <c r="G30" s="574" t="s">
        <v>705</v>
      </c>
      <c r="H30" s="574" t="s">
        <v>705</v>
      </c>
      <c r="I30" s="574">
        <v>31.536000000000001</v>
      </c>
    </row>
    <row r="31" spans="1:9" ht="15">
      <c r="B31" s="574" t="s">
        <v>1105</v>
      </c>
      <c r="C31" s="574" t="s">
        <v>1063</v>
      </c>
      <c r="D31" s="574" t="s">
        <v>705</v>
      </c>
      <c r="E31" s="574" t="s">
        <v>705</v>
      </c>
      <c r="F31" s="574" t="s">
        <v>705</v>
      </c>
      <c r="G31" s="574" t="s">
        <v>705</v>
      </c>
      <c r="H31" s="574" t="s">
        <v>705</v>
      </c>
      <c r="I31" s="574">
        <v>31.536000000000001</v>
      </c>
    </row>
    <row r="32" spans="1:9" ht="15">
      <c r="B32" s="574" t="s">
        <v>1105</v>
      </c>
      <c r="C32" s="574" t="s">
        <v>1061</v>
      </c>
      <c r="D32" s="574" t="s">
        <v>705</v>
      </c>
      <c r="E32" s="574" t="s">
        <v>705</v>
      </c>
      <c r="F32" s="574" t="s">
        <v>705</v>
      </c>
      <c r="G32" s="574" t="s">
        <v>705</v>
      </c>
      <c r="H32" s="574" t="s">
        <v>705</v>
      </c>
      <c r="I32" s="574">
        <v>1</v>
      </c>
    </row>
    <row r="33" spans="1:9" ht="15">
      <c r="B33" s="574" t="s">
        <v>1105</v>
      </c>
      <c r="C33" s="574" t="s">
        <v>1059</v>
      </c>
      <c r="D33" s="574" t="s">
        <v>705</v>
      </c>
      <c r="E33" s="574" t="s">
        <v>705</v>
      </c>
      <c r="F33" s="574" t="s">
        <v>705</v>
      </c>
      <c r="G33" s="574" t="s">
        <v>705</v>
      </c>
      <c r="H33" s="574" t="s">
        <v>705</v>
      </c>
      <c r="I33" s="574">
        <v>1</v>
      </c>
    </row>
    <row r="34" spans="1:9" ht="15">
      <c r="B34" s="574" t="s">
        <v>1105</v>
      </c>
      <c r="C34" s="574" t="s">
        <v>1056</v>
      </c>
      <c r="D34" s="574" t="s">
        <v>705</v>
      </c>
      <c r="E34" s="574" t="s">
        <v>705</v>
      </c>
      <c r="F34" s="574" t="s">
        <v>705</v>
      </c>
      <c r="G34" s="574" t="s">
        <v>705</v>
      </c>
      <c r="H34" s="574" t="s">
        <v>705</v>
      </c>
      <c r="I34" s="574">
        <v>1</v>
      </c>
    </row>
    <row r="35" spans="1:9" ht="15">
      <c r="B35" s="574" t="s">
        <v>1105</v>
      </c>
      <c r="C35" s="574" t="s">
        <v>1053</v>
      </c>
      <c r="D35" s="574" t="s">
        <v>705</v>
      </c>
      <c r="E35" s="574" t="s">
        <v>705</v>
      </c>
      <c r="F35" s="574" t="s">
        <v>705</v>
      </c>
      <c r="G35" s="574" t="s">
        <v>705</v>
      </c>
      <c r="H35" s="574" t="s">
        <v>705</v>
      </c>
      <c r="I35" s="574">
        <v>1</v>
      </c>
    </row>
    <row r="36" spans="1:9" ht="15">
      <c r="A36" s="572" t="s">
        <v>1050</v>
      </c>
      <c r="B36" s="574" t="s">
        <v>1105</v>
      </c>
      <c r="C36" s="574" t="s">
        <v>1049</v>
      </c>
      <c r="D36" s="574" t="s">
        <v>705</v>
      </c>
      <c r="E36" s="574" t="s">
        <v>705</v>
      </c>
      <c r="F36" s="574" t="s">
        <v>705</v>
      </c>
      <c r="G36" s="574" t="s">
        <v>705</v>
      </c>
      <c r="H36" s="574" t="s">
        <v>705</v>
      </c>
      <c r="I36" s="574">
        <v>31.536000000000001</v>
      </c>
    </row>
    <row r="37" spans="1:9" ht="15">
      <c r="B37" s="574" t="s">
        <v>1105</v>
      </c>
      <c r="C37" s="574" t="s">
        <v>1045</v>
      </c>
      <c r="D37" s="574" t="s">
        <v>705</v>
      </c>
      <c r="E37" s="574" t="s">
        <v>705</v>
      </c>
      <c r="F37" s="574" t="s">
        <v>705</v>
      </c>
      <c r="G37" s="574" t="s">
        <v>705</v>
      </c>
      <c r="H37" s="574" t="s">
        <v>705</v>
      </c>
      <c r="I37" s="574">
        <v>1</v>
      </c>
    </row>
    <row r="38" spans="1:9" ht="15">
      <c r="B38" s="574" t="s">
        <v>1105</v>
      </c>
      <c r="C38" s="574" t="s">
        <v>1041</v>
      </c>
      <c r="D38" s="574" t="s">
        <v>705</v>
      </c>
      <c r="E38" s="574" t="s">
        <v>705</v>
      </c>
      <c r="F38" s="574" t="s">
        <v>705</v>
      </c>
      <c r="G38" s="574" t="s">
        <v>705</v>
      </c>
      <c r="H38" s="574" t="s">
        <v>705</v>
      </c>
      <c r="I38" s="574">
        <v>1</v>
      </c>
    </row>
    <row r="39" spans="1:9" ht="15">
      <c r="B39" s="574" t="s">
        <v>1104</v>
      </c>
      <c r="C39" s="574" t="s">
        <v>1065</v>
      </c>
      <c r="D39" s="574" t="s">
        <v>705</v>
      </c>
      <c r="E39" s="574" t="s">
        <v>705</v>
      </c>
      <c r="F39" s="574" t="s">
        <v>705</v>
      </c>
      <c r="G39" s="574" t="s">
        <v>705</v>
      </c>
      <c r="H39" s="574" t="s">
        <v>705</v>
      </c>
      <c r="I39" s="574">
        <v>1</v>
      </c>
    </row>
    <row r="40" spans="1:9" ht="15">
      <c r="B40" s="574" t="s">
        <v>1102</v>
      </c>
      <c r="C40" s="574" t="s">
        <v>1067</v>
      </c>
      <c r="D40" s="574" t="s">
        <v>1077</v>
      </c>
      <c r="E40" s="574" t="s">
        <v>705</v>
      </c>
      <c r="F40" s="574" t="s">
        <v>705</v>
      </c>
      <c r="G40" s="574" t="s">
        <v>705</v>
      </c>
      <c r="H40" s="574" t="s">
        <v>705</v>
      </c>
      <c r="I40" s="574">
        <v>1</v>
      </c>
    </row>
    <row r="41" spans="1:9" ht="15">
      <c r="B41" s="574" t="s">
        <v>1102</v>
      </c>
      <c r="C41" s="574" t="s">
        <v>1065</v>
      </c>
      <c r="D41" s="574" t="s">
        <v>1074</v>
      </c>
      <c r="E41" s="574" t="s">
        <v>705</v>
      </c>
      <c r="F41" s="574" t="s">
        <v>705</v>
      </c>
      <c r="G41" s="574" t="s">
        <v>705</v>
      </c>
      <c r="H41" s="574" t="s">
        <v>705</v>
      </c>
      <c r="I41" s="574">
        <v>1</v>
      </c>
    </row>
    <row r="42" spans="1:9" ht="15">
      <c r="B42" s="574" t="s">
        <v>1102</v>
      </c>
      <c r="C42" s="574" t="s">
        <v>1063</v>
      </c>
      <c r="D42" s="574" t="s">
        <v>1074</v>
      </c>
      <c r="E42" s="574" t="s">
        <v>705</v>
      </c>
      <c r="F42" s="574" t="s">
        <v>705</v>
      </c>
      <c r="G42" s="574" t="s">
        <v>705</v>
      </c>
      <c r="H42" s="574" t="s">
        <v>705</v>
      </c>
      <c r="I42" s="574">
        <v>1</v>
      </c>
    </row>
    <row r="43" spans="1:9" ht="15">
      <c r="B43" s="574" t="s">
        <v>1102</v>
      </c>
      <c r="C43" s="574" t="s">
        <v>1061</v>
      </c>
      <c r="D43" s="574" t="s">
        <v>1079</v>
      </c>
      <c r="E43" s="574" t="s">
        <v>705</v>
      </c>
      <c r="F43" s="574" t="s">
        <v>705</v>
      </c>
      <c r="G43" s="574" t="s">
        <v>705</v>
      </c>
      <c r="H43" s="574" t="s">
        <v>705</v>
      </c>
      <c r="I43" s="574">
        <v>1</v>
      </c>
    </row>
    <row r="44" spans="1:9" ht="15">
      <c r="B44" s="574" t="s">
        <v>1102</v>
      </c>
      <c r="C44" s="574" t="s">
        <v>1061</v>
      </c>
      <c r="D44" s="574" t="s">
        <v>1074</v>
      </c>
      <c r="E44" s="574" t="s">
        <v>705</v>
      </c>
      <c r="F44" s="574" t="s">
        <v>705</v>
      </c>
      <c r="G44" s="574" t="s">
        <v>705</v>
      </c>
      <c r="H44" s="574" t="s">
        <v>705</v>
      </c>
      <c r="I44" s="574">
        <v>1</v>
      </c>
    </row>
    <row r="45" spans="1:9" ht="15">
      <c r="B45" s="574" t="s">
        <v>1102</v>
      </c>
      <c r="C45" s="574" t="s">
        <v>1061</v>
      </c>
      <c r="D45" s="574" t="s">
        <v>40</v>
      </c>
      <c r="E45" s="574" t="s">
        <v>705</v>
      </c>
      <c r="F45" s="574" t="s">
        <v>705</v>
      </c>
      <c r="G45" s="574" t="s">
        <v>705</v>
      </c>
      <c r="H45" s="574" t="s">
        <v>705</v>
      </c>
      <c r="I45" s="574">
        <v>1</v>
      </c>
    </row>
    <row r="46" spans="1:9" ht="15">
      <c r="B46" s="574" t="s">
        <v>1102</v>
      </c>
      <c r="C46" s="574" t="s">
        <v>1059</v>
      </c>
      <c r="D46" s="574" t="s">
        <v>1079</v>
      </c>
      <c r="E46" s="574" t="s">
        <v>705</v>
      </c>
      <c r="F46" s="574" t="s">
        <v>705</v>
      </c>
      <c r="G46" s="574" t="s">
        <v>705</v>
      </c>
      <c r="H46" s="574" t="s">
        <v>705</v>
      </c>
      <c r="I46" s="574">
        <v>1</v>
      </c>
    </row>
    <row r="47" spans="1:9" ht="15">
      <c r="B47" s="574" t="s">
        <v>1102</v>
      </c>
      <c r="C47" s="574" t="s">
        <v>1056</v>
      </c>
      <c r="D47" s="574" t="s">
        <v>1081</v>
      </c>
      <c r="E47" s="574" t="s">
        <v>705</v>
      </c>
      <c r="F47" s="574" t="s">
        <v>705</v>
      </c>
      <c r="G47" s="574" t="s">
        <v>705</v>
      </c>
      <c r="H47" s="574" t="s">
        <v>705</v>
      </c>
      <c r="I47" s="574">
        <v>1</v>
      </c>
    </row>
    <row r="48" spans="1:9" ht="15">
      <c r="B48" s="574" t="s">
        <v>1102</v>
      </c>
      <c r="C48" s="574" t="s">
        <v>1056</v>
      </c>
      <c r="D48" s="574" t="s">
        <v>1070</v>
      </c>
      <c r="E48" s="574" t="s">
        <v>705</v>
      </c>
      <c r="F48" s="574" t="s">
        <v>705</v>
      </c>
      <c r="G48" s="574" t="s">
        <v>705</v>
      </c>
      <c r="H48" s="574" t="s">
        <v>705</v>
      </c>
      <c r="I48" s="574">
        <v>1</v>
      </c>
    </row>
    <row r="49" spans="1:9" ht="15">
      <c r="B49" s="574" t="s">
        <v>1102</v>
      </c>
      <c r="C49" s="574" t="s">
        <v>1053</v>
      </c>
      <c r="D49" s="574" t="s">
        <v>1074</v>
      </c>
      <c r="E49" s="574" t="s">
        <v>705</v>
      </c>
      <c r="F49" s="574" t="s">
        <v>705</v>
      </c>
      <c r="G49" s="574" t="s">
        <v>705</v>
      </c>
      <c r="H49" s="574" t="s">
        <v>705</v>
      </c>
      <c r="I49" s="574">
        <v>1</v>
      </c>
    </row>
    <row r="50" spans="1:9" ht="15">
      <c r="B50" s="574" t="s">
        <v>1102</v>
      </c>
      <c r="C50" s="574" t="s">
        <v>1053</v>
      </c>
      <c r="D50" s="574" t="s">
        <v>1070</v>
      </c>
      <c r="E50" s="574" t="s">
        <v>705</v>
      </c>
      <c r="F50" s="574" t="s">
        <v>705</v>
      </c>
      <c r="G50" s="574" t="s">
        <v>705</v>
      </c>
      <c r="H50" s="574" t="s">
        <v>705</v>
      </c>
      <c r="I50" s="574">
        <v>1</v>
      </c>
    </row>
    <row r="51" spans="1:9" ht="15">
      <c r="A51" s="572" t="s">
        <v>1050</v>
      </c>
      <c r="B51" s="574" t="s">
        <v>1102</v>
      </c>
      <c r="C51" s="574" t="s">
        <v>1049</v>
      </c>
      <c r="D51" s="574" t="s">
        <v>1103</v>
      </c>
      <c r="E51" s="574" t="s">
        <v>705</v>
      </c>
      <c r="F51" s="574" t="s">
        <v>705</v>
      </c>
      <c r="G51" s="574" t="s">
        <v>705</v>
      </c>
      <c r="H51" s="574" t="s">
        <v>705</v>
      </c>
      <c r="I51" s="574">
        <v>1</v>
      </c>
    </row>
    <row r="52" spans="1:9" ht="15">
      <c r="B52" s="574" t="s">
        <v>1102</v>
      </c>
      <c r="C52" s="574" t="s">
        <v>1041</v>
      </c>
      <c r="D52" s="574" t="s">
        <v>38</v>
      </c>
      <c r="E52" s="574" t="s">
        <v>705</v>
      </c>
      <c r="F52" s="574" t="s">
        <v>705</v>
      </c>
      <c r="G52" s="574" t="s">
        <v>705</v>
      </c>
      <c r="H52" s="574" t="s">
        <v>705</v>
      </c>
      <c r="I52" s="574">
        <v>1</v>
      </c>
    </row>
    <row r="53" spans="1:9" ht="15">
      <c r="B53" s="574" t="s">
        <v>1101</v>
      </c>
      <c r="C53" s="574" t="s">
        <v>1067</v>
      </c>
      <c r="D53" s="574" t="s">
        <v>41</v>
      </c>
      <c r="E53" s="574" t="s">
        <v>705</v>
      </c>
      <c r="F53" s="574" t="s">
        <v>705</v>
      </c>
      <c r="G53" s="574" t="s">
        <v>705</v>
      </c>
      <c r="H53" s="574" t="s">
        <v>705</v>
      </c>
      <c r="I53" s="574">
        <v>1</v>
      </c>
    </row>
    <row r="54" spans="1:9" ht="15">
      <c r="B54" s="574" t="s">
        <v>1101</v>
      </c>
      <c r="C54" s="574" t="s">
        <v>1065</v>
      </c>
      <c r="D54" s="574" t="s">
        <v>1070</v>
      </c>
      <c r="E54" s="574" t="s">
        <v>705</v>
      </c>
      <c r="F54" s="574" t="s">
        <v>705</v>
      </c>
      <c r="G54" s="574" t="s">
        <v>705</v>
      </c>
      <c r="H54" s="574" t="s">
        <v>705</v>
      </c>
      <c r="I54" s="574">
        <v>1</v>
      </c>
    </row>
    <row r="55" spans="1:9" ht="15">
      <c r="B55" s="574" t="s">
        <v>1101</v>
      </c>
      <c r="C55" s="574" t="s">
        <v>1063</v>
      </c>
      <c r="D55" s="574" t="s">
        <v>1074</v>
      </c>
      <c r="E55" s="574" t="s">
        <v>705</v>
      </c>
      <c r="F55" s="574" t="s">
        <v>705</v>
      </c>
      <c r="G55" s="574" t="s">
        <v>705</v>
      </c>
      <c r="H55" s="574" t="s">
        <v>705</v>
      </c>
      <c r="I55" s="574">
        <v>1</v>
      </c>
    </row>
    <row r="56" spans="1:9" ht="15">
      <c r="B56" s="574" t="s">
        <v>1101</v>
      </c>
      <c r="C56" s="574" t="s">
        <v>1061</v>
      </c>
      <c r="D56" s="574" t="s">
        <v>1077</v>
      </c>
      <c r="E56" s="574" t="s">
        <v>705</v>
      </c>
      <c r="F56" s="574" t="s">
        <v>705</v>
      </c>
      <c r="G56" s="574" t="s">
        <v>705</v>
      </c>
      <c r="H56" s="574" t="s">
        <v>705</v>
      </c>
      <c r="I56" s="574">
        <v>1</v>
      </c>
    </row>
    <row r="57" spans="1:9" ht="15">
      <c r="B57" s="574" t="s">
        <v>1101</v>
      </c>
      <c r="C57" s="574" t="s">
        <v>1059</v>
      </c>
      <c r="D57" s="574" t="s">
        <v>1079</v>
      </c>
      <c r="E57" s="574" t="s">
        <v>705</v>
      </c>
      <c r="F57" s="574" t="s">
        <v>705</v>
      </c>
      <c r="G57" s="574" t="s">
        <v>705</v>
      </c>
      <c r="H57" s="574" t="s">
        <v>705</v>
      </c>
      <c r="I57" s="574">
        <v>1</v>
      </c>
    </row>
    <row r="58" spans="1:9" ht="15">
      <c r="B58" s="574" t="s">
        <v>1101</v>
      </c>
      <c r="C58" s="574" t="s">
        <v>1056</v>
      </c>
      <c r="D58" s="574" t="s">
        <v>1079</v>
      </c>
      <c r="E58" s="574" t="s">
        <v>705</v>
      </c>
      <c r="F58" s="574" t="s">
        <v>705</v>
      </c>
      <c r="G58" s="574" t="s">
        <v>705</v>
      </c>
      <c r="H58" s="574" t="s">
        <v>705</v>
      </c>
      <c r="I58" s="574">
        <v>1</v>
      </c>
    </row>
    <row r="59" spans="1:9" ht="15">
      <c r="B59" s="574" t="s">
        <v>1101</v>
      </c>
      <c r="C59" s="574" t="s">
        <v>1053</v>
      </c>
      <c r="D59" s="574" t="s">
        <v>1070</v>
      </c>
      <c r="E59" s="574" t="s">
        <v>705</v>
      </c>
      <c r="F59" s="574" t="s">
        <v>705</v>
      </c>
      <c r="G59" s="574" t="s">
        <v>705</v>
      </c>
      <c r="H59" s="574" t="s">
        <v>705</v>
      </c>
      <c r="I59" s="574">
        <v>1</v>
      </c>
    </row>
    <row r="60" spans="1:9" ht="15">
      <c r="A60" s="572" t="s">
        <v>1050</v>
      </c>
      <c r="B60" s="574" t="s">
        <v>1101</v>
      </c>
      <c r="C60" s="574" t="s">
        <v>1049</v>
      </c>
      <c r="D60" s="574" t="s">
        <v>1074</v>
      </c>
      <c r="E60" s="574" t="s">
        <v>705</v>
      </c>
      <c r="F60" s="574" t="s">
        <v>705</v>
      </c>
      <c r="G60" s="574" t="s">
        <v>705</v>
      </c>
      <c r="H60" s="574" t="s">
        <v>705</v>
      </c>
      <c r="I60" s="574">
        <v>1</v>
      </c>
    </row>
    <row r="61" spans="1:9" ht="15">
      <c r="B61" s="574" t="s">
        <v>1101</v>
      </c>
      <c r="C61" s="574" t="s">
        <v>1045</v>
      </c>
      <c r="D61" s="574" t="s">
        <v>1081</v>
      </c>
      <c r="E61" s="574" t="s">
        <v>705</v>
      </c>
      <c r="F61" s="574" t="s">
        <v>705</v>
      </c>
      <c r="G61" s="574" t="s">
        <v>705</v>
      </c>
      <c r="H61" s="574" t="s">
        <v>705</v>
      </c>
      <c r="I61" s="574">
        <v>1</v>
      </c>
    </row>
    <row r="62" spans="1:9" ht="15">
      <c r="B62" s="574" t="s">
        <v>1101</v>
      </c>
      <c r="C62" s="574" t="s">
        <v>1041</v>
      </c>
      <c r="D62" s="574" t="s">
        <v>1074</v>
      </c>
      <c r="E62" s="574" t="s">
        <v>705</v>
      </c>
      <c r="F62" s="574" t="s">
        <v>705</v>
      </c>
      <c r="G62" s="574" t="s">
        <v>705</v>
      </c>
      <c r="H62" s="574" t="s">
        <v>705</v>
      </c>
      <c r="I62" s="574">
        <v>1</v>
      </c>
    </row>
    <row r="63" spans="1:9" ht="15">
      <c r="B63" t="s">
        <v>1106</v>
      </c>
      <c r="C63" t="s">
        <v>1543</v>
      </c>
      <c r="D63" t="s">
        <v>705</v>
      </c>
      <c r="E63" t="s">
        <v>1544</v>
      </c>
      <c r="F63" t="s">
        <v>705</v>
      </c>
      <c r="G63" t="s">
        <v>705</v>
      </c>
      <c r="H63" t="s">
        <v>705</v>
      </c>
      <c r="I63">
        <v>1</v>
      </c>
    </row>
    <row r="64" spans="1:9" ht="15">
      <c r="B64" t="s">
        <v>1105</v>
      </c>
      <c r="C64" t="s">
        <v>1543</v>
      </c>
      <c r="D64" t="s">
        <v>705</v>
      </c>
      <c r="E64" t="s">
        <v>705</v>
      </c>
      <c r="F64" t="s">
        <v>705</v>
      </c>
      <c r="G64" t="s">
        <v>705</v>
      </c>
      <c r="H64" t="s">
        <v>705</v>
      </c>
      <c r="I64">
        <v>1</v>
      </c>
    </row>
    <row r="65" spans="2:9" ht="15">
      <c r="B65" t="s">
        <v>1102</v>
      </c>
      <c r="C65" t="s">
        <v>1543</v>
      </c>
      <c r="D65" t="s">
        <v>1079</v>
      </c>
      <c r="E65" t="s">
        <v>705</v>
      </c>
      <c r="F65" t="s">
        <v>705</v>
      </c>
      <c r="G65" t="s">
        <v>705</v>
      </c>
      <c r="H65" t="s">
        <v>705</v>
      </c>
      <c r="I65">
        <v>1</v>
      </c>
    </row>
    <row r="66" spans="2:9" ht="15">
      <c r="B66" t="s">
        <v>1101</v>
      </c>
      <c r="C66" t="s">
        <v>1543</v>
      </c>
      <c r="D66" t="s">
        <v>1544</v>
      </c>
      <c r="E66" t="s">
        <v>705</v>
      </c>
      <c r="F66" t="s">
        <v>705</v>
      </c>
      <c r="G66" t="s">
        <v>705</v>
      </c>
      <c r="H66" t="s">
        <v>705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workbookViewId="0"/>
  </sheetViews>
  <sheetFormatPr defaultColWidth="10.28515625" defaultRowHeight="1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>
      <c r="A1" s="113" t="s">
        <v>1512</v>
      </c>
      <c r="B1" s="113" t="s">
        <v>1082</v>
      </c>
    </row>
    <row r="2" spans="1:6">
      <c r="A2" s="113" t="s">
        <v>1050</v>
      </c>
      <c r="B2" s="113" t="s">
        <v>1395</v>
      </c>
      <c r="C2" s="113" t="s">
        <v>1427</v>
      </c>
      <c r="D2" s="113" t="s">
        <v>1426</v>
      </c>
      <c r="E2" s="113" t="s">
        <v>1392</v>
      </c>
      <c r="F2" s="113" t="s">
        <v>1391</v>
      </c>
    </row>
    <row r="3" spans="1:6">
      <c r="A3" s="113" t="s">
        <v>1050</v>
      </c>
      <c r="B3" s="113" t="s">
        <v>1395</v>
      </c>
      <c r="C3" s="113" t="s">
        <v>1425</v>
      </c>
      <c r="D3" s="113" t="s">
        <v>1424</v>
      </c>
      <c r="E3" s="113" t="s">
        <v>1392</v>
      </c>
      <c r="F3" s="113" t="s">
        <v>1391</v>
      </c>
    </row>
    <row r="4" spans="1:6">
      <c r="A4" s="113" t="s">
        <v>1050</v>
      </c>
      <c r="B4" s="113" t="s">
        <v>1395</v>
      </c>
      <c r="C4" s="113" t="s">
        <v>1423</v>
      </c>
      <c r="D4" s="113" t="s">
        <v>1422</v>
      </c>
      <c r="E4" s="113" t="s">
        <v>1392</v>
      </c>
      <c r="F4" s="113" t="s">
        <v>1391</v>
      </c>
    </row>
    <row r="5" spans="1:6">
      <c r="A5" s="113" t="s">
        <v>1050</v>
      </c>
      <c r="B5" s="113" t="s">
        <v>1395</v>
      </c>
      <c r="C5" s="113" t="s">
        <v>1421</v>
      </c>
      <c r="D5" s="113" t="s">
        <v>1420</v>
      </c>
      <c r="E5" s="113" t="s">
        <v>1392</v>
      </c>
      <c r="F5" s="113" t="s">
        <v>1391</v>
      </c>
    </row>
    <row r="6" spans="1:6">
      <c r="A6" s="113" t="s">
        <v>1050</v>
      </c>
      <c r="B6" s="113" t="s">
        <v>1395</v>
      </c>
      <c r="C6" s="113" t="s">
        <v>1419</v>
      </c>
      <c r="D6" s="113" t="s">
        <v>1418</v>
      </c>
      <c r="E6" s="113" t="s">
        <v>1392</v>
      </c>
      <c r="F6" s="113" t="s">
        <v>1391</v>
      </c>
    </row>
    <row r="7" spans="1:6">
      <c r="A7" s="113" t="s">
        <v>1050</v>
      </c>
      <c r="B7" s="113" t="s">
        <v>1395</v>
      </c>
      <c r="C7" s="113" t="s">
        <v>1417</v>
      </c>
      <c r="D7" s="113" t="s">
        <v>1416</v>
      </c>
      <c r="E7" s="113" t="s">
        <v>1392</v>
      </c>
      <c r="F7" s="113" t="s">
        <v>1391</v>
      </c>
    </row>
    <row r="8" spans="1:6">
      <c r="A8" s="113" t="s">
        <v>1050</v>
      </c>
      <c r="B8" s="113" t="s">
        <v>1395</v>
      </c>
      <c r="C8" s="113" t="s">
        <v>1415</v>
      </c>
      <c r="D8" s="113" t="s">
        <v>1414</v>
      </c>
      <c r="E8" s="113" t="s">
        <v>1392</v>
      </c>
      <c r="F8" s="113" t="s">
        <v>1391</v>
      </c>
    </row>
    <row r="9" spans="1:6">
      <c r="A9" s="113" t="s">
        <v>1050</v>
      </c>
      <c r="B9" s="113" t="s">
        <v>1395</v>
      </c>
      <c r="C9" s="113" t="s">
        <v>1413</v>
      </c>
      <c r="D9" s="113" t="s">
        <v>1412</v>
      </c>
      <c r="E9" s="113" t="s">
        <v>1392</v>
      </c>
      <c r="F9" s="113" t="s">
        <v>1391</v>
      </c>
    </row>
    <row r="10" spans="1:6">
      <c r="A10" s="113" t="s">
        <v>1050</v>
      </c>
      <c r="B10" s="113" t="s">
        <v>1395</v>
      </c>
      <c r="C10" s="113" t="s">
        <v>1411</v>
      </c>
      <c r="D10" s="113" t="s">
        <v>1410</v>
      </c>
      <c r="E10" s="113" t="s">
        <v>1392</v>
      </c>
      <c r="F10" s="113" t="s">
        <v>1391</v>
      </c>
    </row>
    <row r="11" spans="1:6">
      <c r="A11" s="113" t="s">
        <v>1050</v>
      </c>
      <c r="B11" s="113" t="s">
        <v>1395</v>
      </c>
      <c r="C11" s="113" t="s">
        <v>1409</v>
      </c>
      <c r="D11" s="113" t="s">
        <v>1408</v>
      </c>
      <c r="E11" s="113" t="s">
        <v>1392</v>
      </c>
      <c r="F11" s="113" t="s">
        <v>1391</v>
      </c>
    </row>
    <row r="12" spans="1:6">
      <c r="A12" s="113" t="s">
        <v>1050</v>
      </c>
      <c r="B12" s="113" t="s">
        <v>1395</v>
      </c>
      <c r="C12" s="113" t="s">
        <v>1407</v>
      </c>
      <c r="D12" s="113" t="s">
        <v>1406</v>
      </c>
      <c r="E12" s="113" t="s">
        <v>1392</v>
      </c>
      <c r="F12" s="113" t="s">
        <v>1391</v>
      </c>
    </row>
    <row r="13" spans="1:6">
      <c r="A13" s="113" t="s">
        <v>1050</v>
      </c>
      <c r="B13" s="113" t="s">
        <v>1395</v>
      </c>
      <c r="C13" s="113" t="s">
        <v>1405</v>
      </c>
      <c r="D13" s="113" t="s">
        <v>1404</v>
      </c>
      <c r="E13" s="113" t="s">
        <v>1392</v>
      </c>
      <c r="F13" s="113" t="s">
        <v>1391</v>
      </c>
    </row>
    <row r="14" spans="1:6">
      <c r="B14" s="113" t="s">
        <v>1395</v>
      </c>
      <c r="C14" s="113" t="s">
        <v>1403</v>
      </c>
      <c r="D14" s="113" t="s">
        <v>1402</v>
      </c>
      <c r="E14" s="113" t="s">
        <v>1392</v>
      </c>
      <c r="F14" s="113" t="s">
        <v>1391</v>
      </c>
    </row>
    <row r="15" spans="1:6">
      <c r="B15" s="113" t="s">
        <v>1395</v>
      </c>
      <c r="C15" s="113" t="s">
        <v>1401</v>
      </c>
      <c r="D15" s="113" t="s">
        <v>1400</v>
      </c>
      <c r="E15" s="113" t="s">
        <v>1392</v>
      </c>
      <c r="F15" s="113" t="s">
        <v>1391</v>
      </c>
    </row>
    <row r="16" spans="1:6">
      <c r="B16" s="113" t="s">
        <v>1395</v>
      </c>
      <c r="C16" s="113" t="s">
        <v>1399</v>
      </c>
      <c r="D16" s="113" t="s">
        <v>1398</v>
      </c>
      <c r="E16" s="113" t="s">
        <v>1392</v>
      </c>
      <c r="F16" s="113" t="s">
        <v>1391</v>
      </c>
    </row>
    <row r="17" spans="1:6">
      <c r="A17" s="113" t="s">
        <v>1050</v>
      </c>
      <c r="B17" s="113" t="s">
        <v>1395</v>
      </c>
      <c r="C17" s="113" t="s">
        <v>1397</v>
      </c>
      <c r="D17" s="113" t="s">
        <v>1396</v>
      </c>
      <c r="E17" s="113" t="s">
        <v>1392</v>
      </c>
      <c r="F17" s="113" t="s">
        <v>1391</v>
      </c>
    </row>
    <row r="18" spans="1:6">
      <c r="A18" s="113" t="s">
        <v>1050</v>
      </c>
      <c r="B18" s="113" t="s">
        <v>1395</v>
      </c>
      <c r="C18" s="113" t="s">
        <v>1394</v>
      </c>
      <c r="D18" s="113" t="s">
        <v>1393</v>
      </c>
      <c r="E18" s="113" t="s">
        <v>1392</v>
      </c>
      <c r="F18" s="113" t="s">
        <v>1391</v>
      </c>
    </row>
    <row r="19" spans="1:6">
      <c r="B19" s="113" t="s">
        <v>1035</v>
      </c>
      <c r="C19" s="113" t="s">
        <v>1390</v>
      </c>
      <c r="D19" s="113" t="s">
        <v>1389</v>
      </c>
      <c r="F19" s="113" t="s">
        <v>1032</v>
      </c>
    </row>
    <row r="20" spans="1:6">
      <c r="B20" s="113" t="s">
        <v>1035</v>
      </c>
      <c r="C20" s="113" t="s">
        <v>1388</v>
      </c>
      <c r="D20" s="113" t="s">
        <v>1387</v>
      </c>
      <c r="F20" s="113" t="s">
        <v>1032</v>
      </c>
    </row>
    <row r="21" spans="1:6">
      <c r="B21" s="113" t="s">
        <v>1035</v>
      </c>
      <c r="C21" s="113" t="s">
        <v>1386</v>
      </c>
      <c r="D21" s="113" t="s">
        <v>1385</v>
      </c>
      <c r="F21" s="113" t="s">
        <v>1032</v>
      </c>
    </row>
    <row r="22" spans="1:6">
      <c r="B22" s="113" t="s">
        <v>1035</v>
      </c>
      <c r="C22" s="113" t="s">
        <v>1384</v>
      </c>
      <c r="D22" s="113" t="s">
        <v>1383</v>
      </c>
      <c r="F22" s="113" t="s">
        <v>1032</v>
      </c>
    </row>
    <row r="23" spans="1:6">
      <c r="B23" s="113" t="s">
        <v>1035</v>
      </c>
      <c r="C23" s="113" t="s">
        <v>1382</v>
      </c>
      <c r="D23" s="113" t="s">
        <v>1381</v>
      </c>
      <c r="F23" s="113" t="s">
        <v>1032</v>
      </c>
    </row>
    <row r="24" spans="1:6">
      <c r="B24" s="113" t="s">
        <v>1035</v>
      </c>
      <c r="C24" s="113" t="s">
        <v>1380</v>
      </c>
      <c r="D24" s="113" t="s">
        <v>1379</v>
      </c>
      <c r="F24" s="113" t="s">
        <v>1032</v>
      </c>
    </row>
    <row r="25" spans="1:6">
      <c r="B25" s="113" t="s">
        <v>1035</v>
      </c>
      <c r="C25" s="113" t="s">
        <v>1378</v>
      </c>
      <c r="D25" s="113" t="s">
        <v>1377</v>
      </c>
      <c r="F25" s="113" t="s">
        <v>1032</v>
      </c>
    </row>
    <row r="26" spans="1:6">
      <c r="B26" s="113" t="s">
        <v>1035</v>
      </c>
      <c r="C26" s="113" t="s">
        <v>1376</v>
      </c>
      <c r="D26" s="113" t="s">
        <v>1375</v>
      </c>
      <c r="F26" s="113" t="s">
        <v>1032</v>
      </c>
    </row>
    <row r="27" spans="1:6">
      <c r="B27" s="113" t="s">
        <v>1035</v>
      </c>
      <c r="C27" s="113" t="s">
        <v>1374</v>
      </c>
      <c r="D27" s="113" t="s">
        <v>1373</v>
      </c>
      <c r="F27" s="113" t="s">
        <v>1032</v>
      </c>
    </row>
    <row r="28" spans="1:6">
      <c r="B28" s="113" t="s">
        <v>1035</v>
      </c>
      <c r="C28" s="113" t="s">
        <v>1372</v>
      </c>
      <c r="D28" s="113" t="s">
        <v>1371</v>
      </c>
      <c r="F28" s="113" t="s">
        <v>1032</v>
      </c>
    </row>
    <row r="29" spans="1:6">
      <c r="B29" s="113" t="s">
        <v>1035</v>
      </c>
      <c r="C29" s="113" t="s">
        <v>1370</v>
      </c>
      <c r="D29" s="113" t="s">
        <v>1369</v>
      </c>
      <c r="F29" s="113" t="s">
        <v>1032</v>
      </c>
    </row>
    <row r="30" spans="1:6">
      <c r="B30" s="113" t="s">
        <v>1035</v>
      </c>
      <c r="C30" s="113" t="s">
        <v>1368</v>
      </c>
      <c r="D30" s="113" t="s">
        <v>1367</v>
      </c>
      <c r="F30" s="113" t="s">
        <v>1032</v>
      </c>
    </row>
    <row r="31" spans="1:6">
      <c r="B31" s="113" t="s">
        <v>1035</v>
      </c>
      <c r="C31" s="113" t="s">
        <v>1366</v>
      </c>
      <c r="D31" s="113" t="s">
        <v>1365</v>
      </c>
      <c r="F31" s="113" t="s">
        <v>1032</v>
      </c>
    </row>
    <row r="32" spans="1:6">
      <c r="B32" s="113" t="s">
        <v>1035</v>
      </c>
      <c r="C32" s="113" t="s">
        <v>1364</v>
      </c>
      <c r="D32" s="113" t="s">
        <v>1363</v>
      </c>
      <c r="F32" s="113" t="s">
        <v>1032</v>
      </c>
    </row>
    <row r="33" spans="2:6">
      <c r="B33" s="113" t="s">
        <v>1035</v>
      </c>
      <c r="C33" s="113" t="s">
        <v>1362</v>
      </c>
      <c r="D33" s="113" t="s">
        <v>1361</v>
      </c>
      <c r="F33" s="113" t="s">
        <v>1032</v>
      </c>
    </row>
    <row r="34" spans="2:6">
      <c r="B34" s="113" t="s">
        <v>1035</v>
      </c>
      <c r="C34" s="113" t="s">
        <v>1360</v>
      </c>
      <c r="D34" s="113" t="s">
        <v>1359</v>
      </c>
      <c r="F34" s="113" t="s">
        <v>1032</v>
      </c>
    </row>
    <row r="35" spans="2:6">
      <c r="B35" s="113" t="s">
        <v>1035</v>
      </c>
      <c r="C35" s="113" t="s">
        <v>1358</v>
      </c>
      <c r="D35" s="113" t="s">
        <v>1357</v>
      </c>
      <c r="F35" s="113" t="s">
        <v>1032</v>
      </c>
    </row>
    <row r="36" spans="2:6">
      <c r="B36" s="113" t="s">
        <v>1035</v>
      </c>
      <c r="C36" s="113" t="s">
        <v>1356</v>
      </c>
      <c r="D36" s="113" t="s">
        <v>1355</v>
      </c>
      <c r="F36" s="113" t="s">
        <v>1032</v>
      </c>
    </row>
    <row r="37" spans="2:6">
      <c r="B37" s="113" t="s">
        <v>1035</v>
      </c>
      <c r="C37" s="113" t="s">
        <v>1354</v>
      </c>
      <c r="D37" s="113" t="s">
        <v>1353</v>
      </c>
      <c r="F37" s="113" t="s">
        <v>1032</v>
      </c>
    </row>
    <row r="38" spans="2:6">
      <c r="B38" s="113" t="s">
        <v>1035</v>
      </c>
      <c r="C38" s="113" t="s">
        <v>1352</v>
      </c>
      <c r="D38" s="113" t="s">
        <v>1351</v>
      </c>
      <c r="F38" s="113" t="s">
        <v>1032</v>
      </c>
    </row>
    <row r="39" spans="2:6">
      <c r="B39" s="113" t="s">
        <v>1035</v>
      </c>
      <c r="C39" s="113" t="s">
        <v>1350</v>
      </c>
      <c r="D39" s="113" t="s">
        <v>1349</v>
      </c>
      <c r="F39" s="113" t="s">
        <v>1032</v>
      </c>
    </row>
    <row r="40" spans="2:6">
      <c r="B40" s="113" t="s">
        <v>1071</v>
      </c>
      <c r="C40" s="113" t="s">
        <v>1348</v>
      </c>
      <c r="D40" s="113" t="s">
        <v>1347</v>
      </c>
      <c r="E40" s="113" t="s">
        <v>142</v>
      </c>
      <c r="F40" s="113" t="s">
        <v>1075</v>
      </c>
    </row>
    <row r="41" spans="2:6">
      <c r="B41" s="113" t="s">
        <v>1071</v>
      </c>
      <c r="C41" s="113" t="s">
        <v>1346</v>
      </c>
      <c r="D41" s="113" t="s">
        <v>1345</v>
      </c>
      <c r="E41" s="113" t="s">
        <v>142</v>
      </c>
      <c r="F41" s="113" t="s">
        <v>1075</v>
      </c>
    </row>
    <row r="42" spans="2:6">
      <c r="B42" s="113" t="s">
        <v>1071</v>
      </c>
      <c r="C42" s="113" t="s">
        <v>42</v>
      </c>
      <c r="D42" s="113" t="s">
        <v>1344</v>
      </c>
      <c r="E42" s="113" t="s">
        <v>142</v>
      </c>
      <c r="F42" s="113" t="s">
        <v>1075</v>
      </c>
    </row>
    <row r="43" spans="2:6">
      <c r="B43" s="113" t="s">
        <v>1071</v>
      </c>
      <c r="C43" s="113" t="s">
        <v>1343</v>
      </c>
      <c r="D43" s="113" t="s">
        <v>1342</v>
      </c>
      <c r="E43" s="113" t="s">
        <v>1307</v>
      </c>
      <c r="F43" s="113" t="s">
        <v>1306</v>
      </c>
    </row>
    <row r="44" spans="2:6">
      <c r="B44" s="113" t="s">
        <v>1071</v>
      </c>
      <c r="C44" s="113" t="s">
        <v>39</v>
      </c>
      <c r="D44" s="113" t="s">
        <v>1341</v>
      </c>
      <c r="E44" s="113" t="s">
        <v>142</v>
      </c>
      <c r="F44" s="113" t="s">
        <v>1075</v>
      </c>
    </row>
    <row r="45" spans="2:6">
      <c r="B45" s="113" t="s">
        <v>1071</v>
      </c>
      <c r="C45" s="113" t="s">
        <v>1340</v>
      </c>
      <c r="D45" s="113" t="s">
        <v>1339</v>
      </c>
      <c r="E45" s="113" t="s">
        <v>142</v>
      </c>
      <c r="F45" s="113" t="s">
        <v>1075</v>
      </c>
    </row>
    <row r="46" spans="2:6">
      <c r="B46" s="113" t="s">
        <v>1071</v>
      </c>
      <c r="C46" s="113" t="s">
        <v>41</v>
      </c>
      <c r="D46" s="113" t="s">
        <v>1338</v>
      </c>
      <c r="E46" s="113" t="s">
        <v>900</v>
      </c>
      <c r="F46" s="113" t="s">
        <v>1337</v>
      </c>
    </row>
    <row r="47" spans="2:6">
      <c r="B47" s="113" t="s">
        <v>1071</v>
      </c>
      <c r="C47" s="113" t="s">
        <v>590</v>
      </c>
      <c r="D47" s="113" t="s">
        <v>1336</v>
      </c>
      <c r="E47" s="113" t="s">
        <v>142</v>
      </c>
      <c r="F47" s="113" t="s">
        <v>1075</v>
      </c>
    </row>
    <row r="48" spans="2:6">
      <c r="B48" s="113" t="s">
        <v>1071</v>
      </c>
      <c r="C48" s="113" t="s">
        <v>1335</v>
      </c>
      <c r="D48" s="113" t="s">
        <v>1265</v>
      </c>
      <c r="E48" s="113" t="s">
        <v>142</v>
      </c>
      <c r="F48" s="113" t="s">
        <v>1075</v>
      </c>
    </row>
    <row r="49" spans="2:6">
      <c r="B49" s="113" t="s">
        <v>1071</v>
      </c>
      <c r="C49" s="113" t="s">
        <v>593</v>
      </c>
      <c r="D49" s="113" t="s">
        <v>1263</v>
      </c>
      <c r="E49" s="113" t="s">
        <v>142</v>
      </c>
      <c r="F49" s="113" t="s">
        <v>1075</v>
      </c>
    </row>
    <row r="50" spans="2:6">
      <c r="B50" s="113" t="s">
        <v>1071</v>
      </c>
      <c r="C50" s="113" t="s">
        <v>40</v>
      </c>
      <c r="D50" s="113" t="s">
        <v>1334</v>
      </c>
      <c r="E50" s="113" t="s">
        <v>142</v>
      </c>
      <c r="F50" s="113" t="s">
        <v>1075</v>
      </c>
    </row>
    <row r="51" spans="2:6">
      <c r="B51" s="113" t="s">
        <v>1071</v>
      </c>
      <c r="C51" s="113" t="s">
        <v>1333</v>
      </c>
      <c r="D51" s="113" t="s">
        <v>1332</v>
      </c>
      <c r="E51" s="113" t="s">
        <v>142</v>
      </c>
      <c r="F51" s="113" t="s">
        <v>1075</v>
      </c>
    </row>
    <row r="52" spans="2:6">
      <c r="B52" s="113" t="s">
        <v>1071</v>
      </c>
      <c r="C52" s="113" t="s">
        <v>1331</v>
      </c>
      <c r="D52" s="113" t="s">
        <v>1330</v>
      </c>
      <c r="E52" s="113" t="s">
        <v>1307</v>
      </c>
      <c r="F52" s="113" t="s">
        <v>1306</v>
      </c>
    </row>
    <row r="53" spans="2:6">
      <c r="B53" s="113" t="s">
        <v>1071</v>
      </c>
      <c r="C53" s="113" t="s">
        <v>1329</v>
      </c>
      <c r="D53" s="113" t="s">
        <v>1328</v>
      </c>
      <c r="E53" s="113" t="s">
        <v>1307</v>
      </c>
      <c r="F53" s="113" t="s">
        <v>1306</v>
      </c>
    </row>
    <row r="54" spans="2:6">
      <c r="B54" s="113" t="s">
        <v>1071</v>
      </c>
      <c r="C54" s="113" t="s">
        <v>1327</v>
      </c>
      <c r="D54" s="113" t="s">
        <v>1326</v>
      </c>
      <c r="E54" s="113" t="s">
        <v>1307</v>
      </c>
      <c r="F54" s="113" t="s">
        <v>1306</v>
      </c>
    </row>
    <row r="55" spans="2:6">
      <c r="B55" s="113" t="s">
        <v>1071</v>
      </c>
      <c r="C55" s="113" t="s">
        <v>1325</v>
      </c>
      <c r="D55" s="113" t="s">
        <v>1324</v>
      </c>
      <c r="E55" s="113" t="s">
        <v>142</v>
      </c>
      <c r="F55" s="113" t="s">
        <v>1075</v>
      </c>
    </row>
    <row r="56" spans="2:6">
      <c r="B56" s="113" t="s">
        <v>1071</v>
      </c>
      <c r="C56" s="113" t="s">
        <v>1323</v>
      </c>
      <c r="D56" s="113" t="s">
        <v>1322</v>
      </c>
      <c r="E56" s="113" t="s">
        <v>142</v>
      </c>
      <c r="F56" s="113" t="s">
        <v>1075</v>
      </c>
    </row>
    <row r="57" spans="2:6">
      <c r="B57" s="113" t="s">
        <v>1071</v>
      </c>
      <c r="C57" s="113" t="s">
        <v>1321</v>
      </c>
      <c r="D57" s="113" t="s">
        <v>1320</v>
      </c>
      <c r="E57" s="113" t="s">
        <v>142</v>
      </c>
      <c r="F57" s="113" t="s">
        <v>1075</v>
      </c>
    </row>
    <row r="58" spans="2:6">
      <c r="B58" s="113" t="s">
        <v>1071</v>
      </c>
      <c r="C58" s="113" t="s">
        <v>1319</v>
      </c>
      <c r="D58" s="113" t="s">
        <v>1318</v>
      </c>
      <c r="E58" s="113" t="s">
        <v>1307</v>
      </c>
      <c r="F58" s="113" t="s">
        <v>1306</v>
      </c>
    </row>
    <row r="59" spans="2:6">
      <c r="B59" s="113" t="s">
        <v>1071</v>
      </c>
      <c r="C59" s="113" t="s">
        <v>1317</v>
      </c>
      <c r="D59" s="113" t="s">
        <v>1316</v>
      </c>
      <c r="E59" s="113" t="s">
        <v>1307</v>
      </c>
      <c r="F59" s="113" t="s">
        <v>1306</v>
      </c>
    </row>
    <row r="60" spans="2:6">
      <c r="B60" s="113" t="s">
        <v>1071</v>
      </c>
      <c r="C60" s="113" t="s">
        <v>1315</v>
      </c>
      <c r="D60" s="113" t="s">
        <v>1314</v>
      </c>
      <c r="E60" s="113" t="s">
        <v>1307</v>
      </c>
      <c r="F60" s="113" t="s">
        <v>1306</v>
      </c>
    </row>
    <row r="61" spans="2:6">
      <c r="B61" s="113" t="s">
        <v>1071</v>
      </c>
      <c r="C61" s="113" t="s">
        <v>1313</v>
      </c>
      <c r="D61" s="113" t="s">
        <v>1312</v>
      </c>
      <c r="E61" s="113" t="s">
        <v>142</v>
      </c>
      <c r="F61" s="113" t="s">
        <v>1075</v>
      </c>
    </row>
    <row r="62" spans="2:6">
      <c r="B62" s="113" t="s">
        <v>1071</v>
      </c>
      <c r="C62" s="113" t="s">
        <v>1311</v>
      </c>
      <c r="D62" s="113" t="s">
        <v>1310</v>
      </c>
      <c r="E62" s="113" t="s">
        <v>1307</v>
      </c>
      <c r="F62" s="113" t="s">
        <v>1306</v>
      </c>
    </row>
    <row r="63" spans="2:6">
      <c r="B63" s="113" t="s">
        <v>1071</v>
      </c>
      <c r="C63" s="113" t="s">
        <v>1309</v>
      </c>
      <c r="D63" s="113" t="s">
        <v>1308</v>
      </c>
      <c r="E63" s="113" t="s">
        <v>1307</v>
      </c>
      <c r="F63" s="113" t="s">
        <v>1306</v>
      </c>
    </row>
    <row r="64" spans="2:6">
      <c r="B64" s="113" t="s">
        <v>1042</v>
      </c>
      <c r="C64" s="113" t="s">
        <v>169</v>
      </c>
      <c r="D64" s="113" t="s">
        <v>1305</v>
      </c>
      <c r="E64" s="113" t="s">
        <v>1054</v>
      </c>
      <c r="F64" s="113" t="s">
        <v>1043</v>
      </c>
    </row>
    <row r="65" spans="2:6">
      <c r="B65" s="113" t="s">
        <v>1042</v>
      </c>
      <c r="C65" s="113" t="s">
        <v>1304</v>
      </c>
      <c r="D65" s="113" t="s">
        <v>1303</v>
      </c>
      <c r="E65" s="113" t="s">
        <v>1054</v>
      </c>
      <c r="F65" s="113" t="s">
        <v>1043</v>
      </c>
    </row>
    <row r="66" spans="2:6">
      <c r="B66" s="113" t="s">
        <v>1042</v>
      </c>
      <c r="C66" s="113" t="s">
        <v>1302</v>
      </c>
      <c r="D66" s="113" t="s">
        <v>1301</v>
      </c>
      <c r="E66" s="113" t="s">
        <v>1054</v>
      </c>
      <c r="F66" s="113" t="s">
        <v>1043</v>
      </c>
    </row>
    <row r="67" spans="2:6">
      <c r="B67" s="113" t="s">
        <v>1042</v>
      </c>
      <c r="C67" s="113" t="s">
        <v>538</v>
      </c>
      <c r="D67" s="113" t="s">
        <v>1300</v>
      </c>
      <c r="E67" s="113" t="s">
        <v>1054</v>
      </c>
      <c r="F67" s="113" t="s">
        <v>1043</v>
      </c>
    </row>
    <row r="68" spans="2:6">
      <c r="B68" s="113" t="s">
        <v>1042</v>
      </c>
      <c r="C68" s="113" t="s">
        <v>171</v>
      </c>
      <c r="D68" s="113" t="s">
        <v>1299</v>
      </c>
      <c r="E68" s="113" t="s">
        <v>1054</v>
      </c>
      <c r="F68" s="113" t="s">
        <v>1043</v>
      </c>
    </row>
    <row r="69" spans="2:6">
      <c r="B69" s="113" t="s">
        <v>1042</v>
      </c>
      <c r="C69" s="113" t="s">
        <v>1298</v>
      </c>
      <c r="D69" s="113" t="s">
        <v>1297</v>
      </c>
      <c r="E69" s="113" t="s">
        <v>1054</v>
      </c>
      <c r="F69" s="113" t="s">
        <v>1043</v>
      </c>
    </row>
    <row r="70" spans="2:6">
      <c r="B70" s="113" t="s">
        <v>1042</v>
      </c>
      <c r="C70" s="113" t="s">
        <v>1296</v>
      </c>
      <c r="D70" s="113" t="s">
        <v>1295</v>
      </c>
      <c r="E70" s="113" t="s">
        <v>1054</v>
      </c>
      <c r="F70" s="113" t="s">
        <v>1043</v>
      </c>
    </row>
    <row r="71" spans="2:6">
      <c r="B71" s="113" t="s">
        <v>1042</v>
      </c>
      <c r="C71" s="113" t="s">
        <v>1294</v>
      </c>
      <c r="D71" s="113" t="s">
        <v>1293</v>
      </c>
      <c r="E71" s="113" t="s">
        <v>1039</v>
      </c>
      <c r="F71" s="113" t="s">
        <v>1043</v>
      </c>
    </row>
    <row r="72" spans="2:6">
      <c r="B72" s="113" t="s">
        <v>1042</v>
      </c>
      <c r="C72" s="113" t="s">
        <v>174</v>
      </c>
      <c r="D72" s="113" t="s">
        <v>1292</v>
      </c>
      <c r="E72" s="113" t="s">
        <v>1054</v>
      </c>
      <c r="F72" s="113" t="s">
        <v>1043</v>
      </c>
    </row>
    <row r="73" spans="2:6">
      <c r="B73" s="113" t="s">
        <v>1042</v>
      </c>
      <c r="C73" s="113" t="s">
        <v>1291</v>
      </c>
      <c r="D73" s="113" t="s">
        <v>1290</v>
      </c>
      <c r="E73" s="113" t="s">
        <v>1054</v>
      </c>
      <c r="F73" s="113" t="s">
        <v>1043</v>
      </c>
    </row>
    <row r="74" spans="2:6">
      <c r="B74" s="113" t="s">
        <v>1042</v>
      </c>
      <c r="C74" s="113" t="s">
        <v>1289</v>
      </c>
      <c r="D74" s="113" t="s">
        <v>1288</v>
      </c>
      <c r="E74" s="113" t="s">
        <v>1054</v>
      </c>
      <c r="F74" s="113" t="s">
        <v>1043</v>
      </c>
    </row>
    <row r="75" spans="2:6">
      <c r="B75" s="113" t="s">
        <v>1042</v>
      </c>
      <c r="C75" s="113" t="s">
        <v>539</v>
      </c>
      <c r="D75" s="113" t="s">
        <v>1287</v>
      </c>
      <c r="E75" s="113" t="s">
        <v>1054</v>
      </c>
      <c r="F75" s="113" t="s">
        <v>1043</v>
      </c>
    </row>
    <row r="76" spans="2:6">
      <c r="B76" s="113" t="s">
        <v>1042</v>
      </c>
      <c r="C76" s="113" t="s">
        <v>540</v>
      </c>
      <c r="D76" s="113" t="s">
        <v>1286</v>
      </c>
      <c r="E76" s="113" t="s">
        <v>1054</v>
      </c>
      <c r="F76" s="113" t="s">
        <v>1043</v>
      </c>
    </row>
    <row r="77" spans="2:6">
      <c r="B77" s="113" t="s">
        <v>1042</v>
      </c>
      <c r="C77" s="113" t="s">
        <v>178</v>
      </c>
      <c r="D77" s="113" t="s">
        <v>1285</v>
      </c>
      <c r="E77" s="113" t="s">
        <v>1054</v>
      </c>
      <c r="F77" s="113" t="s">
        <v>1043</v>
      </c>
    </row>
    <row r="78" spans="2:6">
      <c r="B78" s="113" t="s">
        <v>1042</v>
      </c>
      <c r="C78" s="113" t="s">
        <v>1284</v>
      </c>
      <c r="D78" s="113" t="s">
        <v>1283</v>
      </c>
      <c r="E78" s="113" t="s">
        <v>1054</v>
      </c>
      <c r="F78" s="113" t="s">
        <v>1043</v>
      </c>
    </row>
    <row r="79" spans="2:6">
      <c r="B79" s="113" t="s">
        <v>1042</v>
      </c>
      <c r="C79" s="113" t="s">
        <v>1282</v>
      </c>
      <c r="D79" s="113" t="s">
        <v>1281</v>
      </c>
      <c r="E79" s="113" t="s">
        <v>1054</v>
      </c>
      <c r="F79" s="113" t="s">
        <v>1043</v>
      </c>
    </row>
    <row r="80" spans="2:6">
      <c r="B80" s="113" t="s">
        <v>1042</v>
      </c>
      <c r="C80" s="113" t="s">
        <v>180</v>
      </c>
      <c r="D80" s="113" t="s">
        <v>1280</v>
      </c>
      <c r="E80" s="113" t="s">
        <v>1054</v>
      </c>
      <c r="F80" s="113" t="s">
        <v>1043</v>
      </c>
    </row>
    <row r="81" spans="2:6">
      <c r="B81" s="113" t="s">
        <v>1042</v>
      </c>
      <c r="C81" s="113" t="s">
        <v>1279</v>
      </c>
      <c r="D81" s="113" t="s">
        <v>1278</v>
      </c>
      <c r="E81" s="113" t="s">
        <v>1054</v>
      </c>
      <c r="F81" s="113" t="s">
        <v>1043</v>
      </c>
    </row>
    <row r="82" spans="2:6">
      <c r="B82" s="113" t="s">
        <v>1042</v>
      </c>
      <c r="C82" s="113" t="s">
        <v>1277</v>
      </c>
      <c r="D82" s="113" t="s">
        <v>1276</v>
      </c>
      <c r="E82" s="113" t="s">
        <v>1054</v>
      </c>
      <c r="F82" s="113" t="s">
        <v>1043</v>
      </c>
    </row>
    <row r="83" spans="2:6">
      <c r="B83" s="113" t="s">
        <v>1042</v>
      </c>
      <c r="C83" s="113" t="s">
        <v>541</v>
      </c>
      <c r="D83" s="113" t="s">
        <v>1275</v>
      </c>
      <c r="E83" s="113" t="s">
        <v>1054</v>
      </c>
      <c r="F83" s="113" t="s">
        <v>1043</v>
      </c>
    </row>
    <row r="84" spans="2:6">
      <c r="B84" s="113" t="s">
        <v>1042</v>
      </c>
      <c r="C84" s="113" t="s">
        <v>1274</v>
      </c>
      <c r="D84" s="113" t="s">
        <v>1273</v>
      </c>
      <c r="E84" s="113" t="s">
        <v>1039</v>
      </c>
      <c r="F84" s="113" t="s">
        <v>1043</v>
      </c>
    </row>
    <row r="85" spans="2:6">
      <c r="B85" s="113" t="s">
        <v>1042</v>
      </c>
      <c r="C85" s="113" t="s">
        <v>1272</v>
      </c>
      <c r="D85" s="113" t="s">
        <v>1271</v>
      </c>
      <c r="E85" s="113" t="s">
        <v>1039</v>
      </c>
      <c r="F85" s="113" t="s">
        <v>1043</v>
      </c>
    </row>
    <row r="86" spans="2:6">
      <c r="B86" s="113" t="s">
        <v>1042</v>
      </c>
      <c r="C86" s="113" t="s">
        <v>1270</v>
      </c>
      <c r="D86" s="113" t="s">
        <v>1269</v>
      </c>
      <c r="E86" s="113" t="s">
        <v>1039</v>
      </c>
      <c r="F86" s="113" t="s">
        <v>1043</v>
      </c>
    </row>
    <row r="87" spans="2:6">
      <c r="B87" s="113" t="s">
        <v>1042</v>
      </c>
      <c r="C87" s="113" t="s">
        <v>1268</v>
      </c>
      <c r="D87" s="113" t="s">
        <v>1267</v>
      </c>
      <c r="E87" s="113" t="s">
        <v>1039</v>
      </c>
      <c r="F87" s="113" t="s">
        <v>1043</v>
      </c>
    </row>
    <row r="88" spans="2:6">
      <c r="B88" s="113" t="s">
        <v>1042</v>
      </c>
      <c r="C88" s="113" t="s">
        <v>1266</v>
      </c>
      <c r="D88" s="113" t="s">
        <v>1265</v>
      </c>
      <c r="E88" s="113" t="s">
        <v>1039</v>
      </c>
      <c r="F88" s="113" t="s">
        <v>1043</v>
      </c>
    </row>
    <row r="89" spans="2:6">
      <c r="B89" s="113" t="s">
        <v>1042</v>
      </c>
      <c r="C89" s="113" t="s">
        <v>1264</v>
      </c>
      <c r="D89" s="113" t="s">
        <v>1263</v>
      </c>
      <c r="E89" s="113" t="s">
        <v>1039</v>
      </c>
      <c r="F89" s="113" t="s">
        <v>1043</v>
      </c>
    </row>
    <row r="90" spans="2:6">
      <c r="B90" s="113" t="s">
        <v>1042</v>
      </c>
      <c r="C90" s="113" t="s">
        <v>1262</v>
      </c>
      <c r="D90" s="113" t="s">
        <v>1261</v>
      </c>
      <c r="E90" s="113" t="s">
        <v>1054</v>
      </c>
      <c r="F90" s="113" t="s">
        <v>1043</v>
      </c>
    </row>
    <row r="91" spans="2:6">
      <c r="B91" s="113" t="s">
        <v>1042</v>
      </c>
      <c r="C91" s="113" t="s">
        <v>1260</v>
      </c>
      <c r="D91" s="113" t="s">
        <v>1259</v>
      </c>
      <c r="E91" s="113" t="s">
        <v>1039</v>
      </c>
      <c r="F91" s="113" t="s">
        <v>1043</v>
      </c>
    </row>
    <row r="92" spans="2:6">
      <c r="B92" s="113" t="s">
        <v>1258</v>
      </c>
      <c r="C92" s="113" t="s">
        <v>1099</v>
      </c>
      <c r="D92" s="113" t="s">
        <v>1257</v>
      </c>
      <c r="F92" s="113" t="s">
        <v>1256</v>
      </c>
    </row>
    <row r="93" spans="2:6">
      <c r="B93" s="113" t="s">
        <v>1071</v>
      </c>
      <c r="C93" s="113" t="s">
        <v>1547</v>
      </c>
      <c r="D93" s="113" t="s">
        <v>1549</v>
      </c>
      <c r="E93" t="s">
        <v>900</v>
      </c>
      <c r="F93" t="s">
        <v>1548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301"/>
  <sheetViews>
    <sheetView zoomScale="55" zoomScaleNormal="55" workbookViewId="0">
      <selection activeCell="AN61" sqref="AN53:AN61"/>
    </sheetView>
  </sheetViews>
  <sheetFormatPr defaultColWidth="10.28515625" defaultRowHeight="1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21.42578125" style="113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>
      <c r="A1" s="113" t="s">
        <v>1513</v>
      </c>
      <c r="B1" s="113" t="s">
        <v>1082</v>
      </c>
    </row>
    <row r="2" spans="1:41">
      <c r="A2" s="113" t="s">
        <v>1050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>
      <c r="B3" s="113" t="s">
        <v>915</v>
      </c>
      <c r="C3" s="113" t="s">
        <v>169</v>
      </c>
      <c r="D3" s="113" t="s">
        <v>705</v>
      </c>
      <c r="E3" s="113" t="s">
        <v>705</v>
      </c>
      <c r="F3" s="113" t="s">
        <v>705</v>
      </c>
      <c r="G3" s="113" t="s">
        <v>705</v>
      </c>
      <c r="H3" s="113" t="s">
        <v>705</v>
      </c>
      <c r="I3" s="113">
        <v>0</v>
      </c>
      <c r="J3" s="620">
        <f>'Iron &amp; Steel'!O89</f>
        <v>3160.9164837865528</v>
      </c>
    </row>
    <row r="4" spans="1:41">
      <c r="B4" s="113" t="s">
        <v>915</v>
      </c>
      <c r="C4" s="113" t="s">
        <v>1304</v>
      </c>
      <c r="D4" s="113" t="s">
        <v>705</v>
      </c>
      <c r="E4" s="113" t="s">
        <v>705</v>
      </c>
      <c r="F4" s="113" t="s">
        <v>705</v>
      </c>
      <c r="G4" s="113" t="s">
        <v>705</v>
      </c>
      <c r="H4" s="113" t="s">
        <v>705</v>
      </c>
      <c r="I4" s="113">
        <v>0</v>
      </c>
      <c r="J4" s="620">
        <f>'Iron &amp; Steel'!O90</f>
        <v>3160.9164837865528</v>
      </c>
    </row>
    <row r="5" spans="1:41">
      <c r="B5" s="113" t="s">
        <v>915</v>
      </c>
      <c r="C5" s="113" t="s">
        <v>1302</v>
      </c>
      <c r="D5" s="113" t="s">
        <v>705</v>
      </c>
      <c r="E5" s="113" t="s">
        <v>705</v>
      </c>
      <c r="F5" s="113" t="s">
        <v>705</v>
      </c>
      <c r="G5" s="113" t="s">
        <v>705</v>
      </c>
      <c r="H5" s="113" t="s">
        <v>705</v>
      </c>
      <c r="I5" s="113">
        <v>0</v>
      </c>
      <c r="J5" s="620">
        <f>'Iron &amp; Steel'!O91</f>
        <v>3160.9164837865528</v>
      </c>
    </row>
    <row r="6" spans="1:41">
      <c r="B6" s="113" t="s">
        <v>915</v>
      </c>
      <c r="C6" s="113" t="s">
        <v>538</v>
      </c>
      <c r="D6" s="113" t="s">
        <v>705</v>
      </c>
      <c r="E6" s="113" t="s">
        <v>705</v>
      </c>
      <c r="F6" s="113" t="s">
        <v>705</v>
      </c>
      <c r="G6" s="113" t="s">
        <v>705</v>
      </c>
      <c r="H6" s="113" t="s">
        <v>705</v>
      </c>
      <c r="I6" s="113">
        <v>0</v>
      </c>
      <c r="J6" s="620">
        <f>'Iron &amp; Steel'!O92</f>
        <v>3160.9164837865528</v>
      </c>
    </row>
    <row r="7" spans="1:41">
      <c r="B7" s="113" t="s">
        <v>915</v>
      </c>
      <c r="C7" s="113" t="s">
        <v>171</v>
      </c>
      <c r="D7" s="113" t="s">
        <v>705</v>
      </c>
      <c r="E7" s="113" t="s">
        <v>705</v>
      </c>
      <c r="F7" s="113" t="s">
        <v>705</v>
      </c>
      <c r="G7" s="113" t="s">
        <v>705</v>
      </c>
      <c r="H7" s="113" t="s">
        <v>705</v>
      </c>
      <c r="I7" s="113">
        <v>0</v>
      </c>
      <c r="J7" s="620">
        <f>'Iron &amp; Steel'!O93</f>
        <v>4030.364928374072</v>
      </c>
    </row>
    <row r="8" spans="1:41">
      <c r="B8" s="113" t="s">
        <v>915</v>
      </c>
      <c r="C8" s="113" t="s">
        <v>1298</v>
      </c>
      <c r="D8" s="113" t="s">
        <v>705</v>
      </c>
      <c r="E8" s="113" t="s">
        <v>705</v>
      </c>
      <c r="F8" s="113" t="s">
        <v>705</v>
      </c>
      <c r="G8" s="113" t="s">
        <v>705</v>
      </c>
      <c r="H8" s="113" t="s">
        <v>705</v>
      </c>
      <c r="I8" s="113">
        <v>0</v>
      </c>
      <c r="J8" s="620">
        <f>'Iron &amp; Steel'!O94</f>
        <v>4030.364928374072</v>
      </c>
    </row>
    <row r="9" spans="1:41">
      <c r="B9" s="113" t="s">
        <v>915</v>
      </c>
      <c r="C9" s="113" t="s">
        <v>1296</v>
      </c>
      <c r="D9" s="113" t="s">
        <v>705</v>
      </c>
      <c r="E9" s="113" t="s">
        <v>705</v>
      </c>
      <c r="F9" s="113" t="s">
        <v>705</v>
      </c>
      <c r="G9" s="113" t="s">
        <v>705</v>
      </c>
      <c r="H9" s="113" t="s">
        <v>705</v>
      </c>
      <c r="I9" s="113">
        <v>0</v>
      </c>
      <c r="J9" s="620">
        <f>'Iron &amp; Steel'!O95</f>
        <v>4030.364928374072</v>
      </c>
    </row>
    <row r="10" spans="1:41">
      <c r="B10" s="113" t="s">
        <v>915</v>
      </c>
      <c r="C10" s="113" t="s">
        <v>1294</v>
      </c>
      <c r="D10" s="113" t="s">
        <v>705</v>
      </c>
      <c r="E10" s="113" t="s">
        <v>705</v>
      </c>
      <c r="F10" s="113" t="s">
        <v>705</v>
      </c>
      <c r="G10" s="113" t="s">
        <v>705</v>
      </c>
      <c r="H10" s="113" t="s">
        <v>705</v>
      </c>
      <c r="I10" s="113">
        <v>0</v>
      </c>
      <c r="J10" s="620">
        <f>'Iron &amp; Steel'!O96</f>
        <v>61.378608192831265</v>
      </c>
    </row>
    <row r="11" spans="1:41">
      <c r="B11" s="113" t="s">
        <v>915</v>
      </c>
      <c r="C11" s="113" t="s">
        <v>174</v>
      </c>
      <c r="D11" s="113" t="s">
        <v>705</v>
      </c>
      <c r="E11" s="113" t="s">
        <v>705</v>
      </c>
      <c r="F11" s="113" t="s">
        <v>705</v>
      </c>
      <c r="G11" s="113" t="s">
        <v>705</v>
      </c>
      <c r="H11" s="113" t="s">
        <v>705</v>
      </c>
      <c r="I11" s="113">
        <v>0</v>
      </c>
      <c r="J11" s="620">
        <f>'Iron &amp; Steel'!O97</f>
        <v>4030.364928374072</v>
      </c>
    </row>
    <row r="12" spans="1:41">
      <c r="B12" s="113" t="s">
        <v>915</v>
      </c>
      <c r="C12" s="113" t="s">
        <v>1291</v>
      </c>
      <c r="D12" s="113" t="s">
        <v>705</v>
      </c>
      <c r="E12" s="113" t="s">
        <v>705</v>
      </c>
      <c r="F12" s="113" t="s">
        <v>705</v>
      </c>
      <c r="G12" s="113" t="s">
        <v>705</v>
      </c>
      <c r="H12" s="113" t="s">
        <v>705</v>
      </c>
      <c r="I12" s="113">
        <v>0</v>
      </c>
      <c r="J12" s="620">
        <f>'Iron &amp; Steel'!O98</f>
        <v>4030.364928374072</v>
      </c>
    </row>
    <row r="13" spans="1:41">
      <c r="B13" s="113" t="s">
        <v>915</v>
      </c>
      <c r="C13" s="113" t="s">
        <v>1289</v>
      </c>
      <c r="D13" s="113" t="s">
        <v>705</v>
      </c>
      <c r="E13" s="113" t="s">
        <v>705</v>
      </c>
      <c r="F13" s="113" t="s">
        <v>705</v>
      </c>
      <c r="G13" s="113" t="s">
        <v>705</v>
      </c>
      <c r="H13" s="113" t="s">
        <v>705</v>
      </c>
      <c r="I13" s="113">
        <v>0</v>
      </c>
      <c r="J13" s="620">
        <f>'Iron &amp; Steel'!O99</f>
        <v>4030.364928374072</v>
      </c>
    </row>
    <row r="14" spans="1:41">
      <c r="B14" s="113" t="s">
        <v>915</v>
      </c>
      <c r="C14" s="113" t="s">
        <v>539</v>
      </c>
      <c r="D14" s="113" t="s">
        <v>705</v>
      </c>
      <c r="E14" s="113" t="s">
        <v>705</v>
      </c>
      <c r="F14" s="113" t="s">
        <v>705</v>
      </c>
      <c r="G14" s="113" t="s">
        <v>705</v>
      </c>
      <c r="H14" s="113" t="s">
        <v>705</v>
      </c>
      <c r="I14" s="113">
        <v>0</v>
      </c>
      <c r="J14" s="620">
        <f>'Iron &amp; Steel'!O100</f>
        <v>4030.364928374072</v>
      </c>
    </row>
    <row r="15" spans="1:41">
      <c r="B15" s="113" t="s">
        <v>915</v>
      </c>
      <c r="C15" s="113" t="s">
        <v>540</v>
      </c>
      <c r="D15" s="113" t="s">
        <v>705</v>
      </c>
      <c r="E15" s="113" t="s">
        <v>705</v>
      </c>
      <c r="F15" s="113" t="s">
        <v>705</v>
      </c>
      <c r="G15" s="113" t="s">
        <v>705</v>
      </c>
      <c r="H15" s="113" t="s">
        <v>705</v>
      </c>
      <c r="I15" s="113">
        <v>0</v>
      </c>
      <c r="J15" s="620">
        <f>'Iron &amp; Steel'!O101</f>
        <v>4730.8994432149193</v>
      </c>
    </row>
    <row r="16" spans="1:41">
      <c r="B16" s="113" t="s">
        <v>915</v>
      </c>
      <c r="C16" s="113" t="s">
        <v>178</v>
      </c>
      <c r="D16" s="113" t="s">
        <v>705</v>
      </c>
      <c r="E16" s="113" t="s">
        <v>705</v>
      </c>
      <c r="F16" s="113" t="s">
        <v>705</v>
      </c>
      <c r="G16" s="113" t="s">
        <v>705</v>
      </c>
      <c r="H16" s="113" t="s">
        <v>705</v>
      </c>
      <c r="I16" s="113">
        <v>0</v>
      </c>
      <c r="J16" s="620">
        <f>'Iron &amp; Steel'!O102</f>
        <v>4030.364928374072</v>
      </c>
    </row>
    <row r="17" spans="2:18">
      <c r="B17" s="113" t="s">
        <v>915</v>
      </c>
      <c r="C17" s="113" t="s">
        <v>1284</v>
      </c>
      <c r="D17" s="113" t="s">
        <v>705</v>
      </c>
      <c r="E17" s="113" t="s">
        <v>705</v>
      </c>
      <c r="F17" s="113" t="s">
        <v>705</v>
      </c>
      <c r="G17" s="113" t="s">
        <v>705</v>
      </c>
      <c r="H17" s="113" t="s">
        <v>705</v>
      </c>
      <c r="I17" s="113">
        <v>0</v>
      </c>
      <c r="J17" s="620">
        <f>'Iron &amp; Steel'!O103</f>
        <v>4030.364928374072</v>
      </c>
    </row>
    <row r="18" spans="2:18">
      <c r="B18" s="113" t="s">
        <v>915</v>
      </c>
      <c r="C18" s="113" t="s">
        <v>1282</v>
      </c>
      <c r="D18" s="113" t="s">
        <v>705</v>
      </c>
      <c r="E18" s="113" t="s">
        <v>705</v>
      </c>
      <c r="F18" s="113" t="s">
        <v>705</v>
      </c>
      <c r="G18" s="113" t="s">
        <v>705</v>
      </c>
      <c r="H18" s="113" t="s">
        <v>705</v>
      </c>
      <c r="I18" s="113">
        <v>0</v>
      </c>
      <c r="J18" s="620">
        <f>'Iron &amp; Steel'!O104</f>
        <v>4030.364928374072</v>
      </c>
    </row>
    <row r="19" spans="2:18">
      <c r="B19" s="113" t="s">
        <v>915</v>
      </c>
      <c r="C19" s="113" t="s">
        <v>180</v>
      </c>
      <c r="D19" s="113" t="s">
        <v>705</v>
      </c>
      <c r="E19" s="113" t="s">
        <v>705</v>
      </c>
      <c r="F19" s="113" t="s">
        <v>705</v>
      </c>
      <c r="G19" s="113" t="s">
        <v>705</v>
      </c>
      <c r="H19" s="113" t="s">
        <v>705</v>
      </c>
      <c r="I19" s="113">
        <v>0</v>
      </c>
      <c r="J19" s="620">
        <f>'Iron &amp; Steel'!O105</f>
        <v>4352.4798641700509</v>
      </c>
    </row>
    <row r="20" spans="2:18">
      <c r="B20" s="113" t="s">
        <v>915</v>
      </c>
      <c r="C20" s="113" t="s">
        <v>1279</v>
      </c>
      <c r="D20" s="113" t="s">
        <v>705</v>
      </c>
      <c r="E20" s="113" t="s">
        <v>705</v>
      </c>
      <c r="F20" s="113" t="s">
        <v>705</v>
      </c>
      <c r="G20" s="113" t="s">
        <v>705</v>
      </c>
      <c r="H20" s="113" t="s">
        <v>705</v>
      </c>
      <c r="I20" s="113">
        <v>0</v>
      </c>
      <c r="J20" s="620">
        <f>'Iron &amp; Steel'!O106</f>
        <v>4352.4798641700509</v>
      </c>
    </row>
    <row r="21" spans="2:18">
      <c r="B21" s="113" t="s">
        <v>915</v>
      </c>
      <c r="C21" s="113" t="s">
        <v>1277</v>
      </c>
      <c r="D21" s="113" t="s">
        <v>705</v>
      </c>
      <c r="E21" s="113" t="s">
        <v>705</v>
      </c>
      <c r="F21" s="113" t="s">
        <v>705</v>
      </c>
      <c r="G21" s="113" t="s">
        <v>705</v>
      </c>
      <c r="H21" s="113" t="s">
        <v>705</v>
      </c>
      <c r="I21" s="113">
        <v>0</v>
      </c>
      <c r="J21" s="620">
        <f>'Iron &amp; Steel'!O107</f>
        <v>4352.4798641700509</v>
      </c>
    </row>
    <row r="22" spans="2:18">
      <c r="B22" s="113" t="s">
        <v>915</v>
      </c>
      <c r="C22" s="113" t="s">
        <v>541</v>
      </c>
      <c r="D22" s="113" t="s">
        <v>705</v>
      </c>
      <c r="E22" s="113" t="s">
        <v>705</v>
      </c>
      <c r="F22" s="113" t="s">
        <v>705</v>
      </c>
      <c r="G22" s="113" t="s">
        <v>705</v>
      </c>
      <c r="H22" s="113" t="s">
        <v>705</v>
      </c>
      <c r="I22" s="113">
        <v>0</v>
      </c>
      <c r="J22" s="620">
        <f>'Iron &amp; Steel'!O108</f>
        <v>4352.4798641700509</v>
      </c>
    </row>
    <row r="23" spans="2:18">
      <c r="B23" s="113" t="s">
        <v>915</v>
      </c>
      <c r="C23" s="113" t="s">
        <v>1262</v>
      </c>
      <c r="D23" s="113" t="s">
        <v>705</v>
      </c>
      <c r="E23" s="113" t="s">
        <v>705</v>
      </c>
      <c r="F23" s="113" t="s">
        <v>705</v>
      </c>
      <c r="G23" s="113" t="s">
        <v>705</v>
      </c>
      <c r="H23" s="113" t="s">
        <v>705</v>
      </c>
      <c r="I23" s="113">
        <v>0</v>
      </c>
      <c r="J23" s="620">
        <f>'Iron &amp; Steel'!O109</f>
        <v>0</v>
      </c>
    </row>
    <row r="24" spans="2:18">
      <c r="B24" s="620" t="s">
        <v>1454</v>
      </c>
      <c r="C24" s="620" t="s">
        <v>705</v>
      </c>
      <c r="D24" s="620" t="s">
        <v>41</v>
      </c>
      <c r="E24" s="620" t="s">
        <v>705</v>
      </c>
      <c r="F24" s="620" t="s">
        <v>705</v>
      </c>
      <c r="G24" s="620" t="s">
        <v>705</v>
      </c>
      <c r="H24" s="620" t="s">
        <v>705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>
      <c r="B25" s="113" t="s">
        <v>924</v>
      </c>
      <c r="C25" s="113" t="s">
        <v>1274</v>
      </c>
      <c r="D25" s="113" t="s">
        <v>705</v>
      </c>
      <c r="E25" s="113" t="s">
        <v>1088</v>
      </c>
      <c r="F25" s="113" t="s">
        <v>705</v>
      </c>
      <c r="G25" s="113" t="s">
        <v>1099</v>
      </c>
      <c r="H25" s="113" t="s">
        <v>705</v>
      </c>
      <c r="I25" s="113">
        <v>0</v>
      </c>
      <c r="J25" s="113">
        <v>1</v>
      </c>
    </row>
    <row r="26" spans="2:18">
      <c r="B26" s="113" t="s">
        <v>924</v>
      </c>
      <c r="C26" s="113" t="s">
        <v>1272</v>
      </c>
      <c r="D26" s="113" t="s">
        <v>705</v>
      </c>
      <c r="E26" s="113" t="s">
        <v>1088</v>
      </c>
      <c r="F26" s="113" t="s">
        <v>705</v>
      </c>
      <c r="G26" s="113" t="s">
        <v>1099</v>
      </c>
      <c r="H26" s="113" t="s">
        <v>705</v>
      </c>
      <c r="I26" s="113">
        <v>0</v>
      </c>
      <c r="J26" s="113">
        <v>1</v>
      </c>
    </row>
    <row r="27" spans="2:18">
      <c r="B27" s="113" t="s">
        <v>924</v>
      </c>
      <c r="C27" s="113" t="s">
        <v>1270</v>
      </c>
      <c r="D27" s="113" t="s">
        <v>705</v>
      </c>
      <c r="E27" s="113" t="s">
        <v>1088</v>
      </c>
      <c r="F27" s="113" t="s">
        <v>705</v>
      </c>
      <c r="G27" s="113" t="s">
        <v>1099</v>
      </c>
      <c r="H27" s="113" t="s">
        <v>705</v>
      </c>
      <c r="I27" s="113">
        <v>0</v>
      </c>
      <c r="J27" s="113">
        <v>1</v>
      </c>
    </row>
    <row r="28" spans="2:18">
      <c r="B28" s="113" t="s">
        <v>924</v>
      </c>
      <c r="C28" s="113" t="s">
        <v>1268</v>
      </c>
      <c r="D28" s="113" t="s">
        <v>705</v>
      </c>
      <c r="E28" s="113" t="s">
        <v>1088</v>
      </c>
      <c r="F28" s="113" t="s">
        <v>705</v>
      </c>
      <c r="G28" s="113" t="s">
        <v>1099</v>
      </c>
      <c r="H28" s="113" t="s">
        <v>705</v>
      </c>
      <c r="I28" s="113">
        <v>0</v>
      </c>
      <c r="J28" s="113">
        <v>1</v>
      </c>
    </row>
    <row r="29" spans="2:18">
      <c r="B29" s="113" t="s">
        <v>924</v>
      </c>
      <c r="C29" s="113" t="s">
        <v>1266</v>
      </c>
      <c r="D29" s="113" t="s">
        <v>705</v>
      </c>
      <c r="E29" s="113" t="s">
        <v>1088</v>
      </c>
      <c r="F29" s="113" t="s">
        <v>705</v>
      </c>
      <c r="G29" s="113" t="s">
        <v>1099</v>
      </c>
      <c r="H29" s="113" t="s">
        <v>705</v>
      </c>
      <c r="I29" s="113">
        <v>0</v>
      </c>
      <c r="J29" s="113">
        <v>1</v>
      </c>
    </row>
    <row r="30" spans="2:18">
      <c r="B30" s="113" t="s">
        <v>924</v>
      </c>
      <c r="C30" s="113" t="s">
        <v>1264</v>
      </c>
      <c r="D30" s="113" t="s">
        <v>705</v>
      </c>
      <c r="E30" s="113" t="s">
        <v>1088</v>
      </c>
      <c r="F30" s="113" t="s">
        <v>705</v>
      </c>
      <c r="G30" s="113" t="s">
        <v>1099</v>
      </c>
      <c r="H30" s="113" t="s">
        <v>705</v>
      </c>
      <c r="I30" s="113">
        <v>0</v>
      </c>
      <c r="J30" s="113">
        <v>1</v>
      </c>
    </row>
    <row r="31" spans="2:18">
      <c r="B31" s="113" t="s">
        <v>924</v>
      </c>
      <c r="C31" s="113" t="s">
        <v>1260</v>
      </c>
      <c r="D31" s="113" t="s">
        <v>705</v>
      </c>
      <c r="E31" s="113" t="s">
        <v>1088</v>
      </c>
      <c r="F31" s="113" t="s">
        <v>705</v>
      </c>
      <c r="G31" s="113" t="s">
        <v>1099</v>
      </c>
      <c r="H31" s="113" t="s">
        <v>705</v>
      </c>
      <c r="I31" s="113">
        <v>0</v>
      </c>
      <c r="J31" s="113">
        <v>1</v>
      </c>
    </row>
    <row r="32" spans="2:18">
      <c r="B32" s="113" t="s">
        <v>1453</v>
      </c>
      <c r="C32" s="113" t="s">
        <v>1294</v>
      </c>
      <c r="D32" s="113" t="s">
        <v>1452</v>
      </c>
      <c r="E32" s="113" t="s">
        <v>1088</v>
      </c>
      <c r="F32" s="113" t="s">
        <v>705</v>
      </c>
      <c r="G32" s="113" t="s">
        <v>1099</v>
      </c>
      <c r="H32" s="113" t="s">
        <v>705</v>
      </c>
      <c r="I32" s="113">
        <v>0</v>
      </c>
      <c r="J32" s="113">
        <v>17.329999999999998</v>
      </c>
    </row>
    <row r="33" spans="2:28">
      <c r="B33" s="113" t="s">
        <v>1453</v>
      </c>
      <c r="C33" s="113" t="s">
        <v>169</v>
      </c>
      <c r="D33" s="113" t="s">
        <v>1452</v>
      </c>
      <c r="E33" s="113" t="s">
        <v>1088</v>
      </c>
      <c r="F33" s="113" t="s">
        <v>705</v>
      </c>
      <c r="G33" s="113" t="s">
        <v>1099</v>
      </c>
      <c r="H33" s="113" t="s">
        <v>705</v>
      </c>
      <c r="I33" s="113">
        <v>0</v>
      </c>
      <c r="J33" s="626">
        <v>2810</v>
      </c>
    </row>
    <row r="34" spans="2:28">
      <c r="B34" s="113" t="s">
        <v>1453</v>
      </c>
      <c r="C34" s="555" t="s">
        <v>538</v>
      </c>
      <c r="D34" s="113" t="s">
        <v>1452</v>
      </c>
      <c r="E34" s="113" t="s">
        <v>1088</v>
      </c>
      <c r="F34" s="113" t="s">
        <v>705</v>
      </c>
      <c r="G34" s="113" t="s">
        <v>1099</v>
      </c>
      <c r="H34" s="113" t="s">
        <v>705</v>
      </c>
      <c r="I34" s="113">
        <v>0</v>
      </c>
      <c r="J34" s="626">
        <v>2810</v>
      </c>
    </row>
    <row r="35" spans="2:28">
      <c r="B35" s="113" t="s">
        <v>1453</v>
      </c>
      <c r="C35" s="555" t="s">
        <v>171</v>
      </c>
      <c r="D35" s="113" t="s">
        <v>1452</v>
      </c>
      <c r="E35" s="113" t="s">
        <v>1088</v>
      </c>
      <c r="F35" s="113" t="s">
        <v>705</v>
      </c>
      <c r="G35" s="113" t="s">
        <v>1099</v>
      </c>
      <c r="H35" s="113" t="s">
        <v>705</v>
      </c>
      <c r="I35" s="113">
        <v>0</v>
      </c>
      <c r="J35" s="626">
        <v>2126.7142857142858</v>
      </c>
    </row>
    <row r="36" spans="2:28">
      <c r="B36" s="113" t="s">
        <v>1453</v>
      </c>
      <c r="C36" s="555" t="s">
        <v>174</v>
      </c>
      <c r="D36" s="113" t="s">
        <v>1452</v>
      </c>
      <c r="E36" s="113" t="s">
        <v>1088</v>
      </c>
      <c r="F36" s="113" t="s">
        <v>705</v>
      </c>
      <c r="G36" s="113" t="s">
        <v>1099</v>
      </c>
      <c r="H36" s="113" t="s">
        <v>705</v>
      </c>
      <c r="I36" s="113">
        <v>0</v>
      </c>
      <c r="J36" s="626">
        <v>1605</v>
      </c>
    </row>
    <row r="37" spans="2:28">
      <c r="B37" s="113" t="s">
        <v>1453</v>
      </c>
      <c r="C37" s="113" t="s">
        <v>539</v>
      </c>
      <c r="D37" s="113" t="s">
        <v>1452</v>
      </c>
      <c r="E37" s="113" t="s">
        <v>1088</v>
      </c>
      <c r="F37" s="113" t="s">
        <v>705</v>
      </c>
      <c r="G37" s="113" t="s">
        <v>1099</v>
      </c>
      <c r="H37" s="113" t="s">
        <v>705</v>
      </c>
      <c r="I37" s="113">
        <v>0</v>
      </c>
      <c r="J37" s="626">
        <v>1605</v>
      </c>
    </row>
    <row r="38" spans="2:28">
      <c r="B38" s="113" t="s">
        <v>1453</v>
      </c>
      <c r="C38" s="113" t="s">
        <v>540</v>
      </c>
      <c r="D38" s="113" t="s">
        <v>1452</v>
      </c>
      <c r="E38" s="113" t="s">
        <v>1088</v>
      </c>
      <c r="F38" s="113" t="s">
        <v>705</v>
      </c>
      <c r="G38" s="113" t="s">
        <v>1099</v>
      </c>
      <c r="H38" s="113" t="s">
        <v>705</v>
      </c>
      <c r="I38" s="113">
        <v>0</v>
      </c>
      <c r="J38" s="626">
        <v>1605</v>
      </c>
    </row>
    <row r="39" spans="2:28">
      <c r="B39" s="113" t="s">
        <v>1453</v>
      </c>
      <c r="C39" s="555" t="s">
        <v>178</v>
      </c>
      <c r="D39" s="113" t="s">
        <v>1452</v>
      </c>
      <c r="E39" s="113" t="s">
        <v>1088</v>
      </c>
      <c r="F39" s="113" t="s">
        <v>705</v>
      </c>
      <c r="G39" s="113" t="s">
        <v>1099</v>
      </c>
      <c r="H39" s="113" t="s">
        <v>705</v>
      </c>
      <c r="I39" s="113">
        <v>0</v>
      </c>
      <c r="J39" s="626">
        <v>1540</v>
      </c>
    </row>
    <row r="40" spans="2:28">
      <c r="B40" s="113" t="s">
        <v>1453</v>
      </c>
      <c r="C40" s="555" t="s">
        <v>180</v>
      </c>
      <c r="D40" s="113" t="s">
        <v>1452</v>
      </c>
      <c r="E40" s="113" t="s">
        <v>1088</v>
      </c>
      <c r="F40" s="113" t="s">
        <v>705</v>
      </c>
      <c r="G40" s="113" t="s">
        <v>1099</v>
      </c>
      <c r="H40" s="113" t="s">
        <v>705</v>
      </c>
      <c r="I40" s="113">
        <v>0</v>
      </c>
      <c r="J40" s="626">
        <v>80</v>
      </c>
    </row>
    <row r="41" spans="2:28">
      <c r="B41" s="113" t="s">
        <v>1453</v>
      </c>
      <c r="C41" s="555" t="s">
        <v>541</v>
      </c>
      <c r="D41" s="113" t="s">
        <v>1452</v>
      </c>
      <c r="E41" s="113" t="s">
        <v>1088</v>
      </c>
      <c r="F41" s="113" t="s">
        <v>705</v>
      </c>
      <c r="G41" s="113" t="s">
        <v>1099</v>
      </c>
      <c r="H41" s="113" t="s">
        <v>705</v>
      </c>
      <c r="I41" s="113">
        <v>0</v>
      </c>
      <c r="J41" s="626">
        <v>80</v>
      </c>
      <c r="L41" s="625"/>
    </row>
    <row r="42" spans="2:28">
      <c r="B42" s="620" t="s">
        <v>904</v>
      </c>
      <c r="C42" s="620" t="s">
        <v>169</v>
      </c>
      <c r="D42" s="620" t="s">
        <v>705</v>
      </c>
      <c r="E42" s="620" t="s">
        <v>1388</v>
      </c>
      <c r="F42" s="620" t="s">
        <v>1390</v>
      </c>
      <c r="G42" s="620" t="s">
        <v>1099</v>
      </c>
      <c r="H42" s="620" t="s">
        <v>705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19.731464993552517</v>
      </c>
      <c r="AB42" s="622" t="str">
        <f>'PAMS and scenarios'!M21</f>
        <v/>
      </c>
    </row>
    <row r="43" spans="2:28">
      <c r="B43" s="113" t="s">
        <v>904</v>
      </c>
      <c r="C43" s="113" t="s">
        <v>538</v>
      </c>
      <c r="D43" s="113" t="s">
        <v>705</v>
      </c>
      <c r="E43" s="113" t="s">
        <v>1384</v>
      </c>
      <c r="F43" s="113" t="s">
        <v>1386</v>
      </c>
      <c r="G43" s="113" t="s">
        <v>1099</v>
      </c>
      <c r="H43" s="113" t="s">
        <v>705</v>
      </c>
      <c r="I43" s="113">
        <f>IF(pamsindex,3,0)</f>
        <v>0</v>
      </c>
      <c r="J43" s="113">
        <v>19.7</v>
      </c>
      <c r="O43" s="622">
        <f>O42</f>
        <v>19.731464993552517</v>
      </c>
      <c r="AB43" s="622" t="str">
        <f>'PAMS and scenarios'!M16</f>
        <v/>
      </c>
    </row>
    <row r="44" spans="2:28">
      <c r="B44" s="620" t="s">
        <v>904</v>
      </c>
      <c r="C44" s="620" t="s">
        <v>171</v>
      </c>
      <c r="D44" s="620" t="s">
        <v>705</v>
      </c>
      <c r="E44" s="620" t="s">
        <v>1380</v>
      </c>
      <c r="F44" s="620" t="s">
        <v>1382</v>
      </c>
      <c r="G44" s="620" t="s">
        <v>1099</v>
      </c>
      <c r="H44" s="620" t="s">
        <v>705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  <c r="AB44" s="622" t="str">
        <f>'PAMS and scenarios'!M22</f>
        <v/>
      </c>
    </row>
    <row r="45" spans="2:28">
      <c r="B45" s="113" t="s">
        <v>904</v>
      </c>
      <c r="C45" s="113" t="s">
        <v>1294</v>
      </c>
      <c r="D45" s="113" t="s">
        <v>705</v>
      </c>
      <c r="E45" s="113" t="s">
        <v>42</v>
      </c>
      <c r="F45" s="113" t="s">
        <v>1346</v>
      </c>
      <c r="G45" s="113" t="s">
        <v>1099</v>
      </c>
      <c r="H45" s="113" t="s">
        <v>705</v>
      </c>
      <c r="I45" s="113">
        <v>0</v>
      </c>
      <c r="J45" s="113">
        <v>1.6</v>
      </c>
    </row>
    <row r="46" spans="2:28">
      <c r="B46" s="113" t="s">
        <v>904</v>
      </c>
      <c r="C46" s="113" t="s">
        <v>1294</v>
      </c>
      <c r="D46" s="113" t="s">
        <v>705</v>
      </c>
      <c r="E46" s="113" t="s">
        <v>1340</v>
      </c>
      <c r="F46" s="113" t="s">
        <v>42</v>
      </c>
      <c r="G46" s="113" t="s">
        <v>1099</v>
      </c>
      <c r="H46" s="113" t="s">
        <v>705</v>
      </c>
      <c r="I46" s="113">
        <v>0</v>
      </c>
      <c r="J46" s="113">
        <v>0.6</v>
      </c>
    </row>
    <row r="47" spans="2:28">
      <c r="B47" s="620" t="s">
        <v>904</v>
      </c>
      <c r="C47" s="620" t="s">
        <v>174</v>
      </c>
      <c r="D47" s="620" t="s">
        <v>705</v>
      </c>
      <c r="E47" s="620" t="s">
        <v>1376</v>
      </c>
      <c r="F47" s="620" t="s">
        <v>1378</v>
      </c>
      <c r="G47" s="620" t="s">
        <v>1099</v>
      </c>
      <c r="H47" s="620" t="s">
        <v>705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29.285529033072699</v>
      </c>
      <c r="AB47" s="622" t="str">
        <f>'PAMS and scenarios'!M23</f>
        <v/>
      </c>
    </row>
    <row r="48" spans="2:28">
      <c r="B48" s="113" t="s">
        <v>904</v>
      </c>
      <c r="C48" s="113" t="s">
        <v>539</v>
      </c>
      <c r="D48" s="113" t="s">
        <v>705</v>
      </c>
      <c r="E48" s="113" t="s">
        <v>1368</v>
      </c>
      <c r="F48" s="113" t="s">
        <v>1370</v>
      </c>
      <c r="G48" s="113" t="s">
        <v>1099</v>
      </c>
      <c r="H48" s="113" t="s">
        <v>705</v>
      </c>
      <c r="I48" s="113">
        <f>IF(pamsindex,3,0)</f>
        <v>0</v>
      </c>
      <c r="J48" s="113">
        <v>20.3</v>
      </c>
      <c r="M48" s="113" t="str">
        <f>IF(pamsindex,J48,"")</f>
        <v/>
      </c>
      <c r="O48" s="622">
        <f>O47</f>
        <v>29.285529033072699</v>
      </c>
      <c r="AB48" s="622" t="str">
        <f>'PAMS and scenarios'!M17</f>
        <v/>
      </c>
    </row>
    <row r="49" spans="2:48">
      <c r="B49" s="113" t="s">
        <v>904</v>
      </c>
      <c r="C49" s="113" t="s">
        <v>540</v>
      </c>
      <c r="D49" s="113" t="s">
        <v>705</v>
      </c>
      <c r="E49" s="113" t="s">
        <v>1372</v>
      </c>
      <c r="F49" s="113" t="s">
        <v>1374</v>
      </c>
      <c r="G49" s="113" t="s">
        <v>1099</v>
      </c>
      <c r="H49" s="113" t="s">
        <v>705</v>
      </c>
      <c r="I49" s="113">
        <f>IF(pamsindex,3,0)</f>
        <v>0</v>
      </c>
      <c r="J49" s="113">
        <v>14.6</v>
      </c>
      <c r="M49" s="113" t="str">
        <f>IF(pamsindex,J49,"")</f>
        <v/>
      </c>
      <c r="O49" s="622">
        <f>O48*80%</f>
        <v>23.428423226458161</v>
      </c>
      <c r="AB49" s="622" t="str">
        <f>'PAMS and scenarios'!M18</f>
        <v/>
      </c>
    </row>
    <row r="50" spans="2:48">
      <c r="B50" s="620" t="s">
        <v>904</v>
      </c>
      <c r="C50" s="620" t="s">
        <v>178</v>
      </c>
      <c r="D50" s="620" t="s">
        <v>705</v>
      </c>
      <c r="E50" s="620" t="s">
        <v>1364</v>
      </c>
      <c r="F50" s="620" t="s">
        <v>1366</v>
      </c>
      <c r="G50" s="620" t="s">
        <v>1099</v>
      </c>
      <c r="H50" s="620" t="s">
        <v>705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  <c r="AB50" s="622" t="str">
        <f>'PAMS and scenarios'!M24</f>
        <v/>
      </c>
    </row>
    <row r="51" spans="2:48">
      <c r="B51" s="620" t="s">
        <v>904</v>
      </c>
      <c r="C51" s="620" t="s">
        <v>180</v>
      </c>
      <c r="D51" s="620" t="s">
        <v>705</v>
      </c>
      <c r="E51" s="620" t="s">
        <v>1356</v>
      </c>
      <c r="F51" s="620" t="s">
        <v>1358</v>
      </c>
      <c r="G51" s="620" t="s">
        <v>1099</v>
      </c>
      <c r="H51" s="620" t="s">
        <v>705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  <c r="AB51" s="622" t="str">
        <f>'PAMS and scenarios'!M25</f>
        <v/>
      </c>
    </row>
    <row r="52" spans="2:48">
      <c r="B52" s="113" t="s">
        <v>904</v>
      </c>
      <c r="C52" s="113" t="s">
        <v>541</v>
      </c>
      <c r="D52" s="113" t="s">
        <v>705</v>
      </c>
      <c r="E52" s="113" t="s">
        <v>1352</v>
      </c>
      <c r="F52" s="113" t="s">
        <v>1354</v>
      </c>
      <c r="G52" s="113" t="s">
        <v>1099</v>
      </c>
      <c r="H52" s="113" t="s">
        <v>705</v>
      </c>
      <c r="I52" s="113">
        <f>IF(pamsindex,3,0)</f>
        <v>0</v>
      </c>
      <c r="J52" s="113">
        <v>6.6</v>
      </c>
      <c r="M52" s="113" t="str">
        <f>IF(pamsindex,J52,"")</f>
        <v/>
      </c>
      <c r="O52" s="622">
        <f>'Iron &amp; Steel'!Z19</f>
        <v>5.4887322803632257</v>
      </c>
      <c r="AB52" s="622" t="str">
        <f>'PAMS and scenarios'!M19</f>
        <v/>
      </c>
    </row>
    <row r="53" spans="2:48">
      <c r="B53" s="620" t="s">
        <v>906</v>
      </c>
      <c r="C53" s="620" t="s">
        <v>169</v>
      </c>
      <c r="D53" s="620" t="s">
        <v>42</v>
      </c>
      <c r="E53" s="620" t="s">
        <v>1390</v>
      </c>
      <c r="F53" s="620" t="s">
        <v>705</v>
      </c>
      <c r="G53" s="620" t="s">
        <v>1099</v>
      </c>
      <c r="H53" s="620" t="s">
        <v>591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0.44982892124067309</v>
      </c>
      <c r="AN53" s="622"/>
    </row>
    <row r="54" spans="2:48">
      <c r="B54" s="620" t="s">
        <v>906</v>
      </c>
      <c r="C54" s="113" t="s">
        <v>169</v>
      </c>
      <c r="D54" s="113" t="s">
        <v>42</v>
      </c>
      <c r="E54" s="113" t="s">
        <v>1390</v>
      </c>
      <c r="F54" s="113" t="s">
        <v>705</v>
      </c>
      <c r="G54" s="113" t="s">
        <v>1099</v>
      </c>
      <c r="H54" s="113" t="s">
        <v>592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0.45432721045307983</v>
      </c>
    </row>
    <row r="55" spans="2:48">
      <c r="B55" s="620" t="s">
        <v>906</v>
      </c>
      <c r="C55" s="113" t="s">
        <v>169</v>
      </c>
      <c r="D55" s="113" t="s">
        <v>39</v>
      </c>
      <c r="E55" s="113" t="s">
        <v>1390</v>
      </c>
      <c r="F55" s="113" t="s">
        <v>705</v>
      </c>
      <c r="G55" s="113" t="s">
        <v>1099</v>
      </c>
      <c r="H55" s="113" t="s">
        <v>591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0.21945745439808531</v>
      </c>
    </row>
    <row r="56" spans="2:48">
      <c r="B56" s="620" t="s">
        <v>906</v>
      </c>
      <c r="C56" s="113" t="s">
        <v>169</v>
      </c>
      <c r="D56" s="113" t="s">
        <v>39</v>
      </c>
      <c r="E56" s="113" t="s">
        <v>1390</v>
      </c>
      <c r="F56" s="113" t="s">
        <v>705</v>
      </c>
      <c r="G56" s="113" t="s">
        <v>1099</v>
      </c>
      <c r="H56" s="113" t="s">
        <v>592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0.22165202894206618</v>
      </c>
      <c r="AN56" s="622"/>
    </row>
    <row r="57" spans="2:48">
      <c r="B57" s="620" t="s">
        <v>906</v>
      </c>
      <c r="C57" s="113" t="s">
        <v>169</v>
      </c>
      <c r="D57" s="113" t="s">
        <v>38</v>
      </c>
      <c r="E57" s="113" t="s">
        <v>1390</v>
      </c>
      <c r="F57" s="113" t="s">
        <v>705</v>
      </c>
      <c r="G57" s="113" t="s">
        <v>1099</v>
      </c>
      <c r="H57" s="113" t="s">
        <v>1100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0.10641268732607105</v>
      </c>
    </row>
    <row r="58" spans="2:48">
      <c r="B58" s="620" t="s">
        <v>906</v>
      </c>
      <c r="C58" s="113" t="s">
        <v>169</v>
      </c>
      <c r="D58" s="113" t="s">
        <v>590</v>
      </c>
      <c r="E58" s="113" t="s">
        <v>1390</v>
      </c>
      <c r="F58" s="113" t="s">
        <v>705</v>
      </c>
      <c r="G58" s="113" t="s">
        <v>1099</v>
      </c>
      <c r="H58" s="113" t="s">
        <v>591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0.19417975468905843</v>
      </c>
    </row>
    <row r="59" spans="2:48">
      <c r="B59" s="620" t="s">
        <v>906</v>
      </c>
      <c r="C59" s="113" t="s">
        <v>169</v>
      </c>
      <c r="D59" s="113" t="s">
        <v>590</v>
      </c>
      <c r="E59" s="113" t="s">
        <v>1390</v>
      </c>
      <c r="F59" s="113" t="s">
        <v>705</v>
      </c>
      <c r="G59" s="113" t="s">
        <v>1099</v>
      </c>
      <c r="H59" s="113" t="s">
        <v>592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0.19612155223594901</v>
      </c>
      <c r="AN59" s="622"/>
    </row>
    <row r="60" spans="2:48">
      <c r="B60" s="620" t="s">
        <v>906</v>
      </c>
      <c r="C60" s="113" t="s">
        <v>169</v>
      </c>
      <c r="D60" s="113" t="s">
        <v>1335</v>
      </c>
      <c r="E60" s="113" t="s">
        <v>1390</v>
      </c>
      <c r="F60" s="113" t="s">
        <v>705</v>
      </c>
      <c r="G60" s="113" t="s">
        <v>1099</v>
      </c>
      <c r="H60" s="113" t="s">
        <v>591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>
      <c r="B61" s="620" t="s">
        <v>906</v>
      </c>
      <c r="C61" s="113" t="s">
        <v>169</v>
      </c>
      <c r="D61" s="113" t="s">
        <v>1335</v>
      </c>
      <c r="E61" s="113" t="s">
        <v>1390</v>
      </c>
      <c r="F61" s="113" t="s">
        <v>705</v>
      </c>
      <c r="G61" s="113" t="s">
        <v>1099</v>
      </c>
      <c r="H61" s="113" t="s">
        <v>592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/>
    </row>
    <row r="62" spans="2:48">
      <c r="B62" s="620" t="s">
        <v>906</v>
      </c>
      <c r="C62" s="113" t="s">
        <v>538</v>
      </c>
      <c r="D62" s="113" t="s">
        <v>42</v>
      </c>
      <c r="E62" s="113" t="s">
        <v>1386</v>
      </c>
      <c r="F62" s="113" t="s">
        <v>705</v>
      </c>
      <c r="G62" s="113" t="s">
        <v>1099</v>
      </c>
      <c r="H62" s="113" t="s">
        <v>591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0.44982892124067309</v>
      </c>
      <c r="AV62" s="622"/>
    </row>
    <row r="63" spans="2:48">
      <c r="B63" s="620" t="s">
        <v>906</v>
      </c>
      <c r="C63" s="113" t="s">
        <v>538</v>
      </c>
      <c r="D63" s="113" t="s">
        <v>42</v>
      </c>
      <c r="E63" s="113" t="s">
        <v>1386</v>
      </c>
      <c r="F63" s="113" t="s">
        <v>705</v>
      </c>
      <c r="G63" s="113" t="s">
        <v>1099</v>
      </c>
      <c r="H63" s="113" t="s">
        <v>592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0.45432721045307983</v>
      </c>
    </row>
    <row r="64" spans="2:48">
      <c r="B64" s="620" t="s">
        <v>906</v>
      </c>
      <c r="C64" s="113" t="s">
        <v>538</v>
      </c>
      <c r="D64" s="113" t="s">
        <v>39</v>
      </c>
      <c r="E64" s="113" t="s">
        <v>1386</v>
      </c>
      <c r="F64" s="113" t="s">
        <v>705</v>
      </c>
      <c r="G64" s="113" t="s">
        <v>1099</v>
      </c>
      <c r="H64" s="113" t="s">
        <v>591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0.21945745439808531</v>
      </c>
      <c r="AV64" s="622"/>
    </row>
    <row r="65" spans="2:48">
      <c r="B65" s="620" t="s">
        <v>906</v>
      </c>
      <c r="C65" s="113" t="s">
        <v>538</v>
      </c>
      <c r="D65" s="113" t="s">
        <v>39</v>
      </c>
      <c r="E65" s="113" t="s">
        <v>1386</v>
      </c>
      <c r="F65" s="113" t="s">
        <v>705</v>
      </c>
      <c r="G65" s="113" t="s">
        <v>1099</v>
      </c>
      <c r="H65" s="113" t="s">
        <v>592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0.22165202894206618</v>
      </c>
    </row>
    <row r="66" spans="2:48">
      <c r="B66" s="620" t="s">
        <v>906</v>
      </c>
      <c r="C66" s="113" t="s">
        <v>538</v>
      </c>
      <c r="D66" s="113" t="s">
        <v>38</v>
      </c>
      <c r="E66" s="113" t="s">
        <v>1386</v>
      </c>
      <c r="F66" s="113" t="s">
        <v>705</v>
      </c>
      <c r="G66" s="113" t="s">
        <v>1099</v>
      </c>
      <c r="H66" s="113" t="s">
        <v>1100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0.10641268732607105</v>
      </c>
    </row>
    <row r="67" spans="2:48">
      <c r="B67" s="620" t="s">
        <v>906</v>
      </c>
      <c r="C67" s="113" t="s">
        <v>538</v>
      </c>
      <c r="D67" s="113" t="s">
        <v>590</v>
      </c>
      <c r="E67" s="113" t="s">
        <v>1386</v>
      </c>
      <c r="F67" s="113" t="s">
        <v>705</v>
      </c>
      <c r="G67" s="113" t="s">
        <v>1099</v>
      </c>
      <c r="H67" s="113" t="s">
        <v>591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0.19417975468905843</v>
      </c>
      <c r="AV67" s="622"/>
    </row>
    <row r="68" spans="2:48">
      <c r="B68" s="620" t="s">
        <v>906</v>
      </c>
      <c r="C68" s="113" t="s">
        <v>538</v>
      </c>
      <c r="D68" s="113" t="s">
        <v>590</v>
      </c>
      <c r="E68" s="113" t="s">
        <v>1386</v>
      </c>
      <c r="F68" s="113" t="s">
        <v>705</v>
      </c>
      <c r="G68" s="113" t="s">
        <v>1099</v>
      </c>
      <c r="H68" s="113" t="s">
        <v>592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0.19612155223594901</v>
      </c>
    </row>
    <row r="69" spans="2:48">
      <c r="B69" s="620" t="s">
        <v>906</v>
      </c>
      <c r="C69" s="113" t="s">
        <v>538</v>
      </c>
      <c r="D69" s="113" t="s">
        <v>1335</v>
      </c>
      <c r="E69" s="113" t="s">
        <v>1386</v>
      </c>
      <c r="F69" s="113" t="s">
        <v>705</v>
      </c>
      <c r="G69" s="113" t="s">
        <v>1099</v>
      </c>
      <c r="H69" s="113" t="s">
        <v>591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>
      <c r="B70" s="620" t="s">
        <v>906</v>
      </c>
      <c r="C70" s="113" t="s">
        <v>538</v>
      </c>
      <c r="D70" s="113" t="s">
        <v>1335</v>
      </c>
      <c r="E70" s="113" t="s">
        <v>1386</v>
      </c>
      <c r="F70" s="113" t="s">
        <v>705</v>
      </c>
      <c r="G70" s="113" t="s">
        <v>1099</v>
      </c>
      <c r="H70" s="113" t="s">
        <v>592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>
      <c r="B71" s="620" t="s">
        <v>906</v>
      </c>
      <c r="C71" s="113" t="s">
        <v>171</v>
      </c>
      <c r="D71" s="113" t="s">
        <v>42</v>
      </c>
      <c r="E71" s="113" t="s">
        <v>1382</v>
      </c>
      <c r="F71" s="113" t="s">
        <v>705</v>
      </c>
      <c r="G71" s="113" t="s">
        <v>1099</v>
      </c>
      <c r="H71" s="113" t="s">
        <v>1100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>
      <c r="B72" s="620" t="s">
        <v>906</v>
      </c>
      <c r="C72" s="113" t="s">
        <v>171</v>
      </c>
      <c r="D72" s="113" t="s">
        <v>39</v>
      </c>
      <c r="E72" s="113" t="s">
        <v>1382</v>
      </c>
      <c r="F72" s="113" t="s">
        <v>705</v>
      </c>
      <c r="G72" s="113" t="s">
        <v>1099</v>
      </c>
      <c r="H72" s="113" t="s">
        <v>1100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>
      <c r="B73" s="620" t="s">
        <v>906</v>
      </c>
      <c r="C73" s="113" t="s">
        <v>171</v>
      </c>
      <c r="D73" s="113" t="s">
        <v>38</v>
      </c>
      <c r="E73" s="113" t="s">
        <v>1382</v>
      </c>
      <c r="F73" s="113" t="s">
        <v>705</v>
      </c>
      <c r="G73" s="113" t="s">
        <v>1099</v>
      </c>
      <c r="H73" s="113" t="s">
        <v>1100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>
      <c r="B74" s="620" t="s">
        <v>906</v>
      </c>
      <c r="C74" s="113" t="s">
        <v>171</v>
      </c>
      <c r="D74" s="113" t="s">
        <v>590</v>
      </c>
      <c r="E74" s="113" t="s">
        <v>1382</v>
      </c>
      <c r="F74" s="113" t="s">
        <v>705</v>
      </c>
      <c r="G74" s="113" t="s">
        <v>1099</v>
      </c>
      <c r="H74" s="113" t="s">
        <v>1100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>
      <c r="B75" s="620" t="s">
        <v>906</v>
      </c>
      <c r="C75" s="113" t="s">
        <v>171</v>
      </c>
      <c r="D75" s="113" t="s">
        <v>593</v>
      </c>
      <c r="E75" s="113" t="s">
        <v>1382</v>
      </c>
      <c r="F75" s="113" t="s">
        <v>705</v>
      </c>
      <c r="G75" s="113" t="s">
        <v>1099</v>
      </c>
      <c r="H75" s="113" t="s">
        <v>1100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>
      <c r="B76" s="620" t="s">
        <v>906</v>
      </c>
      <c r="C76" s="113" t="s">
        <v>174</v>
      </c>
      <c r="D76" s="113" t="s">
        <v>39</v>
      </c>
      <c r="E76" s="113" t="s">
        <v>1378</v>
      </c>
      <c r="F76" s="113" t="s">
        <v>705</v>
      </c>
      <c r="G76" s="113" t="s">
        <v>1099</v>
      </c>
      <c r="H76" s="113" t="s">
        <v>591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0.70330244376593443</v>
      </c>
      <c r="AN76" s="622"/>
    </row>
    <row r="77" spans="2:48">
      <c r="B77" s="620" t="s">
        <v>906</v>
      </c>
      <c r="C77" s="113" t="s">
        <v>174</v>
      </c>
      <c r="D77" s="113" t="s">
        <v>39</v>
      </c>
      <c r="E77" s="113" t="s">
        <v>1378</v>
      </c>
      <c r="F77" s="113" t="s">
        <v>705</v>
      </c>
      <c r="G77" s="113" t="s">
        <v>1099</v>
      </c>
      <c r="H77" s="113" t="s">
        <v>592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0.71033546820359372</v>
      </c>
    </row>
    <row r="78" spans="2:48">
      <c r="B78" s="620" t="s">
        <v>906</v>
      </c>
      <c r="C78" s="113" t="s">
        <v>174</v>
      </c>
      <c r="D78" s="113" t="s">
        <v>38</v>
      </c>
      <c r="E78" s="113" t="s">
        <v>1378</v>
      </c>
      <c r="F78" s="113" t="s">
        <v>705</v>
      </c>
      <c r="G78" s="113" t="s">
        <v>1099</v>
      </c>
      <c r="H78" s="113" t="s">
        <v>1100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0.1675253603286615</v>
      </c>
    </row>
    <row r="79" spans="2:48">
      <c r="B79" s="620" t="s">
        <v>906</v>
      </c>
      <c r="C79" s="113" t="s">
        <v>174</v>
      </c>
      <c r="D79" s="113" t="s">
        <v>590</v>
      </c>
      <c r="E79" s="113" t="s">
        <v>1378</v>
      </c>
      <c r="F79" s="113" t="s">
        <v>705</v>
      </c>
      <c r="G79" s="113" t="s">
        <v>1099</v>
      </c>
      <c r="H79" s="113" t="s">
        <v>591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0.13083086283935119</v>
      </c>
    </row>
    <row r="80" spans="2:48">
      <c r="B80" s="620" t="s">
        <v>906</v>
      </c>
      <c r="C80" s="113" t="s">
        <v>174</v>
      </c>
      <c r="D80" s="113" t="s">
        <v>590</v>
      </c>
      <c r="E80" s="113" t="s">
        <v>1378</v>
      </c>
      <c r="F80" s="113" t="s">
        <v>705</v>
      </c>
      <c r="G80" s="113" t="s">
        <v>1099</v>
      </c>
      <c r="H80" s="113" t="s">
        <v>592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0.1321391714677447</v>
      </c>
      <c r="AN80" s="622"/>
    </row>
    <row r="81" spans="2:48">
      <c r="B81" s="620" t="s">
        <v>906</v>
      </c>
      <c r="C81" s="113" t="s">
        <v>174</v>
      </c>
      <c r="D81" s="113" t="s">
        <v>1335</v>
      </c>
      <c r="E81" s="113" t="s">
        <v>1378</v>
      </c>
      <c r="F81" s="113" t="s">
        <v>705</v>
      </c>
      <c r="G81" s="113" t="s">
        <v>1099</v>
      </c>
      <c r="H81" s="113" t="s">
        <v>591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>
      <c r="B82" s="620" t="s">
        <v>906</v>
      </c>
      <c r="C82" s="113" t="s">
        <v>174</v>
      </c>
      <c r="D82" s="113" t="s">
        <v>1335</v>
      </c>
      <c r="E82" s="113" t="s">
        <v>1378</v>
      </c>
      <c r="F82" s="113" t="s">
        <v>705</v>
      </c>
      <c r="G82" s="113" t="s">
        <v>1099</v>
      </c>
      <c r="H82" s="113" t="s">
        <v>592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/>
    </row>
    <row r="83" spans="2:48">
      <c r="B83" s="620" t="s">
        <v>906</v>
      </c>
      <c r="C83" s="113" t="s">
        <v>539</v>
      </c>
      <c r="D83" s="113" t="s">
        <v>39</v>
      </c>
      <c r="E83" s="113" t="s">
        <v>1370</v>
      </c>
      <c r="F83" s="113" t="s">
        <v>705</v>
      </c>
      <c r="G83" s="113" t="s">
        <v>1099</v>
      </c>
      <c r="H83" s="113" t="s">
        <v>591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0.70330244376593443</v>
      </c>
      <c r="AV83" s="622"/>
    </row>
    <row r="84" spans="2:48">
      <c r="B84" s="620" t="s">
        <v>906</v>
      </c>
      <c r="C84" s="113" t="s">
        <v>539</v>
      </c>
      <c r="D84" s="113" t="s">
        <v>39</v>
      </c>
      <c r="E84" s="113" t="s">
        <v>1370</v>
      </c>
      <c r="F84" s="113" t="s">
        <v>705</v>
      </c>
      <c r="G84" s="113" t="s">
        <v>1099</v>
      </c>
      <c r="H84" s="113" t="s">
        <v>592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0.71033546820359372</v>
      </c>
    </row>
    <row r="85" spans="2:48">
      <c r="B85" s="620" t="s">
        <v>906</v>
      </c>
      <c r="C85" s="113" t="s">
        <v>539</v>
      </c>
      <c r="D85" s="113" t="s">
        <v>38</v>
      </c>
      <c r="E85" s="113" t="s">
        <v>1370</v>
      </c>
      <c r="F85" s="113" t="s">
        <v>705</v>
      </c>
      <c r="G85" s="113" t="s">
        <v>1099</v>
      </c>
      <c r="H85" s="113" t="s">
        <v>1100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0.1675253603286615</v>
      </c>
      <c r="AV85" s="622"/>
    </row>
    <row r="86" spans="2:48">
      <c r="B86" s="620" t="s">
        <v>906</v>
      </c>
      <c r="C86" s="113" t="s">
        <v>539</v>
      </c>
      <c r="D86" s="113" t="s">
        <v>590</v>
      </c>
      <c r="E86" s="113" t="s">
        <v>1370</v>
      </c>
      <c r="F86" s="113" t="s">
        <v>705</v>
      </c>
      <c r="G86" s="113" t="s">
        <v>1099</v>
      </c>
      <c r="H86" s="113" t="s">
        <v>591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0.13083086283935119</v>
      </c>
      <c r="AV86" s="622"/>
    </row>
    <row r="87" spans="2:48">
      <c r="B87" s="620" t="s">
        <v>906</v>
      </c>
      <c r="C87" s="113" t="s">
        <v>539</v>
      </c>
      <c r="D87" s="113" t="s">
        <v>590</v>
      </c>
      <c r="E87" s="113" t="s">
        <v>1370</v>
      </c>
      <c r="F87" s="113" t="s">
        <v>705</v>
      </c>
      <c r="G87" s="113" t="s">
        <v>1099</v>
      </c>
      <c r="H87" s="113" t="s">
        <v>592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0.1321391714677447</v>
      </c>
    </row>
    <row r="88" spans="2:48">
      <c r="B88" s="620" t="s">
        <v>906</v>
      </c>
      <c r="C88" s="113" t="s">
        <v>539</v>
      </c>
      <c r="D88" s="113" t="s">
        <v>1335</v>
      </c>
      <c r="E88" s="113" t="s">
        <v>1370</v>
      </c>
      <c r="F88" s="113" t="s">
        <v>705</v>
      </c>
      <c r="G88" s="113" t="s">
        <v>1099</v>
      </c>
      <c r="H88" s="113" t="s">
        <v>591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>
      <c r="B89" s="620" t="s">
        <v>906</v>
      </c>
      <c r="C89" s="113" t="s">
        <v>539</v>
      </c>
      <c r="D89" s="113" t="s">
        <v>1335</v>
      </c>
      <c r="E89" s="113" t="s">
        <v>1370</v>
      </c>
      <c r="F89" s="113" t="s">
        <v>705</v>
      </c>
      <c r="G89" s="113" t="s">
        <v>1099</v>
      </c>
      <c r="H89" s="113" t="s">
        <v>592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>
      <c r="B90" s="620" t="s">
        <v>906</v>
      </c>
      <c r="C90" s="113" t="s">
        <v>540</v>
      </c>
      <c r="D90" s="113" t="s">
        <v>38</v>
      </c>
      <c r="E90" s="113" t="s">
        <v>1374</v>
      </c>
      <c r="F90" s="113" t="s">
        <v>705</v>
      </c>
      <c r="G90" s="113" t="s">
        <v>1099</v>
      </c>
      <c r="H90" s="113" t="s">
        <v>1100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>
      <c r="B91" s="620" t="s">
        <v>906</v>
      </c>
      <c r="C91" s="113" t="s">
        <v>540</v>
      </c>
      <c r="D91" s="113" t="s">
        <v>590</v>
      </c>
      <c r="E91" s="113" t="s">
        <v>1374</v>
      </c>
      <c r="F91" s="113" t="s">
        <v>705</v>
      </c>
      <c r="G91" s="113" t="s">
        <v>1099</v>
      </c>
      <c r="H91" s="113" t="s">
        <v>1100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>
      <c r="B92" s="620" t="s">
        <v>906</v>
      </c>
      <c r="C92" s="113" t="s">
        <v>540</v>
      </c>
      <c r="D92" s="113" t="s">
        <v>1335</v>
      </c>
      <c r="E92" s="113" t="s">
        <v>1374</v>
      </c>
      <c r="F92" s="113" t="s">
        <v>705</v>
      </c>
      <c r="G92" s="113" t="s">
        <v>1099</v>
      </c>
      <c r="H92" s="113" t="s">
        <v>1100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>
      <c r="B93" s="620" t="s">
        <v>906</v>
      </c>
      <c r="C93" s="113" t="s">
        <v>178</v>
      </c>
      <c r="D93" s="113" t="s">
        <v>42</v>
      </c>
      <c r="E93" s="113" t="s">
        <v>1366</v>
      </c>
      <c r="F93" s="113" t="s">
        <v>705</v>
      </c>
      <c r="G93" s="113" t="s">
        <v>1099</v>
      </c>
      <c r="H93" s="113" t="s">
        <v>1100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>
      <c r="B94" s="620" t="s">
        <v>906</v>
      </c>
      <c r="C94" s="113" t="s">
        <v>178</v>
      </c>
      <c r="D94" s="113" t="s">
        <v>39</v>
      </c>
      <c r="E94" s="113" t="s">
        <v>1366</v>
      </c>
      <c r="F94" s="113" t="s">
        <v>705</v>
      </c>
      <c r="G94" s="113" t="s">
        <v>1099</v>
      </c>
      <c r="H94" s="113" t="s">
        <v>1100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>
      <c r="B95" s="620" t="s">
        <v>906</v>
      </c>
      <c r="C95" s="113" t="s">
        <v>178</v>
      </c>
      <c r="D95" s="113" t="s">
        <v>38</v>
      </c>
      <c r="E95" s="113" t="s">
        <v>1366</v>
      </c>
      <c r="F95" s="113" t="s">
        <v>705</v>
      </c>
      <c r="G95" s="113" t="s">
        <v>1099</v>
      </c>
      <c r="H95" s="113" t="s">
        <v>1100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>
      <c r="B96" s="620" t="s">
        <v>906</v>
      </c>
      <c r="C96" s="113" t="s">
        <v>178</v>
      </c>
      <c r="D96" s="113" t="s">
        <v>590</v>
      </c>
      <c r="E96" s="113" t="s">
        <v>1366</v>
      </c>
      <c r="F96" s="113" t="s">
        <v>705</v>
      </c>
      <c r="G96" s="113" t="s">
        <v>1099</v>
      </c>
      <c r="H96" s="113" t="s">
        <v>1100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>
      <c r="B97" s="620" t="s">
        <v>906</v>
      </c>
      <c r="C97" s="113" t="s">
        <v>178</v>
      </c>
      <c r="D97" s="113" t="s">
        <v>1335</v>
      </c>
      <c r="E97" s="113" t="s">
        <v>1366</v>
      </c>
      <c r="F97" s="113" t="s">
        <v>705</v>
      </c>
      <c r="G97" s="113" t="s">
        <v>1099</v>
      </c>
      <c r="H97" s="113" t="s">
        <v>1100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>
      <c r="B98" s="620" t="s">
        <v>906</v>
      </c>
      <c r="C98" s="113" t="s">
        <v>180</v>
      </c>
      <c r="D98" s="113" t="s">
        <v>39</v>
      </c>
      <c r="E98" s="113" t="s">
        <v>1358</v>
      </c>
      <c r="F98" s="113" t="s">
        <v>705</v>
      </c>
      <c r="G98" s="113" t="s">
        <v>1099</v>
      </c>
      <c r="H98" s="113" t="s">
        <v>591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/>
    </row>
    <row r="99" spans="2:48">
      <c r="B99" s="620" t="s">
        <v>906</v>
      </c>
      <c r="C99" s="113" t="s">
        <v>180</v>
      </c>
      <c r="D99" s="113" t="s">
        <v>39</v>
      </c>
      <c r="E99" s="113" t="s">
        <v>1358</v>
      </c>
      <c r="F99" s="113" t="s">
        <v>705</v>
      </c>
      <c r="G99" s="113" t="s">
        <v>1099</v>
      </c>
      <c r="H99" s="113" t="s">
        <v>592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>
      <c r="B100" s="620" t="s">
        <v>906</v>
      </c>
      <c r="C100" s="113" t="s">
        <v>180</v>
      </c>
      <c r="D100" s="113" t="s">
        <v>38</v>
      </c>
      <c r="E100" s="113" t="s">
        <v>1358</v>
      </c>
      <c r="F100" s="113" t="s">
        <v>705</v>
      </c>
      <c r="G100" s="113" t="s">
        <v>1099</v>
      </c>
      <c r="H100" s="113" t="s">
        <v>1100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>
      <c r="B101" s="620" t="s">
        <v>906</v>
      </c>
      <c r="C101" s="113" t="s">
        <v>180</v>
      </c>
      <c r="D101" s="113" t="s">
        <v>590</v>
      </c>
      <c r="E101" s="113" t="s">
        <v>1358</v>
      </c>
      <c r="F101" s="113" t="s">
        <v>705</v>
      </c>
      <c r="G101" s="113" t="s">
        <v>1099</v>
      </c>
      <c r="H101" s="113" t="s">
        <v>591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>
      <c r="B102" s="620" t="s">
        <v>906</v>
      </c>
      <c r="C102" s="113" t="s">
        <v>180</v>
      </c>
      <c r="D102" s="113" t="s">
        <v>590</v>
      </c>
      <c r="E102" s="113" t="s">
        <v>1358</v>
      </c>
      <c r="F102" s="113" t="s">
        <v>705</v>
      </c>
      <c r="G102" s="113" t="s">
        <v>1099</v>
      </c>
      <c r="H102" s="113" t="s">
        <v>592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/>
    </row>
    <row r="103" spans="2:48">
      <c r="B103" s="620" t="s">
        <v>906</v>
      </c>
      <c r="C103" s="113" t="s">
        <v>180</v>
      </c>
      <c r="D103" s="113" t="s">
        <v>1335</v>
      </c>
      <c r="E103" s="113" t="s">
        <v>1358</v>
      </c>
      <c r="F103" s="113" t="s">
        <v>705</v>
      </c>
      <c r="G103" s="113" t="s">
        <v>1099</v>
      </c>
      <c r="H103" s="113" t="s">
        <v>591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>
      <c r="B104" s="620" t="s">
        <v>906</v>
      </c>
      <c r="C104" s="113" t="s">
        <v>180</v>
      </c>
      <c r="D104" s="113" t="s">
        <v>1335</v>
      </c>
      <c r="E104" s="113" t="s">
        <v>1358</v>
      </c>
      <c r="F104" s="113" t="s">
        <v>705</v>
      </c>
      <c r="G104" s="113" t="s">
        <v>1099</v>
      </c>
      <c r="H104" s="113" t="s">
        <v>592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/>
    </row>
    <row r="105" spans="2:48">
      <c r="B105" s="620" t="s">
        <v>906</v>
      </c>
      <c r="C105" s="113" t="s">
        <v>541</v>
      </c>
      <c r="D105" s="113" t="s">
        <v>39</v>
      </c>
      <c r="E105" s="113" t="s">
        <v>1354</v>
      </c>
      <c r="F105" s="113" t="s">
        <v>705</v>
      </c>
      <c r="G105" s="113" t="s">
        <v>1099</v>
      </c>
      <c r="H105" s="113" t="s">
        <v>591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>
      <c r="B106" s="620" t="s">
        <v>906</v>
      </c>
      <c r="C106" s="113" t="s">
        <v>541</v>
      </c>
      <c r="D106" s="113" t="s">
        <v>39</v>
      </c>
      <c r="E106" s="113" t="s">
        <v>1354</v>
      </c>
      <c r="F106" s="113" t="s">
        <v>705</v>
      </c>
      <c r="G106" s="113" t="s">
        <v>1099</v>
      </c>
      <c r="H106" s="113" t="s">
        <v>592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>
      <c r="B107" s="620" t="s">
        <v>906</v>
      </c>
      <c r="C107" s="113" t="s">
        <v>541</v>
      </c>
      <c r="D107" s="113" t="s">
        <v>38</v>
      </c>
      <c r="E107" s="113" t="s">
        <v>1354</v>
      </c>
      <c r="F107" s="113" t="s">
        <v>705</v>
      </c>
      <c r="G107" s="113" t="s">
        <v>1099</v>
      </c>
      <c r="H107" s="113" t="s">
        <v>1100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>
      <c r="B108" s="620" t="s">
        <v>906</v>
      </c>
      <c r="C108" s="113" t="s">
        <v>541</v>
      </c>
      <c r="D108" s="113" t="s">
        <v>590</v>
      </c>
      <c r="E108" s="113" t="s">
        <v>1354</v>
      </c>
      <c r="F108" s="113" t="s">
        <v>705</v>
      </c>
      <c r="G108" s="113" t="s">
        <v>1099</v>
      </c>
      <c r="H108" s="113" t="s">
        <v>591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>
      <c r="B109" s="620" t="s">
        <v>906</v>
      </c>
      <c r="C109" s="113" t="s">
        <v>541</v>
      </c>
      <c r="D109" s="113" t="s">
        <v>590</v>
      </c>
      <c r="E109" s="113" t="s">
        <v>1354</v>
      </c>
      <c r="F109" s="113" t="s">
        <v>705</v>
      </c>
      <c r="G109" s="113" t="s">
        <v>1099</v>
      </c>
      <c r="H109" s="113" t="s">
        <v>592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>
      <c r="B110" s="620" t="s">
        <v>906</v>
      </c>
      <c r="C110" s="113" t="s">
        <v>541</v>
      </c>
      <c r="D110" s="113" t="s">
        <v>1335</v>
      </c>
      <c r="E110" s="113" t="s">
        <v>1354</v>
      </c>
      <c r="F110" s="113" t="s">
        <v>705</v>
      </c>
      <c r="G110" s="113" t="s">
        <v>1099</v>
      </c>
      <c r="H110" s="113" t="s">
        <v>591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>
      <c r="B111" s="620" t="s">
        <v>906</v>
      </c>
      <c r="C111" s="620" t="s">
        <v>541</v>
      </c>
      <c r="D111" s="620" t="s">
        <v>1335</v>
      </c>
      <c r="E111" s="620" t="s">
        <v>1354</v>
      </c>
      <c r="F111" s="620" t="s">
        <v>705</v>
      </c>
      <c r="G111" s="620" t="s">
        <v>1099</v>
      </c>
      <c r="H111" s="620" t="s">
        <v>592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>
      <c r="B112" s="620" t="s">
        <v>1451</v>
      </c>
      <c r="C112" s="113" t="s">
        <v>169</v>
      </c>
      <c r="D112" s="113" t="s">
        <v>705</v>
      </c>
      <c r="E112" s="113" t="s">
        <v>705</v>
      </c>
      <c r="F112" s="113" t="s">
        <v>705</v>
      </c>
      <c r="G112" s="113" t="s">
        <v>1099</v>
      </c>
      <c r="H112" s="113" t="s">
        <v>1100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>
      <c r="B113" s="620" t="s">
        <v>1451</v>
      </c>
      <c r="C113" s="113" t="s">
        <v>171</v>
      </c>
      <c r="D113" s="113" t="s">
        <v>705</v>
      </c>
      <c r="E113" s="113" t="s">
        <v>705</v>
      </c>
      <c r="F113" s="113" t="s">
        <v>705</v>
      </c>
      <c r="G113" s="113" t="s">
        <v>1099</v>
      </c>
      <c r="H113" s="113" t="s">
        <v>1100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S113" s="621">
        <f>'Iron &amp; Steel'!AO14</f>
        <v>0</v>
      </c>
      <c r="AN113" s="622"/>
    </row>
    <row r="114" spans="2:40">
      <c r="B114" s="620" t="s">
        <v>1451</v>
      </c>
      <c r="C114" s="113" t="s">
        <v>174</v>
      </c>
      <c r="D114" s="113" t="s">
        <v>705</v>
      </c>
      <c r="E114" s="113" t="s">
        <v>705</v>
      </c>
      <c r="F114" s="113" t="s">
        <v>705</v>
      </c>
      <c r="G114" s="113" t="s">
        <v>1099</v>
      </c>
      <c r="H114" s="113" t="s">
        <v>1100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>
      <c r="B115" s="620" t="s">
        <v>1451</v>
      </c>
      <c r="C115" s="113" t="s">
        <v>178</v>
      </c>
      <c r="D115" s="113" t="s">
        <v>705</v>
      </c>
      <c r="E115" s="113" t="s">
        <v>705</v>
      </c>
      <c r="F115" s="113" t="s">
        <v>705</v>
      </c>
      <c r="G115" s="113" t="s">
        <v>1099</v>
      </c>
      <c r="H115" s="113" t="s">
        <v>1100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>
      <c r="B116" s="620" t="s">
        <v>1451</v>
      </c>
      <c r="C116" s="113" t="s">
        <v>180</v>
      </c>
      <c r="D116" s="113" t="s">
        <v>705</v>
      </c>
      <c r="E116" s="113" t="s">
        <v>705</v>
      </c>
      <c r="F116" s="113" t="s">
        <v>705</v>
      </c>
      <c r="G116" s="113" t="s">
        <v>1099</v>
      </c>
      <c r="H116" s="113" t="s">
        <v>1100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>
      <c r="B117" s="620" t="s">
        <v>977</v>
      </c>
      <c r="C117" s="113" t="s">
        <v>169</v>
      </c>
      <c r="D117" s="113" t="s">
        <v>705</v>
      </c>
      <c r="E117" s="113" t="s">
        <v>705</v>
      </c>
      <c r="F117" s="113" t="s">
        <v>705</v>
      </c>
      <c r="G117" s="113" t="s">
        <v>705</v>
      </c>
      <c r="H117" s="113" t="s">
        <v>592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>
      <c r="B118" s="620" t="s">
        <v>977</v>
      </c>
      <c r="C118" s="113" t="s">
        <v>171</v>
      </c>
      <c r="D118" s="113" t="s">
        <v>705</v>
      </c>
      <c r="E118" s="113" t="s">
        <v>705</v>
      </c>
      <c r="F118" s="113" t="s">
        <v>705</v>
      </c>
      <c r="G118" s="113" t="s">
        <v>705</v>
      </c>
      <c r="H118" s="113" t="s">
        <v>592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>
      <c r="B119" s="620" t="s">
        <v>977</v>
      </c>
      <c r="C119" s="113" t="s">
        <v>174</v>
      </c>
      <c r="D119" s="113" t="s">
        <v>705</v>
      </c>
      <c r="E119" s="113" t="s">
        <v>705</v>
      </c>
      <c r="F119" s="113" t="s">
        <v>705</v>
      </c>
      <c r="G119" s="113" t="s">
        <v>705</v>
      </c>
      <c r="H119" s="113" t="s">
        <v>592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>
      <c r="B120" s="620" t="s">
        <v>977</v>
      </c>
      <c r="C120" s="113" t="s">
        <v>178</v>
      </c>
      <c r="D120" s="113" t="s">
        <v>705</v>
      </c>
      <c r="E120" s="113" t="s">
        <v>705</v>
      </c>
      <c r="F120" s="113" t="s">
        <v>705</v>
      </c>
      <c r="G120" s="113" t="s">
        <v>705</v>
      </c>
      <c r="H120" s="113" t="s">
        <v>592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>
      <c r="B121" s="620" t="s">
        <v>977</v>
      </c>
      <c r="C121" s="113" t="s">
        <v>180</v>
      </c>
      <c r="D121" s="113" t="s">
        <v>705</v>
      </c>
      <c r="E121" s="113" t="s">
        <v>705</v>
      </c>
      <c r="F121" s="113" t="s">
        <v>705</v>
      </c>
      <c r="G121" s="113" t="s">
        <v>705</v>
      </c>
      <c r="H121" s="113" t="s">
        <v>592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>
      <c r="B122" s="620" t="s">
        <v>977</v>
      </c>
      <c r="C122" s="113" t="s">
        <v>169</v>
      </c>
      <c r="D122" s="113" t="s">
        <v>705</v>
      </c>
      <c r="E122" s="113" t="s">
        <v>705</v>
      </c>
      <c r="F122" s="113" t="s">
        <v>705</v>
      </c>
      <c r="G122" s="113" t="s">
        <v>705</v>
      </c>
      <c r="H122" s="113" t="s">
        <v>591</v>
      </c>
      <c r="I122" s="113">
        <v>5</v>
      </c>
      <c r="J122" s="113">
        <v>0</v>
      </c>
      <c r="O122" s="623">
        <f>J122</f>
        <v>0</v>
      </c>
      <c r="S122" s="623">
        <v>0.75</v>
      </c>
      <c r="AN122" s="622"/>
    </row>
    <row r="123" spans="2:40" ht="18" customHeight="1">
      <c r="B123" s="620" t="s">
        <v>977</v>
      </c>
      <c r="C123" s="113" t="s">
        <v>171</v>
      </c>
      <c r="D123" s="113" t="s">
        <v>705</v>
      </c>
      <c r="E123" s="113" t="s">
        <v>705</v>
      </c>
      <c r="F123" s="113" t="s">
        <v>705</v>
      </c>
      <c r="G123" s="113" t="s">
        <v>705</v>
      </c>
      <c r="H123" s="113" t="s">
        <v>591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>
      <c r="B124" s="620" t="s">
        <v>977</v>
      </c>
      <c r="C124" s="113" t="s">
        <v>174</v>
      </c>
      <c r="D124" s="113" t="s">
        <v>705</v>
      </c>
      <c r="E124" s="113" t="s">
        <v>705</v>
      </c>
      <c r="F124" s="113" t="s">
        <v>705</v>
      </c>
      <c r="G124" s="113" t="s">
        <v>705</v>
      </c>
      <c r="H124" s="113" t="s">
        <v>591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>
      <c r="B125" s="620" t="s">
        <v>977</v>
      </c>
      <c r="C125" s="113" t="s">
        <v>178</v>
      </c>
      <c r="D125" s="113" t="s">
        <v>705</v>
      </c>
      <c r="E125" s="113" t="s">
        <v>705</v>
      </c>
      <c r="F125" s="113" t="s">
        <v>705</v>
      </c>
      <c r="G125" s="113" t="s">
        <v>705</v>
      </c>
      <c r="H125" s="113" t="s">
        <v>591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>
      <c r="B126" s="620" t="s">
        <v>977</v>
      </c>
      <c r="C126" s="113" t="s">
        <v>180</v>
      </c>
      <c r="D126" s="113" t="s">
        <v>705</v>
      </c>
      <c r="E126" s="113" t="s">
        <v>705</v>
      </c>
      <c r="F126" s="113" t="s">
        <v>705</v>
      </c>
      <c r="G126" s="113" t="s">
        <v>705</v>
      </c>
      <c r="H126" s="113" t="s">
        <v>591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>
      <c r="B127" s="113" t="s">
        <v>977</v>
      </c>
      <c r="C127" s="113" t="s">
        <v>1304</v>
      </c>
      <c r="D127" s="113" t="s">
        <v>705</v>
      </c>
      <c r="E127" s="113" t="s">
        <v>705</v>
      </c>
      <c r="F127" s="113" t="s">
        <v>705</v>
      </c>
      <c r="G127" s="113" t="s">
        <v>705</v>
      </c>
      <c r="H127" s="113" t="s">
        <v>592</v>
      </c>
      <c r="I127" s="113">
        <v>0</v>
      </c>
      <c r="J127" s="113">
        <v>1</v>
      </c>
    </row>
    <row r="128" spans="2:40">
      <c r="B128" s="113" t="s">
        <v>977</v>
      </c>
      <c r="C128" s="113" t="s">
        <v>1302</v>
      </c>
      <c r="D128" s="113" t="s">
        <v>705</v>
      </c>
      <c r="E128" s="113" t="s">
        <v>705</v>
      </c>
      <c r="F128" s="113" t="s">
        <v>705</v>
      </c>
      <c r="G128" s="113" t="s">
        <v>705</v>
      </c>
      <c r="H128" s="113" t="s">
        <v>592</v>
      </c>
      <c r="I128" s="113">
        <v>0</v>
      </c>
      <c r="J128" s="113">
        <v>1</v>
      </c>
    </row>
    <row r="129" spans="2:10">
      <c r="B129" s="113" t="s">
        <v>977</v>
      </c>
      <c r="C129" s="113" t="s">
        <v>538</v>
      </c>
      <c r="D129" s="113" t="s">
        <v>705</v>
      </c>
      <c r="E129" s="113" t="s">
        <v>705</v>
      </c>
      <c r="F129" s="113" t="s">
        <v>705</v>
      </c>
      <c r="G129" s="113" t="s">
        <v>705</v>
      </c>
      <c r="H129" s="113" t="s">
        <v>592</v>
      </c>
      <c r="I129" s="113">
        <v>0</v>
      </c>
      <c r="J129" s="113">
        <v>0.85</v>
      </c>
    </row>
    <row r="130" spans="2:10">
      <c r="B130" s="113" t="s">
        <v>977</v>
      </c>
      <c r="C130" s="113" t="s">
        <v>1298</v>
      </c>
      <c r="D130" s="113" t="s">
        <v>705</v>
      </c>
      <c r="E130" s="113" t="s">
        <v>705</v>
      </c>
      <c r="F130" s="113" t="s">
        <v>705</v>
      </c>
      <c r="G130" s="113" t="s">
        <v>705</v>
      </c>
      <c r="H130" s="113" t="s">
        <v>592</v>
      </c>
      <c r="I130" s="113">
        <v>0</v>
      </c>
      <c r="J130" s="113">
        <v>1</v>
      </c>
    </row>
    <row r="131" spans="2:10">
      <c r="B131" s="113" t="s">
        <v>977</v>
      </c>
      <c r="C131" s="113" t="s">
        <v>1296</v>
      </c>
      <c r="D131" s="113" t="s">
        <v>705</v>
      </c>
      <c r="E131" s="113" t="s">
        <v>705</v>
      </c>
      <c r="F131" s="113" t="s">
        <v>705</v>
      </c>
      <c r="G131" s="113" t="s">
        <v>705</v>
      </c>
      <c r="H131" s="113" t="s">
        <v>592</v>
      </c>
      <c r="I131" s="113">
        <v>0</v>
      </c>
      <c r="J131" s="113">
        <v>1</v>
      </c>
    </row>
    <row r="132" spans="2:10">
      <c r="B132" s="113" t="s">
        <v>977</v>
      </c>
      <c r="C132" s="113" t="s">
        <v>1291</v>
      </c>
      <c r="D132" s="113" t="s">
        <v>705</v>
      </c>
      <c r="E132" s="113" t="s">
        <v>705</v>
      </c>
      <c r="F132" s="113" t="s">
        <v>705</v>
      </c>
      <c r="G132" s="113" t="s">
        <v>705</v>
      </c>
      <c r="H132" s="113" t="s">
        <v>592</v>
      </c>
      <c r="I132" s="113">
        <v>0</v>
      </c>
      <c r="J132" s="113">
        <v>1</v>
      </c>
    </row>
    <row r="133" spans="2:10">
      <c r="B133" s="113" t="s">
        <v>977</v>
      </c>
      <c r="C133" s="113" t="s">
        <v>1289</v>
      </c>
      <c r="D133" s="113" t="s">
        <v>705</v>
      </c>
      <c r="E133" s="113" t="s">
        <v>705</v>
      </c>
      <c r="F133" s="113" t="s">
        <v>705</v>
      </c>
      <c r="G133" s="113" t="s">
        <v>705</v>
      </c>
      <c r="H133" s="113" t="s">
        <v>592</v>
      </c>
      <c r="I133" s="113">
        <v>0</v>
      </c>
      <c r="J133" s="113">
        <v>1</v>
      </c>
    </row>
    <row r="134" spans="2:10">
      <c r="B134" s="113" t="s">
        <v>977</v>
      </c>
      <c r="C134" s="113" t="s">
        <v>539</v>
      </c>
      <c r="D134" s="113" t="s">
        <v>705</v>
      </c>
      <c r="E134" s="113" t="s">
        <v>705</v>
      </c>
      <c r="F134" s="113" t="s">
        <v>705</v>
      </c>
      <c r="G134" s="113" t="s">
        <v>705</v>
      </c>
      <c r="H134" s="113" t="s">
        <v>592</v>
      </c>
      <c r="I134" s="113">
        <v>0</v>
      </c>
      <c r="J134" s="113">
        <v>0.85</v>
      </c>
    </row>
    <row r="135" spans="2:10">
      <c r="B135" s="113" t="s">
        <v>977</v>
      </c>
      <c r="C135" s="113" t="s">
        <v>540</v>
      </c>
      <c r="D135" s="113" t="s">
        <v>705</v>
      </c>
      <c r="E135" s="113" t="s">
        <v>705</v>
      </c>
      <c r="F135" s="113" t="s">
        <v>705</v>
      </c>
      <c r="G135" s="113" t="s">
        <v>705</v>
      </c>
      <c r="H135" s="113" t="s">
        <v>592</v>
      </c>
      <c r="I135" s="113">
        <v>0</v>
      </c>
      <c r="J135" s="113">
        <v>0.85</v>
      </c>
    </row>
    <row r="136" spans="2:10">
      <c r="B136" s="113" t="s">
        <v>977</v>
      </c>
      <c r="C136" s="113" t="s">
        <v>1284</v>
      </c>
      <c r="D136" s="113" t="s">
        <v>705</v>
      </c>
      <c r="E136" s="113" t="s">
        <v>705</v>
      </c>
      <c r="F136" s="113" t="s">
        <v>705</v>
      </c>
      <c r="G136" s="113" t="s">
        <v>705</v>
      </c>
      <c r="H136" s="113" t="s">
        <v>592</v>
      </c>
      <c r="I136" s="113">
        <v>0</v>
      </c>
      <c r="J136" s="113">
        <v>1</v>
      </c>
    </row>
    <row r="137" spans="2:10">
      <c r="B137" s="113" t="s">
        <v>977</v>
      </c>
      <c r="C137" s="113" t="s">
        <v>1282</v>
      </c>
      <c r="D137" s="113" t="s">
        <v>705</v>
      </c>
      <c r="E137" s="113" t="s">
        <v>705</v>
      </c>
      <c r="F137" s="113" t="s">
        <v>705</v>
      </c>
      <c r="G137" s="113" t="s">
        <v>705</v>
      </c>
      <c r="H137" s="113" t="s">
        <v>592</v>
      </c>
      <c r="I137" s="113">
        <v>0</v>
      </c>
      <c r="J137" s="113">
        <v>1</v>
      </c>
    </row>
    <row r="138" spans="2:10">
      <c r="B138" s="113" t="s">
        <v>977</v>
      </c>
      <c r="C138" s="113" t="s">
        <v>1279</v>
      </c>
      <c r="D138" s="113" t="s">
        <v>705</v>
      </c>
      <c r="E138" s="113" t="s">
        <v>705</v>
      </c>
      <c r="F138" s="113" t="s">
        <v>705</v>
      </c>
      <c r="G138" s="113" t="s">
        <v>705</v>
      </c>
      <c r="H138" s="113" t="s">
        <v>592</v>
      </c>
      <c r="I138" s="113">
        <v>0</v>
      </c>
      <c r="J138" s="113">
        <v>1</v>
      </c>
    </row>
    <row r="139" spans="2:10">
      <c r="B139" s="113" t="s">
        <v>977</v>
      </c>
      <c r="C139" s="113" t="s">
        <v>1277</v>
      </c>
      <c r="D139" s="113" t="s">
        <v>705</v>
      </c>
      <c r="E139" s="113" t="s">
        <v>705</v>
      </c>
      <c r="F139" s="113" t="s">
        <v>705</v>
      </c>
      <c r="G139" s="113" t="s">
        <v>705</v>
      </c>
      <c r="H139" s="113" t="s">
        <v>592</v>
      </c>
      <c r="I139" s="113">
        <v>0</v>
      </c>
      <c r="J139" s="113">
        <v>1</v>
      </c>
    </row>
    <row r="140" spans="2:10">
      <c r="B140" s="113" t="s">
        <v>977</v>
      </c>
      <c r="C140" s="113" t="s">
        <v>541</v>
      </c>
      <c r="D140" s="113" t="s">
        <v>705</v>
      </c>
      <c r="E140" s="113" t="s">
        <v>705</v>
      </c>
      <c r="F140" s="113" t="s">
        <v>705</v>
      </c>
      <c r="G140" s="113" t="s">
        <v>705</v>
      </c>
      <c r="H140" s="113" t="s">
        <v>592</v>
      </c>
      <c r="I140" s="113">
        <v>0</v>
      </c>
      <c r="J140" s="113">
        <v>0.85</v>
      </c>
    </row>
    <row r="141" spans="2:10">
      <c r="B141" s="113" t="s">
        <v>977</v>
      </c>
      <c r="C141" s="113" t="s">
        <v>1274</v>
      </c>
      <c r="D141" s="113" t="s">
        <v>705</v>
      </c>
      <c r="E141" s="113" t="s">
        <v>705</v>
      </c>
      <c r="F141" s="113" t="s">
        <v>705</v>
      </c>
      <c r="G141" s="113" t="s">
        <v>705</v>
      </c>
      <c r="H141" s="113" t="s">
        <v>592</v>
      </c>
      <c r="I141" s="113">
        <v>0</v>
      </c>
      <c r="J141" s="113">
        <v>1</v>
      </c>
    </row>
    <row r="142" spans="2:10">
      <c r="B142" s="113" t="s">
        <v>977</v>
      </c>
      <c r="C142" s="113" t="s">
        <v>1268</v>
      </c>
      <c r="D142" s="113" t="s">
        <v>705</v>
      </c>
      <c r="E142" s="113" t="s">
        <v>705</v>
      </c>
      <c r="F142" s="113" t="s">
        <v>705</v>
      </c>
      <c r="G142" s="113" t="s">
        <v>705</v>
      </c>
      <c r="H142" s="113" t="s">
        <v>592</v>
      </c>
      <c r="I142" s="113">
        <v>0</v>
      </c>
      <c r="J142" s="113">
        <v>1</v>
      </c>
    </row>
    <row r="143" spans="2:10">
      <c r="B143" s="113" t="s">
        <v>977</v>
      </c>
      <c r="C143" s="113" t="s">
        <v>1266</v>
      </c>
      <c r="D143" s="113" t="s">
        <v>705</v>
      </c>
      <c r="E143" s="113" t="s">
        <v>705</v>
      </c>
      <c r="F143" s="113" t="s">
        <v>705</v>
      </c>
      <c r="G143" s="113" t="s">
        <v>705</v>
      </c>
      <c r="H143" s="113" t="s">
        <v>592</v>
      </c>
      <c r="I143" s="113">
        <v>0</v>
      </c>
      <c r="J143" s="113">
        <v>1</v>
      </c>
    </row>
    <row r="144" spans="2:10">
      <c r="B144" s="113" t="s">
        <v>977</v>
      </c>
      <c r="C144" s="113" t="s">
        <v>1264</v>
      </c>
      <c r="D144" s="113" t="s">
        <v>705</v>
      </c>
      <c r="E144" s="113" t="s">
        <v>705</v>
      </c>
      <c r="F144" s="113" t="s">
        <v>705</v>
      </c>
      <c r="G144" s="113" t="s">
        <v>705</v>
      </c>
      <c r="H144" s="113" t="s">
        <v>592</v>
      </c>
      <c r="I144" s="113">
        <v>0</v>
      </c>
      <c r="J144" s="113">
        <v>1</v>
      </c>
    </row>
    <row r="145" spans="2:10">
      <c r="B145" s="113" t="s">
        <v>977</v>
      </c>
      <c r="C145" s="113" t="s">
        <v>1260</v>
      </c>
      <c r="D145" s="113" t="s">
        <v>705</v>
      </c>
      <c r="E145" s="113" t="s">
        <v>705</v>
      </c>
      <c r="F145" s="113" t="s">
        <v>705</v>
      </c>
      <c r="G145" s="113" t="s">
        <v>705</v>
      </c>
      <c r="H145" s="113" t="s">
        <v>592</v>
      </c>
      <c r="I145" s="113">
        <v>0</v>
      </c>
      <c r="J145" s="113">
        <v>1</v>
      </c>
    </row>
    <row r="146" spans="2:10">
      <c r="B146" s="113" t="s">
        <v>1450</v>
      </c>
      <c r="C146" s="113" t="s">
        <v>169</v>
      </c>
      <c r="D146" s="113" t="s">
        <v>705</v>
      </c>
      <c r="E146" s="113" t="s">
        <v>705</v>
      </c>
      <c r="F146" s="113" t="s">
        <v>705</v>
      </c>
      <c r="G146" s="113" t="s">
        <v>705</v>
      </c>
      <c r="H146" s="113" t="s">
        <v>1100</v>
      </c>
      <c r="I146" s="113">
        <v>3</v>
      </c>
      <c r="J146" s="113">
        <v>0</v>
      </c>
    </row>
    <row r="147" spans="2:10">
      <c r="B147" s="113" t="s">
        <v>1450</v>
      </c>
      <c r="C147" s="113" t="s">
        <v>171</v>
      </c>
      <c r="D147" s="113" t="s">
        <v>705</v>
      </c>
      <c r="E147" s="113" t="s">
        <v>705</v>
      </c>
      <c r="F147" s="113" t="s">
        <v>705</v>
      </c>
      <c r="G147" s="113" t="s">
        <v>705</v>
      </c>
      <c r="H147" s="113" t="s">
        <v>1100</v>
      </c>
      <c r="I147" s="113">
        <v>3</v>
      </c>
      <c r="J147" s="113">
        <v>0</v>
      </c>
    </row>
    <row r="148" spans="2:10">
      <c r="B148" s="113" t="s">
        <v>1450</v>
      </c>
      <c r="C148" s="113" t="s">
        <v>174</v>
      </c>
      <c r="D148" s="113" t="s">
        <v>705</v>
      </c>
      <c r="E148" s="113" t="s">
        <v>705</v>
      </c>
      <c r="F148" s="113" t="s">
        <v>705</v>
      </c>
      <c r="G148" s="113" t="s">
        <v>705</v>
      </c>
      <c r="H148" s="113" t="s">
        <v>1100</v>
      </c>
      <c r="I148" s="113">
        <v>3</v>
      </c>
      <c r="J148" s="113">
        <v>0</v>
      </c>
    </row>
    <row r="149" spans="2:10">
      <c r="B149" s="113" t="s">
        <v>1450</v>
      </c>
      <c r="C149" s="113" t="s">
        <v>178</v>
      </c>
      <c r="D149" s="113" t="s">
        <v>705</v>
      </c>
      <c r="E149" s="113" t="s">
        <v>705</v>
      </c>
      <c r="F149" s="113" t="s">
        <v>705</v>
      </c>
      <c r="G149" s="113" t="s">
        <v>705</v>
      </c>
      <c r="H149" s="113" t="s">
        <v>1100</v>
      </c>
      <c r="I149" s="113">
        <v>3</v>
      </c>
      <c r="J149" s="113">
        <v>0</v>
      </c>
    </row>
    <row r="150" spans="2:10">
      <c r="B150" s="113" t="s">
        <v>1450</v>
      </c>
      <c r="C150" s="113" t="s">
        <v>180</v>
      </c>
      <c r="D150" s="113" t="s">
        <v>705</v>
      </c>
      <c r="E150" s="113" t="s">
        <v>705</v>
      </c>
      <c r="F150" s="113" t="s">
        <v>705</v>
      </c>
      <c r="G150" s="113" t="s">
        <v>705</v>
      </c>
      <c r="H150" s="113" t="s">
        <v>1100</v>
      </c>
      <c r="I150" s="113">
        <v>3</v>
      </c>
      <c r="J150" s="113">
        <v>0</v>
      </c>
    </row>
    <row r="151" spans="2:10">
      <c r="B151" s="113" t="s">
        <v>1086</v>
      </c>
      <c r="C151" s="113" t="s">
        <v>1304</v>
      </c>
      <c r="D151" s="113" t="s">
        <v>705</v>
      </c>
      <c r="E151" s="113" t="s">
        <v>705</v>
      </c>
      <c r="F151" s="113" t="s">
        <v>705</v>
      </c>
      <c r="G151" s="113" t="s">
        <v>705</v>
      </c>
      <c r="H151" s="113" t="s">
        <v>705</v>
      </c>
      <c r="I151" s="113">
        <v>0</v>
      </c>
      <c r="J151" s="620">
        <f>'Iron &amp; Steel'!O112</f>
        <v>51.067002016435609</v>
      </c>
    </row>
    <row r="152" spans="2:10">
      <c r="B152" s="113" t="s">
        <v>1086</v>
      </c>
      <c r="C152" s="113" t="s">
        <v>1302</v>
      </c>
      <c r="D152" s="113" t="s">
        <v>705</v>
      </c>
      <c r="E152" s="113" t="s">
        <v>705</v>
      </c>
      <c r="F152" s="113" t="s">
        <v>705</v>
      </c>
      <c r="G152" s="113" t="s">
        <v>705</v>
      </c>
      <c r="H152" s="113" t="s">
        <v>705</v>
      </c>
      <c r="I152" s="113">
        <v>0</v>
      </c>
      <c r="J152" s="620">
        <f>'Iron &amp; Steel'!O113</f>
        <v>517.21707170492482</v>
      </c>
    </row>
    <row r="153" spans="2:10">
      <c r="B153" s="113" t="s">
        <v>1086</v>
      </c>
      <c r="C153" s="113" t="s">
        <v>538</v>
      </c>
      <c r="D153" s="113" t="s">
        <v>705</v>
      </c>
      <c r="E153" s="113" t="s">
        <v>705</v>
      </c>
      <c r="F153" s="113" t="s">
        <v>705</v>
      </c>
      <c r="G153" s="113" t="s">
        <v>705</v>
      </c>
      <c r="H153" s="113" t="s">
        <v>705</v>
      </c>
      <c r="I153" s="113">
        <v>0</v>
      </c>
      <c r="J153" s="620">
        <f>'Iron &amp; Steel'!O114</f>
        <v>2960.5767066451517</v>
      </c>
    </row>
    <row r="154" spans="2:10">
      <c r="B154" s="113" t="s">
        <v>1086</v>
      </c>
      <c r="C154" s="113" t="s">
        <v>1298</v>
      </c>
      <c r="D154" s="113" t="s">
        <v>705</v>
      </c>
      <c r="E154" s="113" t="s">
        <v>705</v>
      </c>
      <c r="F154" s="113" t="s">
        <v>705</v>
      </c>
      <c r="G154" s="113" t="s">
        <v>705</v>
      </c>
      <c r="H154" s="113" t="s">
        <v>705</v>
      </c>
      <c r="I154" s="113">
        <v>0</v>
      </c>
      <c r="J154" s="620">
        <f>'Iron &amp; Steel'!O115</f>
        <v>23.569385546047204</v>
      </c>
    </row>
    <row r="155" spans="2:10">
      <c r="B155" s="113" t="s">
        <v>1086</v>
      </c>
      <c r="C155" s="113" t="s">
        <v>1296</v>
      </c>
      <c r="D155" s="113" t="s">
        <v>705</v>
      </c>
      <c r="E155" s="113" t="s">
        <v>705</v>
      </c>
      <c r="F155" s="113" t="s">
        <v>705</v>
      </c>
      <c r="G155" s="113" t="s">
        <v>705</v>
      </c>
      <c r="H155" s="113" t="s">
        <v>705</v>
      </c>
      <c r="I155" s="113">
        <v>0</v>
      </c>
      <c r="J155" s="620">
        <f>'Iron &amp; Steel'!O116</f>
        <v>175.46098128724032</v>
      </c>
    </row>
    <row r="156" spans="2:10">
      <c r="B156" s="113" t="s">
        <v>1086</v>
      </c>
      <c r="C156" s="113" t="s">
        <v>1291</v>
      </c>
      <c r="D156" s="113" t="s">
        <v>705</v>
      </c>
      <c r="E156" s="113" t="s">
        <v>705</v>
      </c>
      <c r="F156" s="113" t="s">
        <v>705</v>
      </c>
      <c r="G156" s="113" t="s">
        <v>705</v>
      </c>
      <c r="H156" s="113" t="s">
        <v>705</v>
      </c>
      <c r="I156" s="113">
        <v>0</v>
      </c>
      <c r="J156" s="620">
        <f>'Iron &amp; Steel'!O117</f>
        <v>40.591719551525742</v>
      </c>
    </row>
    <row r="157" spans="2:10">
      <c r="B157" s="113" t="s">
        <v>1086</v>
      </c>
      <c r="C157" s="113" t="s">
        <v>1289</v>
      </c>
      <c r="D157" s="113" t="s">
        <v>705</v>
      </c>
      <c r="E157" s="113" t="s">
        <v>705</v>
      </c>
      <c r="F157" s="113" t="s">
        <v>705</v>
      </c>
      <c r="G157" s="113" t="s">
        <v>705</v>
      </c>
      <c r="H157" s="113" t="s">
        <v>705</v>
      </c>
      <c r="I157" s="113">
        <v>0</v>
      </c>
      <c r="J157" s="620">
        <f>'Iron &amp; Steel'!O118</f>
        <v>175.46098128724032</v>
      </c>
    </row>
    <row r="158" spans="2:10">
      <c r="B158" s="113" t="s">
        <v>1086</v>
      </c>
      <c r="C158" s="113" t="s">
        <v>539</v>
      </c>
      <c r="D158" s="113" t="s">
        <v>705</v>
      </c>
      <c r="E158" s="113" t="s">
        <v>705</v>
      </c>
      <c r="F158" s="113" t="s">
        <v>705</v>
      </c>
      <c r="G158" s="113" t="s">
        <v>705</v>
      </c>
      <c r="H158" s="113" t="s">
        <v>705</v>
      </c>
      <c r="I158" s="113">
        <v>0</v>
      </c>
      <c r="J158" s="620">
        <f>'Iron &amp; Steel'!O119</f>
        <v>2951.4108344883557</v>
      </c>
    </row>
    <row r="159" spans="2:10">
      <c r="B159" s="113" t="s">
        <v>1086</v>
      </c>
      <c r="C159" s="113" t="s">
        <v>540</v>
      </c>
      <c r="D159" s="113" t="s">
        <v>705</v>
      </c>
      <c r="E159" s="113" t="s">
        <v>705</v>
      </c>
      <c r="F159" s="113" t="s">
        <v>705</v>
      </c>
      <c r="G159" s="113" t="s">
        <v>705</v>
      </c>
      <c r="H159" s="113" t="s">
        <v>705</v>
      </c>
      <c r="I159" s="113">
        <v>0</v>
      </c>
      <c r="J159" s="620">
        <f>'Iron &amp; Steel'!O120</f>
        <v>2459.0725586375916</v>
      </c>
    </row>
    <row r="160" spans="2:10">
      <c r="B160" s="113" t="s">
        <v>1086</v>
      </c>
      <c r="C160" s="113" t="s">
        <v>1284</v>
      </c>
      <c r="D160" s="113" t="s">
        <v>705</v>
      </c>
      <c r="E160" s="113" t="s">
        <v>705</v>
      </c>
      <c r="F160" s="113" t="s">
        <v>705</v>
      </c>
      <c r="G160" s="113" t="s">
        <v>705</v>
      </c>
      <c r="H160" s="113" t="s">
        <v>705</v>
      </c>
      <c r="I160" s="113">
        <v>0</v>
      </c>
      <c r="J160" s="620">
        <f>'Iron &amp; Steel'!O121</f>
        <v>23.569385546047204</v>
      </c>
    </row>
    <row r="161" spans="2:10">
      <c r="B161" s="113" t="s">
        <v>1086</v>
      </c>
      <c r="C161" s="113" t="s">
        <v>1282</v>
      </c>
      <c r="D161" s="113" t="s">
        <v>705</v>
      </c>
      <c r="E161" s="113" t="s">
        <v>705</v>
      </c>
      <c r="F161" s="113" t="s">
        <v>705</v>
      </c>
      <c r="G161" s="113" t="s">
        <v>705</v>
      </c>
      <c r="H161" s="113" t="s">
        <v>705</v>
      </c>
      <c r="I161" s="113">
        <v>0</v>
      </c>
      <c r="J161" s="620">
        <f>'Iron &amp; Steel'!O122</f>
        <v>175.46098128724032</v>
      </c>
    </row>
    <row r="162" spans="2:10">
      <c r="B162" s="113" t="s">
        <v>1086</v>
      </c>
      <c r="C162" s="113" t="s">
        <v>1279</v>
      </c>
      <c r="D162" s="113" t="s">
        <v>705</v>
      </c>
      <c r="E162" s="113" t="s">
        <v>705</v>
      </c>
      <c r="F162" s="113" t="s">
        <v>705</v>
      </c>
      <c r="G162" s="113" t="s">
        <v>705</v>
      </c>
      <c r="H162" s="113" t="s">
        <v>705</v>
      </c>
      <c r="I162" s="113">
        <v>0</v>
      </c>
      <c r="J162" s="620">
        <f>'Iron &amp; Steel'!O123</f>
        <v>23.569385546047204</v>
      </c>
    </row>
    <row r="163" spans="2:10">
      <c r="B163" s="113" t="s">
        <v>1086</v>
      </c>
      <c r="C163" s="113" t="s">
        <v>1277</v>
      </c>
      <c r="D163" s="113" t="s">
        <v>705</v>
      </c>
      <c r="E163" s="113" t="s">
        <v>705</v>
      </c>
      <c r="F163" s="113" t="s">
        <v>705</v>
      </c>
      <c r="G163" s="113" t="s">
        <v>705</v>
      </c>
      <c r="H163" s="113" t="s">
        <v>705</v>
      </c>
      <c r="I163" s="113">
        <v>0</v>
      </c>
      <c r="J163" s="620">
        <f>'Iron &amp; Steel'!O124</f>
        <v>175.46098128724032</v>
      </c>
    </row>
    <row r="164" spans="2:10">
      <c r="B164" s="113" t="s">
        <v>1086</v>
      </c>
      <c r="C164" s="113" t="s">
        <v>541</v>
      </c>
      <c r="D164" s="113" t="s">
        <v>705</v>
      </c>
      <c r="E164" s="113" t="s">
        <v>705</v>
      </c>
      <c r="F164" s="113" t="s">
        <v>705</v>
      </c>
      <c r="G164" s="113" t="s">
        <v>705</v>
      </c>
      <c r="H164" s="113" t="s">
        <v>705</v>
      </c>
      <c r="I164" s="113">
        <v>0</v>
      </c>
      <c r="J164" s="620">
        <f>'Iron &amp; Steel'!O125</f>
        <v>1812.2238664294073</v>
      </c>
    </row>
    <row r="165" spans="2:10">
      <c r="B165" s="113" t="s">
        <v>1086</v>
      </c>
      <c r="C165" s="113" t="s">
        <v>1274</v>
      </c>
      <c r="D165" s="113" t="s">
        <v>705</v>
      </c>
      <c r="E165" s="113" t="s">
        <v>705</v>
      </c>
      <c r="F165" s="113" t="s">
        <v>705</v>
      </c>
      <c r="G165" s="113" t="s">
        <v>705</v>
      </c>
      <c r="H165" s="113" t="s">
        <v>705</v>
      </c>
      <c r="I165" s="113">
        <v>0</v>
      </c>
      <c r="J165" s="620">
        <f>'Iron &amp; Steel'!O126</f>
        <v>1E-4</v>
      </c>
    </row>
    <row r="166" spans="2:10">
      <c r="B166" s="113" t="s">
        <v>1086</v>
      </c>
      <c r="C166" s="113" t="s">
        <v>1268</v>
      </c>
      <c r="D166" s="113" t="s">
        <v>705</v>
      </c>
      <c r="E166" s="113" t="s">
        <v>705</v>
      </c>
      <c r="F166" s="113" t="s">
        <v>705</v>
      </c>
      <c r="G166" s="113" t="s">
        <v>705</v>
      </c>
      <c r="H166" s="113" t="s">
        <v>705</v>
      </c>
      <c r="I166" s="113">
        <v>0</v>
      </c>
      <c r="J166" s="620">
        <f>'Iron &amp; Steel'!O127</f>
        <v>1E-4</v>
      </c>
    </row>
    <row r="167" spans="2:10">
      <c r="B167" s="113" t="s">
        <v>1086</v>
      </c>
      <c r="C167" s="113" t="s">
        <v>1266</v>
      </c>
      <c r="D167" s="113" t="s">
        <v>705</v>
      </c>
      <c r="E167" s="113" t="s">
        <v>705</v>
      </c>
      <c r="F167" s="113" t="s">
        <v>705</v>
      </c>
      <c r="G167" s="113" t="s">
        <v>705</v>
      </c>
      <c r="H167" s="113" t="s">
        <v>705</v>
      </c>
      <c r="I167" s="113">
        <v>0</v>
      </c>
      <c r="J167" s="620">
        <f>'Iron &amp; Steel'!O128</f>
        <v>1E-4</v>
      </c>
    </row>
    <row r="168" spans="2:10">
      <c r="B168" s="113" t="s">
        <v>1086</v>
      </c>
      <c r="C168" s="113" t="s">
        <v>1264</v>
      </c>
      <c r="D168" s="113" t="s">
        <v>705</v>
      </c>
      <c r="E168" s="113" t="s">
        <v>705</v>
      </c>
      <c r="F168" s="113" t="s">
        <v>705</v>
      </c>
      <c r="G168" s="113" t="s">
        <v>705</v>
      </c>
      <c r="H168" s="113" t="s">
        <v>705</v>
      </c>
      <c r="I168" s="113">
        <v>0</v>
      </c>
      <c r="J168" s="620">
        <f>'Iron &amp; Steel'!O129</f>
        <v>1E-4</v>
      </c>
    </row>
    <row r="169" spans="2:10">
      <c r="B169" s="113" t="s">
        <v>1086</v>
      </c>
      <c r="C169" s="113" t="s">
        <v>1260</v>
      </c>
      <c r="D169" s="113" t="s">
        <v>705</v>
      </c>
      <c r="E169" s="113" t="s">
        <v>705</v>
      </c>
      <c r="F169" s="113" t="s">
        <v>705</v>
      </c>
      <c r="G169" s="113" t="s">
        <v>705</v>
      </c>
      <c r="H169" s="113" t="s">
        <v>705</v>
      </c>
      <c r="I169" s="113">
        <v>0</v>
      </c>
      <c r="J169" s="620">
        <f>'Iron &amp; Steel'!O130</f>
        <v>1E-4</v>
      </c>
    </row>
    <row r="170" spans="2:10">
      <c r="B170" s="113" t="s">
        <v>1085</v>
      </c>
      <c r="C170" s="113" t="s">
        <v>539</v>
      </c>
      <c r="D170" s="113" t="s">
        <v>705</v>
      </c>
      <c r="E170" s="113" t="s">
        <v>705</v>
      </c>
      <c r="F170" s="113" t="s">
        <v>705</v>
      </c>
      <c r="G170" s="113" t="s">
        <v>705</v>
      </c>
      <c r="H170" s="113" t="s">
        <v>705</v>
      </c>
      <c r="I170" s="113">
        <v>0</v>
      </c>
      <c r="J170" s="113">
        <v>5</v>
      </c>
    </row>
    <row r="171" spans="2:10">
      <c r="B171" s="113" t="s">
        <v>1084</v>
      </c>
      <c r="C171" s="113" t="s">
        <v>169</v>
      </c>
      <c r="D171" s="113" t="s">
        <v>705</v>
      </c>
      <c r="E171" s="113" t="s">
        <v>705</v>
      </c>
      <c r="F171" s="113" t="s">
        <v>705</v>
      </c>
      <c r="G171" s="113" t="s">
        <v>705</v>
      </c>
      <c r="H171" s="113" t="s">
        <v>705</v>
      </c>
      <c r="I171" s="113">
        <v>0</v>
      </c>
      <c r="J171" s="113">
        <v>25</v>
      </c>
    </row>
    <row r="172" spans="2:10">
      <c r="B172" s="113" t="s">
        <v>1084</v>
      </c>
      <c r="C172" s="113" t="s">
        <v>1304</v>
      </c>
      <c r="D172" s="113" t="s">
        <v>705</v>
      </c>
      <c r="E172" s="113" t="s">
        <v>705</v>
      </c>
      <c r="F172" s="113" t="s">
        <v>705</v>
      </c>
      <c r="G172" s="113" t="s">
        <v>705</v>
      </c>
      <c r="H172" s="113" t="s">
        <v>705</v>
      </c>
      <c r="I172" s="113">
        <v>0</v>
      </c>
      <c r="J172" s="113">
        <v>100</v>
      </c>
    </row>
    <row r="173" spans="2:10">
      <c r="B173" s="113" t="s">
        <v>1084</v>
      </c>
      <c r="C173" s="113" t="s">
        <v>1302</v>
      </c>
      <c r="D173" s="113" t="s">
        <v>705</v>
      </c>
      <c r="E173" s="113" t="s">
        <v>705</v>
      </c>
      <c r="F173" s="113" t="s">
        <v>705</v>
      </c>
      <c r="G173" s="113" t="s">
        <v>705</v>
      </c>
      <c r="H173" s="113" t="s">
        <v>705</v>
      </c>
      <c r="I173" s="113">
        <v>0</v>
      </c>
      <c r="J173" s="113">
        <v>100</v>
      </c>
    </row>
    <row r="174" spans="2:10">
      <c r="B174" s="113" t="s">
        <v>1084</v>
      </c>
      <c r="C174" s="113" t="s">
        <v>538</v>
      </c>
      <c r="D174" s="113" t="s">
        <v>705</v>
      </c>
      <c r="E174" s="113" t="s">
        <v>705</v>
      </c>
      <c r="F174" s="113" t="s">
        <v>705</v>
      </c>
      <c r="G174" s="113" t="s">
        <v>705</v>
      </c>
      <c r="H174" s="113" t="s">
        <v>705</v>
      </c>
      <c r="I174" s="113">
        <v>0</v>
      </c>
      <c r="J174" s="113">
        <v>25</v>
      </c>
    </row>
    <row r="175" spans="2:10">
      <c r="B175" s="113" t="s">
        <v>1084</v>
      </c>
      <c r="C175" s="113" t="s">
        <v>171</v>
      </c>
      <c r="D175" s="113" t="s">
        <v>705</v>
      </c>
      <c r="E175" s="113" t="s">
        <v>705</v>
      </c>
      <c r="F175" s="113" t="s">
        <v>705</v>
      </c>
      <c r="G175" s="113" t="s">
        <v>705</v>
      </c>
      <c r="H175" s="113" t="s">
        <v>705</v>
      </c>
      <c r="I175" s="113">
        <v>0</v>
      </c>
      <c r="J175" s="113">
        <v>25</v>
      </c>
    </row>
    <row r="176" spans="2:10">
      <c r="B176" s="113" t="s">
        <v>1084</v>
      </c>
      <c r="C176" s="113" t="s">
        <v>1298</v>
      </c>
      <c r="D176" s="113" t="s">
        <v>705</v>
      </c>
      <c r="E176" s="113" t="s">
        <v>705</v>
      </c>
      <c r="F176" s="113" t="s">
        <v>705</v>
      </c>
      <c r="G176" s="113" t="s">
        <v>705</v>
      </c>
      <c r="H176" s="113" t="s">
        <v>705</v>
      </c>
      <c r="I176" s="113">
        <v>0</v>
      </c>
      <c r="J176" s="113">
        <v>100</v>
      </c>
    </row>
    <row r="177" spans="2:10">
      <c r="B177" s="113" t="s">
        <v>1084</v>
      </c>
      <c r="C177" s="113" t="s">
        <v>1296</v>
      </c>
      <c r="D177" s="113" t="s">
        <v>705</v>
      </c>
      <c r="E177" s="113" t="s">
        <v>705</v>
      </c>
      <c r="F177" s="113" t="s">
        <v>705</v>
      </c>
      <c r="G177" s="113" t="s">
        <v>705</v>
      </c>
      <c r="H177" s="113" t="s">
        <v>705</v>
      </c>
      <c r="I177" s="113">
        <v>0</v>
      </c>
      <c r="J177" s="113">
        <v>100</v>
      </c>
    </row>
    <row r="178" spans="2:10">
      <c r="B178" s="113" t="s">
        <v>1084</v>
      </c>
      <c r="C178" s="113" t="s">
        <v>174</v>
      </c>
      <c r="D178" s="113" t="s">
        <v>705</v>
      </c>
      <c r="E178" s="113" t="s">
        <v>705</v>
      </c>
      <c r="F178" s="113" t="s">
        <v>705</v>
      </c>
      <c r="G178" s="113" t="s">
        <v>705</v>
      </c>
      <c r="H178" s="113" t="s">
        <v>705</v>
      </c>
      <c r="I178" s="113">
        <v>0</v>
      </c>
      <c r="J178" s="113">
        <v>25</v>
      </c>
    </row>
    <row r="179" spans="2:10">
      <c r="B179" s="113" t="s">
        <v>1084</v>
      </c>
      <c r="C179" s="113" t="s">
        <v>1291</v>
      </c>
      <c r="D179" s="113" t="s">
        <v>705</v>
      </c>
      <c r="E179" s="113" t="s">
        <v>705</v>
      </c>
      <c r="F179" s="113" t="s">
        <v>705</v>
      </c>
      <c r="G179" s="113" t="s">
        <v>705</v>
      </c>
      <c r="H179" s="113" t="s">
        <v>705</v>
      </c>
      <c r="I179" s="113">
        <v>0</v>
      </c>
      <c r="J179" s="113">
        <v>100</v>
      </c>
    </row>
    <row r="180" spans="2:10">
      <c r="B180" s="113" t="s">
        <v>1084</v>
      </c>
      <c r="C180" s="113" t="s">
        <v>1289</v>
      </c>
      <c r="D180" s="113" t="s">
        <v>705</v>
      </c>
      <c r="E180" s="113" t="s">
        <v>705</v>
      </c>
      <c r="F180" s="113" t="s">
        <v>705</v>
      </c>
      <c r="G180" s="113" t="s">
        <v>705</v>
      </c>
      <c r="H180" s="113" t="s">
        <v>705</v>
      </c>
      <c r="I180" s="113">
        <v>0</v>
      </c>
      <c r="J180" s="113">
        <v>100</v>
      </c>
    </row>
    <row r="181" spans="2:10">
      <c r="B181" s="113" t="s">
        <v>1084</v>
      </c>
      <c r="C181" s="113" t="s">
        <v>539</v>
      </c>
      <c r="D181" s="113" t="s">
        <v>705</v>
      </c>
      <c r="E181" s="113" t="s">
        <v>705</v>
      </c>
      <c r="F181" s="113" t="s">
        <v>705</v>
      </c>
      <c r="G181" s="113" t="s">
        <v>705</v>
      </c>
      <c r="H181" s="113" t="s">
        <v>705</v>
      </c>
      <c r="I181" s="113">
        <v>0</v>
      </c>
      <c r="J181" s="113">
        <v>25</v>
      </c>
    </row>
    <row r="182" spans="2:10">
      <c r="B182" s="113" t="s">
        <v>1084</v>
      </c>
      <c r="C182" s="113" t="s">
        <v>540</v>
      </c>
      <c r="D182" s="113" t="s">
        <v>705</v>
      </c>
      <c r="E182" s="113" t="s">
        <v>705</v>
      </c>
      <c r="F182" s="113" t="s">
        <v>705</v>
      </c>
      <c r="G182" s="113" t="s">
        <v>705</v>
      </c>
      <c r="H182" s="113" t="s">
        <v>705</v>
      </c>
      <c r="I182" s="113">
        <v>0</v>
      </c>
      <c r="J182" s="113">
        <v>25</v>
      </c>
    </row>
    <row r="183" spans="2:10">
      <c r="B183" s="113" t="s">
        <v>1084</v>
      </c>
      <c r="C183" s="113" t="s">
        <v>178</v>
      </c>
      <c r="D183" s="113" t="s">
        <v>705</v>
      </c>
      <c r="E183" s="113" t="s">
        <v>705</v>
      </c>
      <c r="F183" s="113" t="s">
        <v>705</v>
      </c>
      <c r="G183" s="113" t="s">
        <v>705</v>
      </c>
      <c r="H183" s="113" t="s">
        <v>705</v>
      </c>
      <c r="I183" s="113">
        <v>0</v>
      </c>
      <c r="J183" s="113">
        <v>25</v>
      </c>
    </row>
    <row r="184" spans="2:10">
      <c r="B184" s="113" t="s">
        <v>1084</v>
      </c>
      <c r="C184" s="113" t="s">
        <v>1284</v>
      </c>
      <c r="D184" s="113" t="s">
        <v>705</v>
      </c>
      <c r="E184" s="113" t="s">
        <v>705</v>
      </c>
      <c r="F184" s="113" t="s">
        <v>705</v>
      </c>
      <c r="G184" s="113" t="s">
        <v>705</v>
      </c>
      <c r="H184" s="113" t="s">
        <v>705</v>
      </c>
      <c r="I184" s="113">
        <v>0</v>
      </c>
      <c r="J184" s="113">
        <v>100</v>
      </c>
    </row>
    <row r="185" spans="2:10">
      <c r="B185" s="113" t="s">
        <v>1084</v>
      </c>
      <c r="C185" s="113" t="s">
        <v>1282</v>
      </c>
      <c r="D185" s="113" t="s">
        <v>705</v>
      </c>
      <c r="E185" s="113" t="s">
        <v>705</v>
      </c>
      <c r="F185" s="113" t="s">
        <v>705</v>
      </c>
      <c r="G185" s="113" t="s">
        <v>705</v>
      </c>
      <c r="H185" s="113" t="s">
        <v>705</v>
      </c>
      <c r="I185" s="113">
        <v>0</v>
      </c>
      <c r="J185" s="113">
        <v>100</v>
      </c>
    </row>
    <row r="186" spans="2:10">
      <c r="B186" s="113" t="s">
        <v>1084</v>
      </c>
      <c r="C186" s="113" t="s">
        <v>180</v>
      </c>
      <c r="D186" s="113" t="s">
        <v>705</v>
      </c>
      <c r="E186" s="113" t="s">
        <v>705</v>
      </c>
      <c r="F186" s="113" t="s">
        <v>705</v>
      </c>
      <c r="G186" s="113" t="s">
        <v>705</v>
      </c>
      <c r="H186" s="113" t="s">
        <v>705</v>
      </c>
      <c r="I186" s="113">
        <v>0</v>
      </c>
      <c r="J186" s="113">
        <v>25</v>
      </c>
    </row>
    <row r="187" spans="2:10">
      <c r="B187" s="113" t="s">
        <v>1084</v>
      </c>
      <c r="C187" s="113" t="s">
        <v>1279</v>
      </c>
      <c r="D187" s="113" t="s">
        <v>705</v>
      </c>
      <c r="E187" s="113" t="s">
        <v>705</v>
      </c>
      <c r="F187" s="113" t="s">
        <v>705</v>
      </c>
      <c r="G187" s="113" t="s">
        <v>705</v>
      </c>
      <c r="H187" s="113" t="s">
        <v>705</v>
      </c>
      <c r="I187" s="113">
        <v>0</v>
      </c>
      <c r="J187" s="113">
        <v>100</v>
      </c>
    </row>
    <row r="188" spans="2:10">
      <c r="B188" s="113" t="s">
        <v>1084</v>
      </c>
      <c r="C188" s="113" t="s">
        <v>1277</v>
      </c>
      <c r="D188" s="113" t="s">
        <v>705</v>
      </c>
      <c r="E188" s="113" t="s">
        <v>705</v>
      </c>
      <c r="F188" s="113" t="s">
        <v>705</v>
      </c>
      <c r="G188" s="113" t="s">
        <v>705</v>
      </c>
      <c r="H188" s="113" t="s">
        <v>705</v>
      </c>
      <c r="I188" s="113">
        <v>0</v>
      </c>
      <c r="J188" s="113">
        <v>100</v>
      </c>
    </row>
    <row r="189" spans="2:10">
      <c r="B189" s="113" t="s">
        <v>1084</v>
      </c>
      <c r="C189" s="113" t="s">
        <v>541</v>
      </c>
      <c r="D189" s="113" t="s">
        <v>705</v>
      </c>
      <c r="E189" s="113" t="s">
        <v>705</v>
      </c>
      <c r="F189" s="113" t="s">
        <v>705</v>
      </c>
      <c r="G189" s="113" t="s">
        <v>705</v>
      </c>
      <c r="H189" s="113" t="s">
        <v>705</v>
      </c>
      <c r="I189" s="113">
        <v>0</v>
      </c>
      <c r="J189" s="113">
        <v>25</v>
      </c>
    </row>
    <row r="190" spans="2:10">
      <c r="B190" s="113" t="s">
        <v>1084</v>
      </c>
      <c r="C190" s="113" t="s">
        <v>1274</v>
      </c>
      <c r="D190" s="113" t="s">
        <v>705</v>
      </c>
      <c r="E190" s="113" t="s">
        <v>705</v>
      </c>
      <c r="F190" s="113" t="s">
        <v>705</v>
      </c>
      <c r="G190" s="113" t="s">
        <v>705</v>
      </c>
      <c r="H190" s="113" t="s">
        <v>705</v>
      </c>
      <c r="I190" s="113">
        <v>0</v>
      </c>
      <c r="J190" s="113">
        <v>60</v>
      </c>
    </row>
    <row r="191" spans="2:10">
      <c r="B191" s="113" t="s">
        <v>1084</v>
      </c>
      <c r="C191" s="113" t="s">
        <v>1268</v>
      </c>
      <c r="D191" s="113" t="s">
        <v>705</v>
      </c>
      <c r="E191" s="113" t="s">
        <v>705</v>
      </c>
      <c r="F191" s="113" t="s">
        <v>705</v>
      </c>
      <c r="G191" s="113" t="s">
        <v>705</v>
      </c>
      <c r="H191" s="113" t="s">
        <v>705</v>
      </c>
      <c r="I191" s="113">
        <v>0</v>
      </c>
      <c r="J191" s="113">
        <v>60</v>
      </c>
    </row>
    <row r="192" spans="2:10">
      <c r="B192" s="113" t="s">
        <v>1084</v>
      </c>
      <c r="C192" s="113" t="s">
        <v>1266</v>
      </c>
      <c r="D192" s="113" t="s">
        <v>705</v>
      </c>
      <c r="E192" s="113" t="s">
        <v>705</v>
      </c>
      <c r="F192" s="113" t="s">
        <v>705</v>
      </c>
      <c r="G192" s="113" t="s">
        <v>705</v>
      </c>
      <c r="H192" s="113" t="s">
        <v>705</v>
      </c>
      <c r="I192" s="113">
        <v>0</v>
      </c>
      <c r="J192" s="113">
        <v>60</v>
      </c>
    </row>
    <row r="193" spans="2:10">
      <c r="B193" s="113" t="s">
        <v>1084</v>
      </c>
      <c r="C193" s="113" t="s">
        <v>1264</v>
      </c>
      <c r="D193" s="113" t="s">
        <v>705</v>
      </c>
      <c r="E193" s="113" t="s">
        <v>705</v>
      </c>
      <c r="F193" s="113" t="s">
        <v>705</v>
      </c>
      <c r="G193" s="113" t="s">
        <v>705</v>
      </c>
      <c r="H193" s="113" t="s">
        <v>705</v>
      </c>
      <c r="I193" s="113">
        <v>0</v>
      </c>
      <c r="J193" s="113">
        <v>60</v>
      </c>
    </row>
    <row r="194" spans="2:10">
      <c r="B194" s="113" t="s">
        <v>1084</v>
      </c>
      <c r="C194" s="113" t="s">
        <v>1260</v>
      </c>
      <c r="D194" s="113" t="s">
        <v>705</v>
      </c>
      <c r="E194" s="113" t="s">
        <v>705</v>
      </c>
      <c r="F194" s="113" t="s">
        <v>705</v>
      </c>
      <c r="G194" s="113" t="s">
        <v>705</v>
      </c>
      <c r="H194" s="113" t="s">
        <v>705</v>
      </c>
      <c r="I194" s="113">
        <v>0</v>
      </c>
      <c r="J194" s="113">
        <v>60</v>
      </c>
    </row>
    <row r="195" spans="2:10">
      <c r="B195" s="113" t="s">
        <v>907</v>
      </c>
      <c r="C195" s="113" t="s">
        <v>169</v>
      </c>
      <c r="D195" s="113" t="s">
        <v>705</v>
      </c>
      <c r="E195" s="113" t="s">
        <v>40</v>
      </c>
      <c r="F195" s="113" t="s">
        <v>705</v>
      </c>
      <c r="G195" s="113" t="s">
        <v>705</v>
      </c>
      <c r="H195" s="113" t="s">
        <v>705</v>
      </c>
      <c r="I195" s="113">
        <v>0</v>
      </c>
      <c r="J195" s="113">
        <v>0.1</v>
      </c>
    </row>
    <row r="196" spans="2:10">
      <c r="B196" s="113" t="s">
        <v>907</v>
      </c>
      <c r="C196" s="113" t="s">
        <v>1304</v>
      </c>
      <c r="D196" s="113" t="s">
        <v>705</v>
      </c>
      <c r="E196" s="113" t="s">
        <v>40</v>
      </c>
      <c r="F196" s="113" t="s">
        <v>705</v>
      </c>
      <c r="G196" s="113" t="s">
        <v>705</v>
      </c>
      <c r="H196" s="113" t="s">
        <v>705</v>
      </c>
      <c r="I196" s="113">
        <v>0</v>
      </c>
      <c r="J196" s="113">
        <v>0.1</v>
      </c>
    </row>
    <row r="197" spans="2:10">
      <c r="B197" s="113" t="s">
        <v>907</v>
      </c>
      <c r="C197" s="113" t="s">
        <v>1302</v>
      </c>
      <c r="D197" s="113" t="s">
        <v>705</v>
      </c>
      <c r="E197" s="113" t="s">
        <v>40</v>
      </c>
      <c r="F197" s="113" t="s">
        <v>705</v>
      </c>
      <c r="G197" s="113" t="s">
        <v>705</v>
      </c>
      <c r="H197" s="113" t="s">
        <v>705</v>
      </c>
      <c r="I197" s="113">
        <v>0</v>
      </c>
      <c r="J197" s="113">
        <v>0.1</v>
      </c>
    </row>
    <row r="198" spans="2:10">
      <c r="B198" s="113" t="s">
        <v>907</v>
      </c>
      <c r="C198" s="113" t="s">
        <v>538</v>
      </c>
      <c r="D198" s="113" t="s">
        <v>705</v>
      </c>
      <c r="E198" s="113" t="s">
        <v>40</v>
      </c>
      <c r="F198" s="113" t="s">
        <v>705</v>
      </c>
      <c r="G198" s="113" t="s">
        <v>705</v>
      </c>
      <c r="H198" s="113" t="s">
        <v>705</v>
      </c>
      <c r="I198" s="113">
        <v>0</v>
      </c>
      <c r="J198" s="113">
        <v>0.1</v>
      </c>
    </row>
    <row r="199" spans="2:10">
      <c r="B199" s="113" t="s">
        <v>907</v>
      </c>
      <c r="C199" s="113" t="s">
        <v>171</v>
      </c>
      <c r="D199" s="113" t="s">
        <v>705</v>
      </c>
      <c r="E199" s="113" t="s">
        <v>40</v>
      </c>
      <c r="F199" s="113" t="s">
        <v>705</v>
      </c>
      <c r="G199" s="113" t="s">
        <v>705</v>
      </c>
      <c r="H199" s="113" t="s">
        <v>705</v>
      </c>
      <c r="I199" s="113">
        <v>0</v>
      </c>
      <c r="J199" s="113">
        <v>0.1</v>
      </c>
    </row>
    <row r="200" spans="2:10">
      <c r="B200" s="113" t="s">
        <v>907</v>
      </c>
      <c r="C200" s="113" t="s">
        <v>1298</v>
      </c>
      <c r="D200" s="113" t="s">
        <v>705</v>
      </c>
      <c r="E200" s="113" t="s">
        <v>40</v>
      </c>
      <c r="F200" s="113" t="s">
        <v>705</v>
      </c>
      <c r="G200" s="113" t="s">
        <v>705</v>
      </c>
      <c r="H200" s="113" t="s">
        <v>705</v>
      </c>
      <c r="I200" s="113">
        <v>0</v>
      </c>
      <c r="J200" s="113">
        <v>0.1</v>
      </c>
    </row>
    <row r="201" spans="2:10">
      <c r="B201" s="113" t="s">
        <v>907</v>
      </c>
      <c r="C201" s="113" t="s">
        <v>1296</v>
      </c>
      <c r="D201" s="113" t="s">
        <v>705</v>
      </c>
      <c r="E201" s="113" t="s">
        <v>40</v>
      </c>
      <c r="F201" s="113" t="s">
        <v>705</v>
      </c>
      <c r="G201" s="113" t="s">
        <v>705</v>
      </c>
      <c r="H201" s="113" t="s">
        <v>705</v>
      </c>
      <c r="I201" s="113">
        <v>0</v>
      </c>
      <c r="J201" s="113">
        <v>0.1</v>
      </c>
    </row>
    <row r="202" spans="2:10">
      <c r="B202" s="113" t="s">
        <v>907</v>
      </c>
      <c r="C202" s="113" t="s">
        <v>174</v>
      </c>
      <c r="D202" s="113" t="s">
        <v>705</v>
      </c>
      <c r="E202" s="113" t="s">
        <v>40</v>
      </c>
      <c r="F202" s="113" t="s">
        <v>705</v>
      </c>
      <c r="G202" s="113" t="s">
        <v>705</v>
      </c>
      <c r="H202" s="113" t="s">
        <v>705</v>
      </c>
      <c r="I202" s="113">
        <v>0</v>
      </c>
      <c r="J202" s="113">
        <v>0.1</v>
      </c>
    </row>
    <row r="203" spans="2:10">
      <c r="B203" s="113" t="s">
        <v>907</v>
      </c>
      <c r="C203" s="113" t="s">
        <v>1291</v>
      </c>
      <c r="D203" s="113" t="s">
        <v>705</v>
      </c>
      <c r="E203" s="113" t="s">
        <v>40</v>
      </c>
      <c r="F203" s="113" t="s">
        <v>705</v>
      </c>
      <c r="G203" s="113" t="s">
        <v>705</v>
      </c>
      <c r="H203" s="113" t="s">
        <v>705</v>
      </c>
      <c r="I203" s="113">
        <v>0</v>
      </c>
      <c r="J203" s="113">
        <v>0.1</v>
      </c>
    </row>
    <row r="204" spans="2:10">
      <c r="B204" s="113" t="s">
        <v>907</v>
      </c>
      <c r="C204" s="113" t="s">
        <v>1289</v>
      </c>
      <c r="D204" s="113" t="s">
        <v>705</v>
      </c>
      <c r="E204" s="113" t="s">
        <v>40</v>
      </c>
      <c r="F204" s="113" t="s">
        <v>705</v>
      </c>
      <c r="G204" s="113" t="s">
        <v>705</v>
      </c>
      <c r="H204" s="113" t="s">
        <v>705</v>
      </c>
      <c r="I204" s="113">
        <v>0</v>
      </c>
      <c r="J204" s="113">
        <v>0.1</v>
      </c>
    </row>
    <row r="205" spans="2:10">
      <c r="B205" s="113" t="s">
        <v>907</v>
      </c>
      <c r="C205" s="113" t="s">
        <v>539</v>
      </c>
      <c r="D205" s="113" t="s">
        <v>705</v>
      </c>
      <c r="E205" s="113" t="s">
        <v>40</v>
      </c>
      <c r="F205" s="113" t="s">
        <v>705</v>
      </c>
      <c r="G205" s="113" t="s">
        <v>705</v>
      </c>
      <c r="H205" s="113" t="s">
        <v>705</v>
      </c>
      <c r="I205" s="113">
        <v>0</v>
      </c>
      <c r="J205" s="113">
        <v>0.1</v>
      </c>
    </row>
    <row r="206" spans="2:10">
      <c r="B206" s="113" t="s">
        <v>907</v>
      </c>
      <c r="C206" s="113" t="s">
        <v>540</v>
      </c>
      <c r="D206" s="113" t="s">
        <v>705</v>
      </c>
      <c r="E206" s="113" t="s">
        <v>40</v>
      </c>
      <c r="F206" s="113" t="s">
        <v>705</v>
      </c>
      <c r="G206" s="113" t="s">
        <v>705</v>
      </c>
      <c r="H206" s="113" t="s">
        <v>705</v>
      </c>
      <c r="I206" s="113">
        <v>0</v>
      </c>
      <c r="J206" s="113">
        <v>0.1</v>
      </c>
    </row>
    <row r="207" spans="2:10">
      <c r="B207" s="113" t="s">
        <v>907</v>
      </c>
      <c r="C207" s="113" t="s">
        <v>178</v>
      </c>
      <c r="D207" s="113" t="s">
        <v>705</v>
      </c>
      <c r="E207" s="113" t="s">
        <v>40</v>
      </c>
      <c r="F207" s="113" t="s">
        <v>705</v>
      </c>
      <c r="G207" s="113" t="s">
        <v>705</v>
      </c>
      <c r="H207" s="113" t="s">
        <v>705</v>
      </c>
      <c r="I207" s="113">
        <v>0</v>
      </c>
      <c r="J207" s="113">
        <v>0.1</v>
      </c>
    </row>
    <row r="208" spans="2:10">
      <c r="B208" s="113" t="s">
        <v>907</v>
      </c>
      <c r="C208" s="113" t="s">
        <v>1284</v>
      </c>
      <c r="D208" s="113" t="s">
        <v>705</v>
      </c>
      <c r="E208" s="113" t="s">
        <v>40</v>
      </c>
      <c r="F208" s="113" t="s">
        <v>705</v>
      </c>
      <c r="G208" s="113" t="s">
        <v>705</v>
      </c>
      <c r="H208" s="113" t="s">
        <v>705</v>
      </c>
      <c r="I208" s="113">
        <v>0</v>
      </c>
      <c r="J208" s="113">
        <v>0.1</v>
      </c>
    </row>
    <row r="209" spans="1:41">
      <c r="B209" s="113" t="s">
        <v>907</v>
      </c>
      <c r="C209" s="113" t="s">
        <v>180</v>
      </c>
      <c r="D209" s="113" t="s">
        <v>705</v>
      </c>
      <c r="E209" s="113" t="s">
        <v>40</v>
      </c>
      <c r="F209" s="113" t="s">
        <v>705</v>
      </c>
      <c r="G209" s="113" t="s">
        <v>705</v>
      </c>
      <c r="H209" s="113" t="s">
        <v>705</v>
      </c>
      <c r="I209" s="113">
        <v>0</v>
      </c>
      <c r="J209" s="113">
        <v>1</v>
      </c>
    </row>
    <row r="210" spans="1:41">
      <c r="B210" s="113" t="s">
        <v>907</v>
      </c>
      <c r="C210" s="113" t="s">
        <v>1279</v>
      </c>
      <c r="D210" s="113" t="s">
        <v>705</v>
      </c>
      <c r="E210" s="113" t="s">
        <v>40</v>
      </c>
      <c r="F210" s="113" t="s">
        <v>705</v>
      </c>
      <c r="G210" s="113" t="s">
        <v>705</v>
      </c>
      <c r="H210" s="113" t="s">
        <v>705</v>
      </c>
      <c r="I210" s="113">
        <v>0</v>
      </c>
      <c r="J210" s="113">
        <v>1</v>
      </c>
    </row>
    <row r="211" spans="1:41">
      <c r="B211" s="113" t="s">
        <v>907</v>
      </c>
      <c r="C211" s="113" t="s">
        <v>1277</v>
      </c>
      <c r="D211" s="113" t="s">
        <v>705</v>
      </c>
      <c r="E211" s="113" t="s">
        <v>40</v>
      </c>
      <c r="F211" s="113" t="s">
        <v>705</v>
      </c>
      <c r="G211" s="113" t="s">
        <v>705</v>
      </c>
      <c r="H211" s="113" t="s">
        <v>705</v>
      </c>
      <c r="I211" s="113">
        <v>0</v>
      </c>
      <c r="J211" s="113">
        <v>1</v>
      </c>
    </row>
    <row r="212" spans="1:41">
      <c r="B212" s="113" t="s">
        <v>907</v>
      </c>
      <c r="C212" s="113" t="s">
        <v>541</v>
      </c>
      <c r="D212" s="113" t="s">
        <v>705</v>
      </c>
      <c r="E212" s="113" t="s">
        <v>40</v>
      </c>
      <c r="F212" s="113" t="s">
        <v>705</v>
      </c>
      <c r="G212" s="113" t="s">
        <v>705</v>
      </c>
      <c r="H212" s="113" t="s">
        <v>705</v>
      </c>
      <c r="I212" s="113">
        <v>0</v>
      </c>
      <c r="J212" s="113">
        <v>1</v>
      </c>
    </row>
    <row r="213" spans="1:41">
      <c r="B213" s="620" t="s">
        <v>1449</v>
      </c>
      <c r="C213" s="620" t="s">
        <v>169</v>
      </c>
      <c r="D213" s="620" t="s">
        <v>705</v>
      </c>
      <c r="E213" s="620" t="s">
        <v>705</v>
      </c>
      <c r="F213" s="620" t="s">
        <v>705</v>
      </c>
      <c r="G213" s="620" t="s">
        <v>705</v>
      </c>
      <c r="H213" s="620" t="s">
        <v>705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1:41">
      <c r="B214" s="620" t="s">
        <v>1449</v>
      </c>
      <c r="C214" s="620" t="s">
        <v>171</v>
      </c>
      <c r="D214" s="620" t="s">
        <v>705</v>
      </c>
      <c r="E214" s="620" t="s">
        <v>705</v>
      </c>
      <c r="F214" s="620" t="s">
        <v>705</v>
      </c>
      <c r="G214" s="620" t="s">
        <v>705</v>
      </c>
      <c r="H214" s="620" t="s">
        <v>705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1:41">
      <c r="B215" s="620" t="s">
        <v>1449</v>
      </c>
      <c r="C215" s="620" t="s">
        <v>174</v>
      </c>
      <c r="D215" s="620" t="s">
        <v>705</v>
      </c>
      <c r="E215" s="620" t="s">
        <v>705</v>
      </c>
      <c r="F215" s="620" t="s">
        <v>705</v>
      </c>
      <c r="G215" s="620" t="s">
        <v>705</v>
      </c>
      <c r="H215" s="620" t="s">
        <v>705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1:41">
      <c r="B216" s="620" t="s">
        <v>1449</v>
      </c>
      <c r="C216" s="620" t="s">
        <v>178</v>
      </c>
      <c r="D216" s="620" t="s">
        <v>705</v>
      </c>
      <c r="E216" s="620" t="s">
        <v>705</v>
      </c>
      <c r="F216" s="620" t="s">
        <v>705</v>
      </c>
      <c r="G216" s="620" t="s">
        <v>705</v>
      </c>
      <c r="H216" s="620" t="s">
        <v>705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1:41">
      <c r="B217" s="620" t="s">
        <v>1449</v>
      </c>
      <c r="C217" s="620" t="s">
        <v>180</v>
      </c>
      <c r="D217" s="620" t="s">
        <v>705</v>
      </c>
      <c r="E217" s="620" t="s">
        <v>705</v>
      </c>
      <c r="F217" s="620" t="s">
        <v>705</v>
      </c>
      <c r="G217" s="620" t="s">
        <v>705</v>
      </c>
      <c r="H217" s="620" t="s">
        <v>705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1:41">
      <c r="B218" s="620" t="s">
        <v>1449</v>
      </c>
      <c r="C218" s="620" t="s">
        <v>1274</v>
      </c>
      <c r="D218" s="620" t="s">
        <v>705</v>
      </c>
      <c r="E218" s="620" t="s">
        <v>705</v>
      </c>
      <c r="F218" s="620" t="s">
        <v>705</v>
      </c>
      <c r="G218" s="620" t="s">
        <v>705</v>
      </c>
      <c r="H218" s="620" t="s">
        <v>705</v>
      </c>
      <c r="I218" s="620">
        <v>0</v>
      </c>
      <c r="J218" s="620">
        <v>0</v>
      </c>
    </row>
    <row r="219" spans="1:41">
      <c r="B219" s="620" t="s">
        <v>1449</v>
      </c>
      <c r="C219" s="620" t="s">
        <v>1268</v>
      </c>
      <c r="D219" s="620" t="s">
        <v>705</v>
      </c>
      <c r="E219" s="620" t="s">
        <v>705</v>
      </c>
      <c r="F219" s="620" t="s">
        <v>705</v>
      </c>
      <c r="G219" s="620" t="s">
        <v>705</v>
      </c>
      <c r="H219" s="620" t="s">
        <v>705</v>
      </c>
      <c r="I219" s="620">
        <v>0</v>
      </c>
      <c r="J219" s="620">
        <v>0</v>
      </c>
    </row>
    <row r="220" spans="1:41">
      <c r="B220" s="620" t="s">
        <v>1449</v>
      </c>
      <c r="C220" s="620" t="s">
        <v>1266</v>
      </c>
      <c r="D220" s="620" t="s">
        <v>705</v>
      </c>
      <c r="E220" s="620" t="s">
        <v>705</v>
      </c>
      <c r="F220" s="620" t="s">
        <v>705</v>
      </c>
      <c r="G220" s="620" t="s">
        <v>705</v>
      </c>
      <c r="H220" s="620" t="s">
        <v>705</v>
      </c>
      <c r="I220" s="620">
        <v>0</v>
      </c>
      <c r="J220" s="620">
        <v>0</v>
      </c>
    </row>
    <row r="221" spans="1:41">
      <c r="B221" s="620" t="s">
        <v>1449</v>
      </c>
      <c r="C221" s="620" t="s">
        <v>1264</v>
      </c>
      <c r="D221" s="620" t="s">
        <v>705</v>
      </c>
      <c r="E221" s="620" t="s">
        <v>705</v>
      </c>
      <c r="F221" s="620" t="s">
        <v>705</v>
      </c>
      <c r="G221" s="620" t="s">
        <v>705</v>
      </c>
      <c r="H221" s="620" t="s">
        <v>705</v>
      </c>
      <c r="I221" s="620">
        <v>0</v>
      </c>
      <c r="J221" s="620">
        <v>0</v>
      </c>
    </row>
    <row r="222" spans="1:41">
      <c r="B222" s="620" t="s">
        <v>1449</v>
      </c>
      <c r="C222" s="620" t="s">
        <v>1260</v>
      </c>
      <c r="D222" s="620" t="s">
        <v>705</v>
      </c>
      <c r="E222" s="620" t="s">
        <v>705</v>
      </c>
      <c r="F222" s="620" t="s">
        <v>705</v>
      </c>
      <c r="G222" s="620" t="s">
        <v>705</v>
      </c>
      <c r="H222" s="620" t="s">
        <v>705</v>
      </c>
      <c r="I222" s="620">
        <v>0</v>
      </c>
      <c r="J222" s="620">
        <v>0</v>
      </c>
    </row>
    <row r="223" spans="1:41">
      <c r="A223" s="113" t="s">
        <v>1050</v>
      </c>
      <c r="B223" s="113" t="s">
        <v>1448</v>
      </c>
      <c r="C223" s="113" t="s">
        <v>1427</v>
      </c>
      <c r="D223" s="113" t="s">
        <v>705</v>
      </c>
      <c r="E223" s="113" t="s">
        <v>705</v>
      </c>
      <c r="F223" s="113" t="s">
        <v>705</v>
      </c>
      <c r="G223" s="113" t="s">
        <v>705</v>
      </c>
      <c r="H223" s="113" t="s">
        <v>592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1:41">
      <c r="A224" s="113" t="s">
        <v>1050</v>
      </c>
      <c r="B224" s="113" t="s">
        <v>1448</v>
      </c>
      <c r="C224" s="113" t="s">
        <v>1425</v>
      </c>
      <c r="D224" s="113" t="s">
        <v>705</v>
      </c>
      <c r="E224" s="113" t="s">
        <v>705</v>
      </c>
      <c r="F224" s="113" t="s">
        <v>705</v>
      </c>
      <c r="G224" s="113" t="s">
        <v>705</v>
      </c>
      <c r="H224" s="113" t="str">
        <f>'PAMS and scenarios'!E$65</f>
        <v>UP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1:41">
      <c r="A225" s="113" t="s">
        <v>1050</v>
      </c>
      <c r="B225" s="113" t="s">
        <v>1448</v>
      </c>
      <c r="C225" s="113" t="s">
        <v>1423</v>
      </c>
      <c r="D225" s="113" t="s">
        <v>705</v>
      </c>
      <c r="E225" s="113" t="s">
        <v>705</v>
      </c>
      <c r="F225" s="113" t="s">
        <v>705</v>
      </c>
      <c r="G225" s="113" t="s">
        <v>705</v>
      </c>
      <c r="H225" s="113" t="str">
        <f>'PAMS and scenarios'!E$65</f>
        <v>UP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1:41">
      <c r="A226" s="113" t="s">
        <v>1050</v>
      </c>
      <c r="B226" s="113" t="s">
        <v>1448</v>
      </c>
      <c r="C226" s="113" t="s">
        <v>1421</v>
      </c>
      <c r="D226" s="113" t="s">
        <v>705</v>
      </c>
      <c r="E226" s="113" t="s">
        <v>705</v>
      </c>
      <c r="F226" s="113" t="s">
        <v>705</v>
      </c>
      <c r="G226" s="113" t="s">
        <v>705</v>
      </c>
      <c r="H226" s="113" t="s">
        <v>592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1:41">
      <c r="A227" s="113" t="s">
        <v>1050</v>
      </c>
      <c r="B227" s="113" t="s">
        <v>1448</v>
      </c>
      <c r="C227" s="113" t="s">
        <v>1419</v>
      </c>
      <c r="D227" s="113" t="s">
        <v>705</v>
      </c>
      <c r="E227" s="113" t="s">
        <v>705</v>
      </c>
      <c r="F227" s="113" t="s">
        <v>705</v>
      </c>
      <c r="G227" s="113" t="s">
        <v>705</v>
      </c>
      <c r="H227" s="113" t="str">
        <f>'PAMS and scenarios'!E$65</f>
        <v>UP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1:41">
      <c r="A228" s="113" t="s">
        <v>1050</v>
      </c>
      <c r="B228" s="113" t="s">
        <v>1448</v>
      </c>
      <c r="C228" s="113" t="s">
        <v>1417</v>
      </c>
      <c r="D228" s="113" t="s">
        <v>705</v>
      </c>
      <c r="E228" s="113" t="s">
        <v>705</v>
      </c>
      <c r="F228" s="113" t="s">
        <v>705</v>
      </c>
      <c r="G228" s="113" t="s">
        <v>705</v>
      </c>
      <c r="H228" s="113" t="str">
        <f>'PAMS and scenarios'!E$65</f>
        <v>UP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1:41">
      <c r="A229" s="113" t="s">
        <v>1050</v>
      </c>
      <c r="B229" s="113" t="s">
        <v>1448</v>
      </c>
      <c r="C229" s="113" t="s">
        <v>1415</v>
      </c>
      <c r="D229" s="113" t="s">
        <v>705</v>
      </c>
      <c r="E229" s="113" t="s">
        <v>705</v>
      </c>
      <c r="F229" s="113" t="s">
        <v>705</v>
      </c>
      <c r="G229" s="113" t="s">
        <v>705</v>
      </c>
      <c r="H229" s="113" t="s">
        <v>592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1:41">
      <c r="A230" s="113" t="s">
        <v>1050</v>
      </c>
      <c r="B230" s="113" t="s">
        <v>1448</v>
      </c>
      <c r="C230" s="113" t="s">
        <v>1413</v>
      </c>
      <c r="D230" s="113" t="s">
        <v>705</v>
      </c>
      <c r="E230" s="113" t="s">
        <v>705</v>
      </c>
      <c r="F230" s="113" t="s">
        <v>705</v>
      </c>
      <c r="G230" s="113" t="s">
        <v>705</v>
      </c>
      <c r="H230" s="113" t="str">
        <f>'PAMS and scenarios'!E$65</f>
        <v>UP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1:41">
      <c r="A231" s="113" t="s">
        <v>1050</v>
      </c>
      <c r="B231" s="113" t="s">
        <v>1448</v>
      </c>
      <c r="C231" s="113" t="s">
        <v>1411</v>
      </c>
      <c r="D231" s="113" t="s">
        <v>705</v>
      </c>
      <c r="E231" s="113" t="s">
        <v>705</v>
      </c>
      <c r="F231" s="113" t="s">
        <v>705</v>
      </c>
      <c r="G231" s="113" t="s">
        <v>705</v>
      </c>
      <c r="H231" s="113" t="str">
        <f>'PAMS and scenarios'!E$65</f>
        <v>UP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1:41">
      <c r="A232" s="113" t="s">
        <v>1050</v>
      </c>
      <c r="B232" s="620" t="s">
        <v>1448</v>
      </c>
      <c r="C232" s="620" t="s">
        <v>1409</v>
      </c>
      <c r="D232" s="620" t="s">
        <v>705</v>
      </c>
      <c r="E232" s="620" t="s">
        <v>705</v>
      </c>
      <c r="F232" s="620" t="s">
        <v>705</v>
      </c>
      <c r="G232" s="620" t="s">
        <v>705</v>
      </c>
      <c r="H232" s="620" t="s">
        <v>592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1:41">
      <c r="A233" s="113" t="s">
        <v>1050</v>
      </c>
      <c r="B233" s="113" t="s">
        <v>1448</v>
      </c>
      <c r="C233" s="113" t="s">
        <v>1407</v>
      </c>
      <c r="D233" s="113" t="s">
        <v>705</v>
      </c>
      <c r="E233" s="113" t="s">
        <v>705</v>
      </c>
      <c r="F233" s="113" t="s">
        <v>705</v>
      </c>
      <c r="G233" s="113" t="s">
        <v>705</v>
      </c>
      <c r="H233" s="113" t="str">
        <f>'PAMS and scenarios'!E$65</f>
        <v>UP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1:41">
      <c r="A234" s="113" t="s">
        <v>1050</v>
      </c>
      <c r="B234" s="113" t="s">
        <v>1448</v>
      </c>
      <c r="C234" s="113" t="s">
        <v>1405</v>
      </c>
      <c r="D234" s="113" t="s">
        <v>705</v>
      </c>
      <c r="E234" s="113" t="s">
        <v>705</v>
      </c>
      <c r="F234" s="113" t="s">
        <v>705</v>
      </c>
      <c r="G234" s="113" t="s">
        <v>705</v>
      </c>
      <c r="H234" s="113" t="str">
        <f>'PAMS and scenarios'!E$65</f>
        <v>UP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1:41">
      <c r="B235" s="620" t="s">
        <v>1448</v>
      </c>
      <c r="C235" s="620" t="s">
        <v>1403</v>
      </c>
      <c r="D235" s="620" t="s">
        <v>705</v>
      </c>
      <c r="E235" s="620" t="s">
        <v>705</v>
      </c>
      <c r="F235" s="620" t="s">
        <v>705</v>
      </c>
      <c r="G235" s="620" t="s">
        <v>705</v>
      </c>
      <c r="H235" s="620" t="s">
        <v>592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1:41">
      <c r="B236" s="113" t="s">
        <v>1448</v>
      </c>
      <c r="C236" s="113" t="s">
        <v>1401</v>
      </c>
      <c r="D236" s="113" t="s">
        <v>705</v>
      </c>
      <c r="E236" s="113" t="s">
        <v>705</v>
      </c>
      <c r="F236" s="113" t="s">
        <v>705</v>
      </c>
      <c r="G236" s="113" t="s">
        <v>705</v>
      </c>
      <c r="H236" s="113" t="s">
        <v>592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1:41">
      <c r="B237" s="113" t="s">
        <v>1448</v>
      </c>
      <c r="C237" s="113" t="s">
        <v>1399</v>
      </c>
      <c r="D237" s="113" t="s">
        <v>705</v>
      </c>
      <c r="E237" s="113" t="s">
        <v>705</v>
      </c>
      <c r="F237" s="113" t="s">
        <v>705</v>
      </c>
      <c r="G237" s="113" t="s">
        <v>705</v>
      </c>
      <c r="H237" s="113" t="s">
        <v>591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1:41">
      <c r="A238" s="113" t="s">
        <v>1050</v>
      </c>
      <c r="B238" s="113" t="s">
        <v>1448</v>
      </c>
      <c r="C238" s="113" t="s">
        <v>1397</v>
      </c>
      <c r="D238" s="113" t="s">
        <v>705</v>
      </c>
      <c r="E238" s="113" t="s">
        <v>705</v>
      </c>
      <c r="F238" s="113" t="s">
        <v>705</v>
      </c>
      <c r="G238" s="113" t="s">
        <v>705</v>
      </c>
      <c r="H238" s="113" t="str">
        <f>'PAMS and scenarios'!E$65</f>
        <v>UP</v>
      </c>
      <c r="I238" s="113">
        <f>'PAMS and scenarios'!F$65</f>
        <v>0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1:41">
      <c r="A239" s="113" t="s">
        <v>1050</v>
      </c>
      <c r="B239" s="113" t="s">
        <v>1448</v>
      </c>
      <c r="C239" s="113" t="s">
        <v>1394</v>
      </c>
      <c r="D239" s="113" t="s">
        <v>705</v>
      </c>
      <c r="E239" s="113" t="s">
        <v>705</v>
      </c>
      <c r="F239" s="113" t="s">
        <v>705</v>
      </c>
      <c r="G239" s="113" t="s">
        <v>705</v>
      </c>
      <c r="H239" s="113" t="str">
        <f>'PAMS and scenarios'!E$65</f>
        <v>UP</v>
      </c>
      <c r="I239" s="113">
        <f>'PAMS and scenarios'!F$65</f>
        <v>0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1:41">
      <c r="A240" s="113" t="s">
        <v>1050</v>
      </c>
      <c r="B240" s="113" t="s">
        <v>1436</v>
      </c>
      <c r="C240" s="113" t="s">
        <v>1425</v>
      </c>
      <c r="D240" s="113" t="s">
        <v>1429</v>
      </c>
      <c r="E240" s="113" t="s">
        <v>1434</v>
      </c>
      <c r="F240" s="113" t="s">
        <v>705</v>
      </c>
      <c r="G240" s="113" t="s">
        <v>1099</v>
      </c>
      <c r="H240" s="113" t="s">
        <v>705</v>
      </c>
      <c r="I240" s="620">
        <f>'PAMS and scenarios'!F$65</f>
        <v>0</v>
      </c>
      <c r="J240" s="620">
        <f>INDEX('PAMS and scenarios'!$I$53:$Q$60,MATCH($C240,'PAMS and scenarios'!$B$53:$B$60,0),MATCH(J$2,'PAMS and scenarios'!$I$52:$Q$52,0))</f>
        <v>0</v>
      </c>
      <c r="K240" s="620">
        <f>J240+($M240-$J240)/3</f>
        <v>0</v>
      </c>
      <c r="L240" s="620">
        <f>K240+($M240-$J240)/3</f>
        <v>0</v>
      </c>
      <c r="M240" s="620">
        <f>INDEX('PAMS and scenarios'!$I$53:$Q$60,MATCH($C240,'PAMS and scenarios'!$B$53:$B$60,0),MATCH(M$2,'PAMS and scenarios'!$I$52:$Q$52,0))</f>
        <v>0</v>
      </c>
      <c r="N240" s="620">
        <f>M240+($R240-$M240)/3</f>
        <v>0</v>
      </c>
      <c r="O240" s="620">
        <f>N240+($R240-$M240)/3</f>
        <v>0</v>
      </c>
      <c r="P240" s="620">
        <f>O240+($R240-$M240)/3</f>
        <v>0</v>
      </c>
      <c r="Q240" s="620">
        <f>P240+($R240-$M240)/3</f>
        <v>0</v>
      </c>
      <c r="R240" s="620">
        <f>INDEX('PAMS and scenarios'!$I$53:$Q$60,MATCH($C240,'PAMS and scenarios'!$B$53:$B$60,0),MATCH(R$2,'PAMS and scenarios'!$I$52:$Q$52,0))</f>
        <v>0</v>
      </c>
      <c r="S240" s="620">
        <f>R240+($W240-$R240)/4</f>
        <v>0</v>
      </c>
      <c r="T240" s="620">
        <f>S240+($W240-$R240)/4</f>
        <v>0</v>
      </c>
      <c r="U240" s="620">
        <f>T240+($W240-$R240)/4</f>
        <v>0</v>
      </c>
      <c r="V240" s="620">
        <f>U240+($W240-$R240)/4</f>
        <v>0</v>
      </c>
      <c r="W240" s="620">
        <f>INDEX('PAMS and scenarios'!$I$53:$Q$60,MATCH($C240,'PAMS and scenarios'!$B$53:$B$60,0),MATCH(W$2,'PAMS and scenarios'!$I$52:$Q$52,0))</f>
        <v>0</v>
      </c>
      <c r="X240" s="620">
        <f>W240+($AB240-$W240)/4</f>
        <v>0</v>
      </c>
      <c r="Y240" s="620">
        <f>X240+($AB240-$W240)/4</f>
        <v>0</v>
      </c>
      <c r="Z240" s="620">
        <f>Y240+($AB240-$W240)/4</f>
        <v>0</v>
      </c>
      <c r="AA240" s="620">
        <f>Z240+($AB240-$W240)/4</f>
        <v>0</v>
      </c>
      <c r="AB240" s="620">
        <f>INDEX('PAMS and scenarios'!$I$53:$Q$60,MATCH($C240,'PAMS and scenarios'!$B$53:$B$60,0),MATCH(AB$2,'PAMS and scenarios'!$I$52:$Q$52,0))</f>
        <v>0</v>
      </c>
      <c r="AC240" s="620">
        <f>AB240+($AG240-$AB240)/4</f>
        <v>0</v>
      </c>
      <c r="AD240" s="620">
        <f>AC240+($AG240-$AB240)/4</f>
        <v>0</v>
      </c>
      <c r="AE240" s="620">
        <f>AD240+($AG240-$AB240)/4</f>
        <v>0</v>
      </c>
      <c r="AF240" s="620">
        <f>AE240+($AG240-$AB240)/4</f>
        <v>0</v>
      </c>
      <c r="AG240" s="620">
        <f>INDEX('PAMS and scenarios'!$I$53:$Q$60,MATCH($C240,'PAMS and scenarios'!$B$53:$B$60,0),MATCH(AG$2,'PAMS and scenarios'!$I$52:$Q$52,0))</f>
        <v>0</v>
      </c>
      <c r="AH240" s="620">
        <f>AG240+($AM240-$AG240)/4</f>
        <v>0</v>
      </c>
      <c r="AI240" s="620">
        <f>AH240+($AM240-$AG240)/4</f>
        <v>0</v>
      </c>
      <c r="AJ240" s="620">
        <f>AI240+($AM240-$AG240)/4</f>
        <v>0</v>
      </c>
      <c r="AK240" s="620">
        <f>AJ240+($AM240-$AG240)/4</f>
        <v>0</v>
      </c>
      <c r="AL240" s="620">
        <f>INDEX('PAMS and scenarios'!$I$53:$Q$60,MATCH($C240,'PAMS and scenarios'!$B$53:$B$60,0),MATCH(AL$2,'PAMS and scenarios'!$I$52:$Q$52,0))</f>
        <v>0</v>
      </c>
      <c r="AM240" s="620">
        <f>INDEX('PAMS and scenarios'!$I$53:$Q$60,MATCH($C240,'PAMS and scenarios'!$B$53:$B$60,0),MATCH(AM$2,'PAMS and scenarios'!$I$52:$Q$52,0))</f>
        <v>0</v>
      </c>
      <c r="AN240" s="620">
        <f>INDEX('PAMS and scenarios'!$I$53:$Q$60,MATCH($C240,'PAMS and scenarios'!$B$53:$B$60,0),MATCH(AN$2,'PAMS and scenarios'!$I$52:$Q$52,0))</f>
        <v>0</v>
      </c>
    </row>
    <row r="241" spans="1:40">
      <c r="A241" s="113" t="s">
        <v>1050</v>
      </c>
      <c r="B241" s="113" t="s">
        <v>1436</v>
      </c>
      <c r="C241" s="113" t="s">
        <v>1425</v>
      </c>
      <c r="D241" s="113" t="s">
        <v>1429</v>
      </c>
      <c r="E241" s="113" t="s">
        <v>1447</v>
      </c>
      <c r="F241" s="113" t="s">
        <v>705</v>
      </c>
      <c r="G241" s="113" t="s">
        <v>1099</v>
      </c>
      <c r="H241" s="113" t="s">
        <v>705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1:40">
      <c r="A242" s="113" t="s">
        <v>1050</v>
      </c>
      <c r="B242" s="113" t="s">
        <v>1436</v>
      </c>
      <c r="C242" s="113" t="s">
        <v>1423</v>
      </c>
      <c r="D242" s="113" t="s">
        <v>1429</v>
      </c>
      <c r="E242" s="113" t="s">
        <v>1434</v>
      </c>
      <c r="F242" s="113" t="s">
        <v>705</v>
      </c>
      <c r="G242" s="113" t="s">
        <v>1099</v>
      </c>
      <c r="H242" s="113" t="s">
        <v>705</v>
      </c>
      <c r="I242" s="620">
        <f>'PAMS and scenarios'!F$65</f>
        <v>0</v>
      </c>
      <c r="J242" s="620">
        <f>INDEX('PAMS and scenarios'!$I$53:$Q$60,MATCH($C242,'PAMS and scenarios'!$B$53:$B$60,0),MATCH(J$2,'PAMS and scenarios'!$I$52:$Q$52,0))</f>
        <v>0</v>
      </c>
      <c r="K242" s="620">
        <f>J242+($M242-$J242)/3</f>
        <v>0</v>
      </c>
      <c r="L242" s="620">
        <f>K242+($M242-$J242)/3</f>
        <v>0</v>
      </c>
      <c r="M242" s="620">
        <f>INDEX('PAMS and scenarios'!$I$53:$Q$60,MATCH($C242,'PAMS and scenarios'!$B$53:$B$60,0),MATCH(M$2,'PAMS and scenarios'!$I$52:$Q$52,0))</f>
        <v>0</v>
      </c>
      <c r="N242" s="620">
        <f>M242+($R242-$M242)/3</f>
        <v>0</v>
      </c>
      <c r="O242" s="620">
        <f>N242+($R242-$M242)/3</f>
        <v>0</v>
      </c>
      <c r="P242" s="620">
        <f>O242+($R242-$M242)/3</f>
        <v>0</v>
      </c>
      <c r="Q242" s="620">
        <f>P242+($R242-$M242)/3</f>
        <v>0</v>
      </c>
      <c r="R242" s="620">
        <f>INDEX('PAMS and scenarios'!$I$53:$Q$60,MATCH($C242,'PAMS and scenarios'!$B$53:$B$60,0),MATCH(R$2,'PAMS and scenarios'!$I$52:$Q$52,0))</f>
        <v>0</v>
      </c>
      <c r="S242" s="620">
        <f>R242+($W242-$R242)/4</f>
        <v>0</v>
      </c>
      <c r="T242" s="620">
        <f>S242+($W242-$R242)/4</f>
        <v>0</v>
      </c>
      <c r="U242" s="620">
        <f>T242+($W242-$R242)/4</f>
        <v>0</v>
      </c>
      <c r="V242" s="620">
        <f>U242+($W242-$R242)/4</f>
        <v>0</v>
      </c>
      <c r="W242" s="620">
        <f>INDEX('PAMS and scenarios'!$I$53:$Q$60,MATCH($C242,'PAMS and scenarios'!$B$53:$B$60,0),MATCH(W$2,'PAMS and scenarios'!$I$52:$Q$52,0))</f>
        <v>0</v>
      </c>
      <c r="X242" s="620">
        <f>W242+($AB242-$W242)/4</f>
        <v>0</v>
      </c>
      <c r="Y242" s="620">
        <f>X242+($AB242-$W242)/4</f>
        <v>0</v>
      </c>
      <c r="Z242" s="620">
        <f>Y242+($AB242-$W242)/4</f>
        <v>0</v>
      </c>
      <c r="AA242" s="620">
        <f>Z242+($AB242-$W242)/4</f>
        <v>0</v>
      </c>
      <c r="AB242" s="620">
        <f>INDEX('PAMS and scenarios'!$I$53:$Q$60,MATCH($C242,'PAMS and scenarios'!$B$53:$B$60,0),MATCH(AB$2,'PAMS and scenarios'!$I$52:$Q$52,0))</f>
        <v>0</v>
      </c>
      <c r="AC242" s="620">
        <f>AB242+($AG242-$AB242)/4</f>
        <v>0</v>
      </c>
      <c r="AD242" s="620">
        <f>AC242+($AG242-$AB242)/4</f>
        <v>0</v>
      </c>
      <c r="AE242" s="620">
        <f>AD242+($AG242-$AB242)/4</f>
        <v>0</v>
      </c>
      <c r="AF242" s="620">
        <f>AE242+($AG242-$AB242)/4</f>
        <v>0</v>
      </c>
      <c r="AG242" s="620">
        <f>INDEX('PAMS and scenarios'!$I$53:$Q$60,MATCH($C242,'PAMS and scenarios'!$B$53:$B$60,0),MATCH(AG$2,'PAMS and scenarios'!$I$52:$Q$52,0))</f>
        <v>0</v>
      </c>
      <c r="AH242" s="620">
        <f>AG242+($AM242-$AG242)/4</f>
        <v>0</v>
      </c>
      <c r="AI242" s="620">
        <f>AH242+($AM242-$AG242)/4</f>
        <v>0</v>
      </c>
      <c r="AJ242" s="620">
        <f>AI242+($AM242-$AG242)/4</f>
        <v>0</v>
      </c>
      <c r="AK242" s="620">
        <f>AJ242+($AM242-$AG242)/4</f>
        <v>0</v>
      </c>
      <c r="AL242" s="620">
        <f>INDEX('PAMS and scenarios'!$I$53:$Q$60,MATCH($C242,'PAMS and scenarios'!$B$53:$B$60,0),MATCH(AL$2,'PAMS and scenarios'!$I$52:$Q$52,0))</f>
        <v>0</v>
      </c>
      <c r="AM242" s="620">
        <f>INDEX('PAMS and scenarios'!$I$53:$Q$60,MATCH($C242,'PAMS and scenarios'!$B$53:$B$60,0),MATCH(AM$2,'PAMS and scenarios'!$I$52:$Q$52,0))</f>
        <v>0</v>
      </c>
      <c r="AN242" s="620">
        <f>INDEX('PAMS and scenarios'!$I$53:$Q$60,MATCH($C242,'PAMS and scenarios'!$B$53:$B$60,0),MATCH(AN$2,'PAMS and scenarios'!$I$52:$Q$52,0))</f>
        <v>0</v>
      </c>
    </row>
    <row r="243" spans="1:40">
      <c r="A243" s="113" t="s">
        <v>1050</v>
      </c>
      <c r="B243" s="113" t="s">
        <v>1436</v>
      </c>
      <c r="C243" s="113" t="s">
        <v>1423</v>
      </c>
      <c r="D243" s="113" t="s">
        <v>1429</v>
      </c>
      <c r="E243" s="113" t="s">
        <v>1446</v>
      </c>
      <c r="F243" s="113" t="s">
        <v>705</v>
      </c>
      <c r="G243" s="113" t="s">
        <v>1099</v>
      </c>
      <c r="H243" s="113" t="s">
        <v>705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1:40">
      <c r="A244" s="113" t="s">
        <v>1050</v>
      </c>
      <c r="B244" s="113" t="s">
        <v>1436</v>
      </c>
      <c r="C244" s="113" t="s">
        <v>1419</v>
      </c>
      <c r="D244" s="113" t="s">
        <v>1429</v>
      </c>
      <c r="E244" s="113" t="s">
        <v>1433</v>
      </c>
      <c r="F244" s="113" t="s">
        <v>705</v>
      </c>
      <c r="G244" s="113" t="s">
        <v>1099</v>
      </c>
      <c r="H244" s="113" t="s">
        <v>705</v>
      </c>
      <c r="I244" s="620">
        <f>'PAMS and scenarios'!F$65</f>
        <v>0</v>
      </c>
      <c r="J244" s="620">
        <f>INDEX('PAMS and scenarios'!$I$53:$Q$60,MATCH($C244,'PAMS and scenarios'!$B$53:$B$60,0),MATCH(J$2,'PAMS and scenarios'!$I$52:$Q$52,0))</f>
        <v>0</v>
      </c>
      <c r="K244" s="620">
        <f>J244+($M244-$J244)/3</f>
        <v>0</v>
      </c>
      <c r="L244" s="620">
        <f>K244+($M244-$J244)/3</f>
        <v>0</v>
      </c>
      <c r="M244" s="620">
        <f>INDEX('PAMS and scenarios'!$I$53:$Q$60,MATCH($C244,'PAMS and scenarios'!$B$53:$B$60,0),MATCH(M$2,'PAMS and scenarios'!$I$52:$Q$52,0))</f>
        <v>0</v>
      </c>
      <c r="N244" s="620">
        <f>M244+($R244-$M244)/3</f>
        <v>0</v>
      </c>
      <c r="O244" s="620">
        <f>N244+($R244-$M244)/3</f>
        <v>0</v>
      </c>
      <c r="P244" s="620">
        <f>O244+($R244-$M244)/3</f>
        <v>0</v>
      </c>
      <c r="Q244" s="620">
        <f>P244+($R244-$M244)/3</f>
        <v>0</v>
      </c>
      <c r="R244" s="620">
        <f>INDEX('PAMS and scenarios'!$I$53:$Q$60,MATCH($C244,'PAMS and scenarios'!$B$53:$B$60,0),MATCH(R$2,'PAMS and scenarios'!$I$52:$Q$52,0))</f>
        <v>0</v>
      </c>
      <c r="S244" s="620">
        <f>R244+($W244-$R244)/4</f>
        <v>0</v>
      </c>
      <c r="T244" s="620">
        <f>S244+($W244-$R244)/4</f>
        <v>0</v>
      </c>
      <c r="U244" s="620">
        <f>T244+($W244-$R244)/4</f>
        <v>0</v>
      </c>
      <c r="V244" s="620">
        <f>U244+($W244-$R244)/4</f>
        <v>0</v>
      </c>
      <c r="W244" s="620">
        <f>INDEX('PAMS and scenarios'!$I$53:$Q$60,MATCH($C244,'PAMS and scenarios'!$B$53:$B$60,0),MATCH(W$2,'PAMS and scenarios'!$I$52:$Q$52,0))</f>
        <v>0</v>
      </c>
      <c r="X244" s="620">
        <f>W244+($AB244-$W244)/4</f>
        <v>0</v>
      </c>
      <c r="Y244" s="620">
        <f>X244+($AB244-$W244)/4</f>
        <v>0</v>
      </c>
      <c r="Z244" s="620">
        <f>Y244+($AB244-$W244)/4</f>
        <v>0</v>
      </c>
      <c r="AA244" s="620">
        <f>Z244+($AB244-$W244)/4</f>
        <v>0</v>
      </c>
      <c r="AB244" s="620">
        <f>INDEX('PAMS and scenarios'!$I$53:$Q$60,MATCH($C244,'PAMS and scenarios'!$B$53:$B$60,0),MATCH(AB$2,'PAMS and scenarios'!$I$52:$Q$52,0))</f>
        <v>0</v>
      </c>
      <c r="AC244" s="620">
        <f>AB244+($AG244-$AB244)/4</f>
        <v>0</v>
      </c>
      <c r="AD244" s="620">
        <f>AC244+($AG244-$AB244)/4</f>
        <v>0</v>
      </c>
      <c r="AE244" s="620">
        <f>AD244+($AG244-$AB244)/4</f>
        <v>0</v>
      </c>
      <c r="AF244" s="620">
        <f>AE244+($AG244-$AB244)/4</f>
        <v>0</v>
      </c>
      <c r="AG244" s="620">
        <f>INDEX('PAMS and scenarios'!$I$53:$Q$60,MATCH($C244,'PAMS and scenarios'!$B$53:$B$60,0),MATCH(AG$2,'PAMS and scenarios'!$I$52:$Q$52,0))</f>
        <v>0</v>
      </c>
      <c r="AH244" s="620">
        <f>AG244+($AM244-$AG244)/4</f>
        <v>0</v>
      </c>
      <c r="AI244" s="620">
        <f>AH244+($AM244-$AG244)/4</f>
        <v>0</v>
      </c>
      <c r="AJ244" s="620">
        <f>AI244+($AM244-$AG244)/4</f>
        <v>0</v>
      </c>
      <c r="AK244" s="620">
        <f>AJ244+($AM244-$AG244)/4</f>
        <v>0</v>
      </c>
      <c r="AL244" s="620">
        <f>INDEX('PAMS and scenarios'!$I$53:$Q$60,MATCH($C244,'PAMS and scenarios'!$B$53:$B$60,0),MATCH(AL$2,'PAMS and scenarios'!$I$52:$Q$52,0))</f>
        <v>0</v>
      </c>
      <c r="AM244" s="620">
        <f>INDEX('PAMS and scenarios'!$I$53:$Q$60,MATCH($C244,'PAMS and scenarios'!$B$53:$B$60,0),MATCH(AM$2,'PAMS and scenarios'!$I$52:$Q$52,0))</f>
        <v>0</v>
      </c>
      <c r="AN244" s="620">
        <f>INDEX('PAMS and scenarios'!$I$53:$Q$60,MATCH($C244,'PAMS and scenarios'!$B$53:$B$60,0),MATCH(AN$2,'PAMS and scenarios'!$I$52:$Q$52,0))</f>
        <v>0</v>
      </c>
    </row>
    <row r="245" spans="1:40">
      <c r="A245" s="113" t="s">
        <v>1050</v>
      </c>
      <c r="B245" s="113" t="s">
        <v>1436</v>
      </c>
      <c r="C245" s="113" t="s">
        <v>1419</v>
      </c>
      <c r="D245" s="113" t="s">
        <v>1429</v>
      </c>
      <c r="E245" s="113" t="s">
        <v>1445</v>
      </c>
      <c r="F245" s="113" t="s">
        <v>705</v>
      </c>
      <c r="G245" s="113" t="s">
        <v>1099</v>
      </c>
      <c r="H245" s="113" t="s">
        <v>705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1:40">
      <c r="A246" s="113" t="s">
        <v>1050</v>
      </c>
      <c r="B246" s="113" t="s">
        <v>1436</v>
      </c>
      <c r="C246" s="113" t="s">
        <v>1417</v>
      </c>
      <c r="D246" s="113" t="s">
        <v>1429</v>
      </c>
      <c r="E246" s="113" t="s">
        <v>1433</v>
      </c>
      <c r="F246" s="113" t="s">
        <v>705</v>
      </c>
      <c r="G246" s="113" t="s">
        <v>1099</v>
      </c>
      <c r="H246" s="113" t="s">
        <v>705</v>
      </c>
      <c r="I246" s="620">
        <f>'PAMS and scenarios'!F$65</f>
        <v>0</v>
      </c>
      <c r="J246" s="620">
        <f>INDEX('PAMS and scenarios'!$I$53:$Q$60,MATCH($C246,'PAMS and scenarios'!$B$53:$B$60,0),MATCH(J$2,'PAMS and scenarios'!$I$52:$Q$52,0))</f>
        <v>0</v>
      </c>
      <c r="K246" s="620">
        <f>J246+($M246-$J246)/3</f>
        <v>0</v>
      </c>
      <c r="L246" s="620">
        <f>K246+($M246-$J246)/3</f>
        <v>0</v>
      </c>
      <c r="M246" s="620">
        <f>INDEX('PAMS and scenarios'!$I$53:$Q$60,MATCH($C246,'PAMS and scenarios'!$B$53:$B$60,0),MATCH(M$2,'PAMS and scenarios'!$I$52:$Q$52,0))</f>
        <v>0</v>
      </c>
      <c r="N246" s="620">
        <f>M246+($R246-$M246)/3</f>
        <v>0</v>
      </c>
      <c r="O246" s="620">
        <f>N246+($R246-$M246)/3</f>
        <v>0</v>
      </c>
      <c r="P246" s="620">
        <f>O246+($R246-$M246)/3</f>
        <v>0</v>
      </c>
      <c r="Q246" s="620">
        <f>P246+($R246-$M246)/3</f>
        <v>0</v>
      </c>
      <c r="R246" s="620">
        <f>INDEX('PAMS and scenarios'!$I$53:$Q$60,MATCH($C246,'PAMS and scenarios'!$B$53:$B$60,0),MATCH(R$2,'PAMS and scenarios'!$I$52:$Q$52,0))</f>
        <v>0</v>
      </c>
      <c r="S246" s="620">
        <f>R246+($W246-$R246)/4</f>
        <v>0</v>
      </c>
      <c r="T246" s="620">
        <f>S246+($W246-$R246)/4</f>
        <v>0</v>
      </c>
      <c r="U246" s="620">
        <f>T246+($W246-$R246)/4</f>
        <v>0</v>
      </c>
      <c r="V246" s="620">
        <f>U246+($W246-$R246)/4</f>
        <v>0</v>
      </c>
      <c r="W246" s="620">
        <f>INDEX('PAMS and scenarios'!$I$53:$Q$60,MATCH($C246,'PAMS and scenarios'!$B$53:$B$60,0),MATCH(W$2,'PAMS and scenarios'!$I$52:$Q$52,0))</f>
        <v>0</v>
      </c>
      <c r="X246" s="620">
        <f>W246+($AB246-$W246)/4</f>
        <v>0</v>
      </c>
      <c r="Y246" s="620">
        <f>X246+($AB246-$W246)/4</f>
        <v>0</v>
      </c>
      <c r="Z246" s="620">
        <f>Y246+($AB246-$W246)/4</f>
        <v>0</v>
      </c>
      <c r="AA246" s="620">
        <f>Z246+($AB246-$W246)/4</f>
        <v>0</v>
      </c>
      <c r="AB246" s="620">
        <f>INDEX('PAMS and scenarios'!$I$53:$Q$60,MATCH($C246,'PAMS and scenarios'!$B$53:$B$60,0),MATCH(AB$2,'PAMS and scenarios'!$I$52:$Q$52,0))</f>
        <v>0</v>
      </c>
      <c r="AC246" s="620">
        <f>AB246+($AG246-$AB246)/4</f>
        <v>0</v>
      </c>
      <c r="AD246" s="620">
        <f>AC246+($AG246-$AB246)/4</f>
        <v>0</v>
      </c>
      <c r="AE246" s="620">
        <f>AD246+($AG246-$AB246)/4</f>
        <v>0</v>
      </c>
      <c r="AF246" s="620">
        <f>AE246+($AG246-$AB246)/4</f>
        <v>0</v>
      </c>
      <c r="AG246" s="620">
        <f>INDEX('PAMS and scenarios'!$I$53:$Q$60,MATCH($C246,'PAMS and scenarios'!$B$53:$B$60,0),MATCH(AG$2,'PAMS and scenarios'!$I$52:$Q$52,0))</f>
        <v>0</v>
      </c>
      <c r="AH246" s="620">
        <f>AG246+($AM246-$AG246)/4</f>
        <v>0</v>
      </c>
      <c r="AI246" s="620">
        <f>AH246+($AM246-$AG246)/4</f>
        <v>0</v>
      </c>
      <c r="AJ246" s="620">
        <f>AI246+($AM246-$AG246)/4</f>
        <v>0</v>
      </c>
      <c r="AK246" s="620">
        <f>AJ246+($AM246-$AG246)/4</f>
        <v>0</v>
      </c>
      <c r="AL246" s="620">
        <f>INDEX('PAMS and scenarios'!$I$53:$Q$60,MATCH($C246,'PAMS and scenarios'!$B$53:$B$60,0),MATCH(AL$2,'PAMS and scenarios'!$I$52:$Q$52,0))</f>
        <v>0</v>
      </c>
      <c r="AM246" s="620">
        <f>INDEX('PAMS and scenarios'!$I$53:$Q$60,MATCH($C246,'PAMS and scenarios'!$B$53:$B$60,0),MATCH(AM$2,'PAMS and scenarios'!$I$52:$Q$52,0))</f>
        <v>0</v>
      </c>
      <c r="AN246" s="620">
        <f>INDEX('PAMS and scenarios'!$I$53:$Q$60,MATCH($C246,'PAMS and scenarios'!$B$53:$B$60,0),MATCH(AN$2,'PAMS and scenarios'!$I$52:$Q$52,0))</f>
        <v>0</v>
      </c>
    </row>
    <row r="247" spans="1:40">
      <c r="A247" s="113" t="s">
        <v>1050</v>
      </c>
      <c r="B247" s="113" t="s">
        <v>1436</v>
      </c>
      <c r="C247" s="113" t="s">
        <v>1417</v>
      </c>
      <c r="D247" s="113" t="s">
        <v>1429</v>
      </c>
      <c r="E247" s="113" t="s">
        <v>1444</v>
      </c>
      <c r="F247" s="113" t="s">
        <v>705</v>
      </c>
      <c r="G247" s="113" t="s">
        <v>1099</v>
      </c>
      <c r="H247" s="113" t="s">
        <v>705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1:40">
      <c r="A248" s="113" t="s">
        <v>1050</v>
      </c>
      <c r="B248" s="113" t="s">
        <v>1436</v>
      </c>
      <c r="C248" s="113" t="s">
        <v>1413</v>
      </c>
      <c r="D248" s="113" t="s">
        <v>1429</v>
      </c>
      <c r="E248" s="113" t="s">
        <v>1432</v>
      </c>
      <c r="F248" s="113" t="s">
        <v>705</v>
      </c>
      <c r="G248" s="113" t="s">
        <v>1099</v>
      </c>
      <c r="H248" s="113" t="s">
        <v>705</v>
      </c>
      <c r="I248" s="620">
        <f>'PAMS and scenarios'!F$65</f>
        <v>0</v>
      </c>
      <c r="J248" s="620">
        <f>INDEX('PAMS and scenarios'!$I$53:$Q$60,MATCH($C248,'PAMS and scenarios'!$B$53:$B$60,0),MATCH(J$2,'PAMS and scenarios'!$I$52:$Q$52,0))</f>
        <v>0</v>
      </c>
      <c r="K248" s="620">
        <f>J248+($M248-$J248)/3</f>
        <v>0</v>
      </c>
      <c r="L248" s="620">
        <f>K248+($M248-$J248)/3</f>
        <v>0</v>
      </c>
      <c r="M248" s="620">
        <f>INDEX('PAMS and scenarios'!$I$53:$Q$60,MATCH($C248,'PAMS and scenarios'!$B$53:$B$60,0),MATCH(M$2,'PAMS and scenarios'!$I$52:$Q$52,0))</f>
        <v>0</v>
      </c>
      <c r="N248" s="620">
        <f>M248+($R248-$M248)/3</f>
        <v>0</v>
      </c>
      <c r="O248" s="620">
        <f>N248+($R248-$M248)/3</f>
        <v>0</v>
      </c>
      <c r="P248" s="620">
        <f>O248+($R248-$M248)/3</f>
        <v>0</v>
      </c>
      <c r="Q248" s="620">
        <f>P248+($R248-$M248)/3</f>
        <v>0</v>
      </c>
      <c r="R248" s="620">
        <f>INDEX('PAMS and scenarios'!$I$53:$Q$60,MATCH($C248,'PAMS and scenarios'!$B$53:$B$60,0),MATCH(R$2,'PAMS and scenarios'!$I$52:$Q$52,0))</f>
        <v>0</v>
      </c>
      <c r="S248" s="620">
        <f>R248+($W248-$R248)/4</f>
        <v>0</v>
      </c>
      <c r="T248" s="620">
        <f>S248+($W248-$R248)/4</f>
        <v>0</v>
      </c>
      <c r="U248" s="620">
        <f>T248+($W248-$R248)/4</f>
        <v>0</v>
      </c>
      <c r="V248" s="620">
        <f>U248+($W248-$R248)/4</f>
        <v>0</v>
      </c>
      <c r="W248" s="620">
        <f>INDEX('PAMS and scenarios'!$I$53:$Q$60,MATCH($C248,'PAMS and scenarios'!$B$53:$B$60,0),MATCH(W$2,'PAMS and scenarios'!$I$52:$Q$52,0))</f>
        <v>0</v>
      </c>
      <c r="X248" s="620">
        <f>W248+($AB248-$W248)/4</f>
        <v>0</v>
      </c>
      <c r="Y248" s="620">
        <f>X248+($AB248-$W248)/4</f>
        <v>0</v>
      </c>
      <c r="Z248" s="620">
        <f>Y248+($AB248-$W248)/4</f>
        <v>0</v>
      </c>
      <c r="AA248" s="620">
        <f>Z248+($AB248-$W248)/4</f>
        <v>0</v>
      </c>
      <c r="AB248" s="620">
        <f>INDEX('PAMS and scenarios'!$I$53:$Q$60,MATCH($C248,'PAMS and scenarios'!$B$53:$B$60,0),MATCH(AB$2,'PAMS and scenarios'!$I$52:$Q$52,0))</f>
        <v>0</v>
      </c>
      <c r="AC248" s="620">
        <f>AB248+($AG248-$AB248)/4</f>
        <v>0</v>
      </c>
      <c r="AD248" s="620">
        <f>AC248+($AG248-$AB248)/4</f>
        <v>0</v>
      </c>
      <c r="AE248" s="620">
        <f>AD248+($AG248-$AB248)/4</f>
        <v>0</v>
      </c>
      <c r="AF248" s="620">
        <f>AE248+($AG248-$AB248)/4</f>
        <v>0</v>
      </c>
      <c r="AG248" s="620">
        <f>INDEX('PAMS and scenarios'!$I$53:$Q$60,MATCH($C248,'PAMS and scenarios'!$B$53:$B$60,0),MATCH(AG$2,'PAMS and scenarios'!$I$52:$Q$52,0))</f>
        <v>0</v>
      </c>
      <c r="AH248" s="620">
        <f>AG248+($AM248-$AG248)/4</f>
        <v>0</v>
      </c>
      <c r="AI248" s="620">
        <f>AH248+($AM248-$AG248)/4</f>
        <v>0</v>
      </c>
      <c r="AJ248" s="620">
        <f>AI248+($AM248-$AG248)/4</f>
        <v>0</v>
      </c>
      <c r="AK248" s="620">
        <f>AJ248+($AM248-$AG248)/4</f>
        <v>0</v>
      </c>
      <c r="AL248" s="620">
        <f>INDEX('PAMS and scenarios'!$I$53:$Q$60,MATCH($C248,'PAMS and scenarios'!$B$53:$B$60,0),MATCH(AL$2,'PAMS and scenarios'!$I$52:$Q$52,0))</f>
        <v>0</v>
      </c>
      <c r="AM248" s="620">
        <f>INDEX('PAMS and scenarios'!$I$53:$Q$60,MATCH($C248,'PAMS and scenarios'!$B$53:$B$60,0),MATCH(AM$2,'PAMS and scenarios'!$I$52:$Q$52,0))</f>
        <v>0</v>
      </c>
      <c r="AN248" s="620">
        <f>INDEX('PAMS and scenarios'!$I$53:$Q$60,MATCH($C248,'PAMS and scenarios'!$B$53:$B$60,0),MATCH(AN$2,'PAMS and scenarios'!$I$52:$Q$52,0))</f>
        <v>0</v>
      </c>
    </row>
    <row r="249" spans="1:40">
      <c r="A249" s="113" t="s">
        <v>1050</v>
      </c>
      <c r="B249" s="113" t="s">
        <v>1436</v>
      </c>
      <c r="C249" s="113" t="s">
        <v>1413</v>
      </c>
      <c r="D249" s="113" t="s">
        <v>1429</v>
      </c>
      <c r="E249" s="113" t="s">
        <v>1443</v>
      </c>
      <c r="F249" s="113" t="s">
        <v>705</v>
      </c>
      <c r="G249" s="113" t="s">
        <v>1099</v>
      </c>
      <c r="H249" s="113" t="s">
        <v>705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1:40">
      <c r="A250" s="113" t="s">
        <v>1050</v>
      </c>
      <c r="B250" s="113" t="s">
        <v>1436</v>
      </c>
      <c r="C250" s="113" t="s">
        <v>1411</v>
      </c>
      <c r="D250" s="113" t="s">
        <v>1429</v>
      </c>
      <c r="E250" s="113" t="s">
        <v>1432</v>
      </c>
      <c r="F250" s="113" t="s">
        <v>705</v>
      </c>
      <c r="G250" s="113" t="s">
        <v>1099</v>
      </c>
      <c r="H250" s="113" t="s">
        <v>705</v>
      </c>
      <c r="I250" s="620">
        <f>'PAMS and scenarios'!F$65</f>
        <v>0</v>
      </c>
      <c r="J250" s="620">
        <f>INDEX('PAMS and scenarios'!$I$53:$Q$60,MATCH($C250,'PAMS and scenarios'!$B$53:$B$60,0),MATCH(J$2,'PAMS and scenarios'!$I$52:$Q$52,0))</f>
        <v>0</v>
      </c>
      <c r="K250" s="620">
        <f>J250+($M250-$J250)/3</f>
        <v>0</v>
      </c>
      <c r="L250" s="620">
        <f>K250+($M250-$J250)/3</f>
        <v>0</v>
      </c>
      <c r="M250" s="620">
        <f>INDEX('PAMS and scenarios'!$I$53:$Q$60,MATCH($C250,'PAMS and scenarios'!$B$53:$B$60,0),MATCH(M$2,'PAMS and scenarios'!$I$52:$Q$52,0))</f>
        <v>0</v>
      </c>
      <c r="N250" s="620">
        <f>M250+($R250-$M250)/3</f>
        <v>0</v>
      </c>
      <c r="O250" s="620">
        <f>N250+($R250-$M250)/3</f>
        <v>0</v>
      </c>
      <c r="P250" s="620">
        <f>O250+($R250-$M250)/3</f>
        <v>0</v>
      </c>
      <c r="Q250" s="620">
        <f>P250+($R250-$M250)/3</f>
        <v>0</v>
      </c>
      <c r="R250" s="620">
        <f>INDEX('PAMS and scenarios'!$I$53:$Q$60,MATCH($C250,'PAMS and scenarios'!$B$53:$B$60,0),MATCH(R$2,'PAMS and scenarios'!$I$52:$Q$52,0))</f>
        <v>0</v>
      </c>
      <c r="S250" s="620">
        <f>R250+($W250-$R250)/4</f>
        <v>0</v>
      </c>
      <c r="T250" s="620">
        <f>S250+($W250-$R250)/4</f>
        <v>0</v>
      </c>
      <c r="U250" s="620">
        <f>T250+($W250-$R250)/4</f>
        <v>0</v>
      </c>
      <c r="V250" s="620">
        <f>U250+($W250-$R250)/4</f>
        <v>0</v>
      </c>
      <c r="W250" s="620">
        <f>INDEX('PAMS and scenarios'!$I$53:$Q$60,MATCH($C250,'PAMS and scenarios'!$B$53:$B$60,0),MATCH(W$2,'PAMS and scenarios'!$I$52:$Q$52,0))</f>
        <v>0</v>
      </c>
      <c r="X250" s="620">
        <f>W250+($AB250-$W250)/4</f>
        <v>0</v>
      </c>
      <c r="Y250" s="620">
        <f>X250+($AB250-$W250)/4</f>
        <v>0</v>
      </c>
      <c r="Z250" s="620">
        <f>Y250+($AB250-$W250)/4</f>
        <v>0</v>
      </c>
      <c r="AA250" s="620">
        <f>Z250+($AB250-$W250)/4</f>
        <v>0</v>
      </c>
      <c r="AB250" s="620">
        <f>INDEX('PAMS and scenarios'!$I$53:$Q$60,MATCH($C250,'PAMS and scenarios'!$B$53:$B$60,0),MATCH(AB$2,'PAMS and scenarios'!$I$52:$Q$52,0))</f>
        <v>0</v>
      </c>
      <c r="AC250" s="620">
        <f>AB250+($AG250-$AB250)/4</f>
        <v>0</v>
      </c>
      <c r="AD250" s="620">
        <f>AC250+($AG250-$AB250)/4</f>
        <v>0</v>
      </c>
      <c r="AE250" s="620">
        <f>AD250+($AG250-$AB250)/4</f>
        <v>0</v>
      </c>
      <c r="AF250" s="620">
        <f>AE250+($AG250-$AB250)/4</f>
        <v>0</v>
      </c>
      <c r="AG250" s="620">
        <f>INDEX('PAMS and scenarios'!$I$53:$Q$60,MATCH($C250,'PAMS and scenarios'!$B$53:$B$60,0),MATCH(AG$2,'PAMS and scenarios'!$I$52:$Q$52,0))</f>
        <v>0</v>
      </c>
      <c r="AH250" s="620">
        <f>AG250+($AM250-$AG250)/4</f>
        <v>0</v>
      </c>
      <c r="AI250" s="620">
        <f>AH250+($AM250-$AG250)/4</f>
        <v>0</v>
      </c>
      <c r="AJ250" s="620">
        <f>AI250+($AM250-$AG250)/4</f>
        <v>0</v>
      </c>
      <c r="AK250" s="620">
        <f>AJ250+($AM250-$AG250)/4</f>
        <v>0</v>
      </c>
      <c r="AL250" s="620">
        <f>INDEX('PAMS and scenarios'!$I$53:$Q$60,MATCH($C250,'PAMS and scenarios'!$B$53:$B$60,0),MATCH(AL$2,'PAMS and scenarios'!$I$52:$Q$52,0))</f>
        <v>0</v>
      </c>
      <c r="AM250" s="620">
        <f>INDEX('PAMS and scenarios'!$I$53:$Q$60,MATCH($C250,'PAMS and scenarios'!$B$53:$B$60,0),MATCH(AM$2,'PAMS and scenarios'!$I$52:$Q$52,0))</f>
        <v>0</v>
      </c>
      <c r="AN250" s="620">
        <f>INDEX('PAMS and scenarios'!$I$53:$Q$60,MATCH($C250,'PAMS and scenarios'!$B$53:$B$60,0),MATCH(AN$2,'PAMS and scenarios'!$I$52:$Q$52,0))</f>
        <v>0</v>
      </c>
    </row>
    <row r="251" spans="1:40">
      <c r="A251" s="113" t="s">
        <v>1050</v>
      </c>
      <c r="B251" s="113" t="s">
        <v>1436</v>
      </c>
      <c r="C251" s="113" t="s">
        <v>1411</v>
      </c>
      <c r="D251" s="113" t="s">
        <v>1429</v>
      </c>
      <c r="E251" s="113" t="s">
        <v>1442</v>
      </c>
      <c r="F251" s="113" t="s">
        <v>705</v>
      </c>
      <c r="G251" s="113" t="s">
        <v>1099</v>
      </c>
      <c r="H251" s="113" t="s">
        <v>705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1:40">
      <c r="A252" s="113" t="s">
        <v>1050</v>
      </c>
      <c r="B252" s="113" t="s">
        <v>1436</v>
      </c>
      <c r="C252" s="113" t="s">
        <v>1407</v>
      </c>
      <c r="D252" s="113" t="s">
        <v>1429</v>
      </c>
      <c r="E252" s="113" t="s">
        <v>1431</v>
      </c>
      <c r="F252" s="113" t="s">
        <v>705</v>
      </c>
      <c r="G252" s="113" t="s">
        <v>1099</v>
      </c>
      <c r="H252" s="113" t="s">
        <v>705</v>
      </c>
      <c r="I252" s="620">
        <f>'PAMS and scenarios'!F$65</f>
        <v>0</v>
      </c>
      <c r="J252" s="620">
        <f>INDEX('PAMS and scenarios'!$I$53:$Q$60,MATCH($C252,'PAMS and scenarios'!$B$53:$B$60,0),MATCH(J$2,'PAMS and scenarios'!$I$52:$Q$52,0))</f>
        <v>0</v>
      </c>
      <c r="K252" s="620">
        <f>J252+($M252-$J252)/3</f>
        <v>0</v>
      </c>
      <c r="L252" s="620">
        <f>K252+($M252-$J252)/3</f>
        <v>0</v>
      </c>
      <c r="M252" s="620">
        <f>INDEX('PAMS and scenarios'!$I$53:$Q$60,MATCH($C252,'PAMS and scenarios'!$B$53:$B$60,0),MATCH(M$2,'PAMS and scenarios'!$I$52:$Q$52,0))</f>
        <v>0</v>
      </c>
      <c r="N252" s="620">
        <f>M252+($R252-$M252)/3</f>
        <v>0</v>
      </c>
      <c r="O252" s="620">
        <f>N252+($R252-$M252)/3</f>
        <v>0</v>
      </c>
      <c r="P252" s="620">
        <f>O252+($R252-$M252)/3</f>
        <v>0</v>
      </c>
      <c r="Q252" s="620">
        <f>P252+($R252-$M252)/3</f>
        <v>0</v>
      </c>
      <c r="R252" s="620">
        <f>INDEX('PAMS and scenarios'!$I$53:$Q$60,MATCH($C252,'PAMS and scenarios'!$B$53:$B$60,0),MATCH(R$2,'PAMS and scenarios'!$I$52:$Q$52,0))</f>
        <v>0</v>
      </c>
      <c r="S252" s="620">
        <f>R252+($W252-$R252)/4</f>
        <v>0</v>
      </c>
      <c r="T252" s="620">
        <f>S252+($W252-$R252)/4</f>
        <v>0</v>
      </c>
      <c r="U252" s="620">
        <f>T252+($W252-$R252)/4</f>
        <v>0</v>
      </c>
      <c r="V252" s="620">
        <f>U252+($W252-$R252)/4</f>
        <v>0</v>
      </c>
      <c r="W252" s="620">
        <f>INDEX('PAMS and scenarios'!$I$53:$Q$60,MATCH($C252,'PAMS and scenarios'!$B$53:$B$60,0),MATCH(W$2,'PAMS and scenarios'!$I$52:$Q$52,0))</f>
        <v>0</v>
      </c>
      <c r="X252" s="620">
        <f>W252+($AB252-$W252)/4</f>
        <v>0</v>
      </c>
      <c r="Y252" s="620">
        <f>X252+($AB252-$W252)/4</f>
        <v>0</v>
      </c>
      <c r="Z252" s="620">
        <f>Y252+($AB252-$W252)/4</f>
        <v>0</v>
      </c>
      <c r="AA252" s="620">
        <f>Z252+($AB252-$W252)/4</f>
        <v>0</v>
      </c>
      <c r="AB252" s="620">
        <f>INDEX('PAMS and scenarios'!$I$53:$Q$60,MATCH($C252,'PAMS and scenarios'!$B$53:$B$60,0),MATCH(AB$2,'PAMS and scenarios'!$I$52:$Q$52,0))</f>
        <v>0</v>
      </c>
      <c r="AC252" s="620">
        <f>AB252+($AG252-$AB252)/4</f>
        <v>0</v>
      </c>
      <c r="AD252" s="620">
        <f>AC252+($AG252-$AB252)/4</f>
        <v>0</v>
      </c>
      <c r="AE252" s="620">
        <f>AD252+($AG252-$AB252)/4</f>
        <v>0</v>
      </c>
      <c r="AF252" s="620">
        <f>AE252+($AG252-$AB252)/4</f>
        <v>0</v>
      </c>
      <c r="AG252" s="620">
        <f>INDEX('PAMS and scenarios'!$I$53:$Q$60,MATCH($C252,'PAMS and scenarios'!$B$53:$B$60,0),MATCH(AG$2,'PAMS and scenarios'!$I$52:$Q$52,0))</f>
        <v>0</v>
      </c>
      <c r="AH252" s="620">
        <f>AG252+($AM252-$AG252)/4</f>
        <v>0</v>
      </c>
      <c r="AI252" s="620">
        <f>AH252+($AM252-$AG252)/4</f>
        <v>0</v>
      </c>
      <c r="AJ252" s="620">
        <f>AI252+($AM252-$AG252)/4</f>
        <v>0</v>
      </c>
      <c r="AK252" s="620">
        <f>AJ252+($AM252-$AG252)/4</f>
        <v>0</v>
      </c>
      <c r="AL252" s="620">
        <f>INDEX('PAMS and scenarios'!$I$53:$Q$60,MATCH($C252,'PAMS and scenarios'!$B$53:$B$60,0),MATCH(AL$2,'PAMS and scenarios'!$I$52:$Q$52,0))</f>
        <v>0</v>
      </c>
      <c r="AM252" s="620">
        <f>INDEX('PAMS and scenarios'!$I$53:$Q$60,MATCH($C252,'PAMS and scenarios'!$B$53:$B$60,0),MATCH(AM$2,'PAMS and scenarios'!$I$52:$Q$52,0))</f>
        <v>0</v>
      </c>
      <c r="AN252" s="620">
        <f>INDEX('PAMS and scenarios'!$I$53:$Q$60,MATCH($C252,'PAMS and scenarios'!$B$53:$B$60,0),MATCH(AN$2,'PAMS and scenarios'!$I$52:$Q$52,0))</f>
        <v>0</v>
      </c>
    </row>
    <row r="253" spans="1:40">
      <c r="A253" s="113" t="s">
        <v>1050</v>
      </c>
      <c r="B253" s="113" t="s">
        <v>1436</v>
      </c>
      <c r="C253" s="113" t="s">
        <v>1407</v>
      </c>
      <c r="D253" s="113" t="s">
        <v>1429</v>
      </c>
      <c r="E253" s="113" t="s">
        <v>1441</v>
      </c>
      <c r="F253" s="113" t="s">
        <v>705</v>
      </c>
      <c r="G253" s="113" t="s">
        <v>1099</v>
      </c>
      <c r="H253" s="113" t="s">
        <v>705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1:40">
      <c r="A254" s="113" t="s">
        <v>1050</v>
      </c>
      <c r="B254" s="113" t="s">
        <v>1436</v>
      </c>
      <c r="C254" s="113" t="s">
        <v>1405</v>
      </c>
      <c r="D254" s="113" t="s">
        <v>1429</v>
      </c>
      <c r="E254" s="113" t="s">
        <v>1431</v>
      </c>
      <c r="F254" s="113" t="s">
        <v>705</v>
      </c>
      <c r="G254" s="113" t="s">
        <v>1099</v>
      </c>
      <c r="H254" s="113" t="s">
        <v>705</v>
      </c>
      <c r="I254" s="620">
        <f>'PAMS and scenarios'!F$65</f>
        <v>0</v>
      </c>
      <c r="J254" s="620">
        <f>INDEX('PAMS and scenarios'!$I$53:$Q$60,MATCH($C254,'PAMS and scenarios'!$B$53:$B$60,0),MATCH(J$2,'PAMS and scenarios'!$I$52:$Q$52,0))</f>
        <v>0</v>
      </c>
      <c r="K254" s="620">
        <f>J254+($M254-$J254)/3</f>
        <v>0</v>
      </c>
      <c r="L254" s="620">
        <f>K254+($M254-$J254)/3</f>
        <v>0</v>
      </c>
      <c r="M254" s="620">
        <f>INDEX('PAMS and scenarios'!$I$53:$Q$60,MATCH($C254,'PAMS and scenarios'!$B$53:$B$60,0),MATCH(M$2,'PAMS and scenarios'!$I$52:$Q$52,0))</f>
        <v>0</v>
      </c>
      <c r="N254" s="620">
        <f>M254+($R254-$M254)/3</f>
        <v>0</v>
      </c>
      <c r="O254" s="620">
        <f>N254+($R254-$M254)/3</f>
        <v>0</v>
      </c>
      <c r="P254" s="620">
        <f>O254+($R254-$M254)/3</f>
        <v>0</v>
      </c>
      <c r="Q254" s="620">
        <f>P254+($R254-$M254)/3</f>
        <v>0</v>
      </c>
      <c r="R254" s="620">
        <f>INDEX('PAMS and scenarios'!$I$53:$Q$60,MATCH($C254,'PAMS and scenarios'!$B$53:$B$60,0),MATCH(R$2,'PAMS and scenarios'!$I$52:$Q$52,0))</f>
        <v>0</v>
      </c>
      <c r="S254" s="620">
        <f>R254+($W254-$R254)/4</f>
        <v>0</v>
      </c>
      <c r="T254" s="620">
        <f>S254+($W254-$R254)/4</f>
        <v>0</v>
      </c>
      <c r="U254" s="620">
        <f>T254+($W254-$R254)/4</f>
        <v>0</v>
      </c>
      <c r="V254" s="620">
        <f>U254+($W254-$R254)/4</f>
        <v>0</v>
      </c>
      <c r="W254" s="620">
        <f>INDEX('PAMS and scenarios'!$I$53:$Q$60,MATCH($C254,'PAMS and scenarios'!$B$53:$B$60,0),MATCH(W$2,'PAMS and scenarios'!$I$52:$Q$52,0))</f>
        <v>0</v>
      </c>
      <c r="X254" s="620">
        <f>W254+($AB254-$W254)/4</f>
        <v>0</v>
      </c>
      <c r="Y254" s="620">
        <f>X254+($AB254-$W254)/4</f>
        <v>0</v>
      </c>
      <c r="Z254" s="620">
        <f>Y254+($AB254-$W254)/4</f>
        <v>0</v>
      </c>
      <c r="AA254" s="620">
        <f>Z254+($AB254-$W254)/4</f>
        <v>0</v>
      </c>
      <c r="AB254" s="620">
        <f>INDEX('PAMS and scenarios'!$I$53:$Q$60,MATCH($C254,'PAMS and scenarios'!$B$53:$B$60,0),MATCH(AB$2,'PAMS and scenarios'!$I$52:$Q$52,0))</f>
        <v>0</v>
      </c>
      <c r="AC254" s="620">
        <f>AB254+($AG254-$AB254)/4</f>
        <v>0</v>
      </c>
      <c r="AD254" s="620">
        <f>AC254+($AG254-$AB254)/4</f>
        <v>0</v>
      </c>
      <c r="AE254" s="620">
        <f>AD254+($AG254-$AB254)/4</f>
        <v>0</v>
      </c>
      <c r="AF254" s="620">
        <f>AE254+($AG254-$AB254)/4</f>
        <v>0</v>
      </c>
      <c r="AG254" s="620">
        <f>INDEX('PAMS and scenarios'!$I$53:$Q$60,MATCH($C254,'PAMS and scenarios'!$B$53:$B$60,0),MATCH(AG$2,'PAMS and scenarios'!$I$52:$Q$52,0))</f>
        <v>0</v>
      </c>
      <c r="AH254" s="620">
        <f>AG254+($AM254-$AG254)/4</f>
        <v>0</v>
      </c>
      <c r="AI254" s="620">
        <f>AH254+($AM254-$AG254)/4</f>
        <v>0</v>
      </c>
      <c r="AJ254" s="620">
        <f>AI254+($AM254-$AG254)/4</f>
        <v>0</v>
      </c>
      <c r="AK254" s="620">
        <f>AJ254+($AM254-$AG254)/4</f>
        <v>0</v>
      </c>
      <c r="AL254" s="620">
        <f>INDEX('PAMS and scenarios'!$I$53:$Q$60,MATCH($C254,'PAMS and scenarios'!$B$53:$B$60,0),MATCH(AL$2,'PAMS and scenarios'!$I$52:$Q$52,0))</f>
        <v>0</v>
      </c>
      <c r="AM254" s="620">
        <f>INDEX('PAMS and scenarios'!$I$53:$Q$60,MATCH($C254,'PAMS and scenarios'!$B$53:$B$60,0),MATCH(AM$2,'PAMS and scenarios'!$I$52:$Q$52,0))</f>
        <v>0</v>
      </c>
      <c r="AN254" s="620">
        <f>INDEX('PAMS and scenarios'!$I$53:$Q$60,MATCH($C254,'PAMS and scenarios'!$B$53:$B$60,0),MATCH(AN$2,'PAMS and scenarios'!$I$52:$Q$52,0))</f>
        <v>0</v>
      </c>
    </row>
    <row r="255" spans="1:40">
      <c r="A255" s="113" t="s">
        <v>1050</v>
      </c>
      <c r="B255" s="113" t="s">
        <v>1436</v>
      </c>
      <c r="C255" s="113" t="s">
        <v>1405</v>
      </c>
      <c r="D255" s="113" t="s">
        <v>1429</v>
      </c>
      <c r="E255" s="113" t="s">
        <v>1440</v>
      </c>
      <c r="F255" s="113" t="s">
        <v>705</v>
      </c>
      <c r="G255" s="113" t="s">
        <v>1099</v>
      </c>
      <c r="H255" s="113" t="s">
        <v>705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1:40">
      <c r="B256" s="113" t="s">
        <v>1436</v>
      </c>
      <c r="C256" s="113" t="s">
        <v>1401</v>
      </c>
      <c r="D256" s="113" t="s">
        <v>1429</v>
      </c>
      <c r="E256" s="113" t="s">
        <v>1439</v>
      </c>
      <c r="F256" s="113" t="s">
        <v>705</v>
      </c>
      <c r="G256" s="113" t="s">
        <v>1099</v>
      </c>
      <c r="H256" s="113" t="s">
        <v>705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IF(wastePAM,(R256+(AB256-R256)/2)*(1+'[2]PAMS central control panel'!F274),(R256+(AB256-R256)/2))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Steel'!$D$150*(1+'[2]PAMS central control panel'!G283),'Iron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Steel'!$D$150*(1+'[2]PAMS central control panel'!H283),'Iron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Steel'!$D$150*(1+'[2]PAMS central control panel'!I283),'Iron &amp; Steel'!$D$150)</f>
        <v>-0.3</v>
      </c>
      <c r="AM256" s="622">
        <f>IF(wastePAM,'Iron &amp; Steel'!$D$150*(1+'[2]PAMS central control panel'!J283),'Iron &amp; Steel'!$D$150)</f>
        <v>-0.3</v>
      </c>
      <c r="AN256" s="622">
        <f>IF(wastePAM,'Iron &amp; Steel'!$D$150*(1+'[2]PAMS central control panel'!K283),'Iron &amp; Steel'!$D$150)</f>
        <v>-0.3</v>
      </c>
    </row>
    <row r="257" spans="1:40">
      <c r="B257" s="113" t="s">
        <v>1436</v>
      </c>
      <c r="C257" s="113" t="s">
        <v>1401</v>
      </c>
      <c r="D257" s="113" t="s">
        <v>1429</v>
      </c>
      <c r="E257" s="113" t="s">
        <v>1438</v>
      </c>
      <c r="F257" s="113" t="s">
        <v>705</v>
      </c>
      <c r="G257" s="113" t="s">
        <v>1099</v>
      </c>
      <c r="H257" s="113" t="s">
        <v>705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>
      <c r="B258" s="113" t="s">
        <v>1436</v>
      </c>
      <c r="C258" s="113" t="s">
        <v>1399</v>
      </c>
      <c r="D258" s="113" t="s">
        <v>1429</v>
      </c>
      <c r="E258" s="113" t="s">
        <v>1439</v>
      </c>
      <c r="F258" s="113" t="s">
        <v>705</v>
      </c>
      <c r="G258" s="113" t="s">
        <v>1099</v>
      </c>
      <c r="H258" s="113" t="s">
        <v>705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>
        <v>-0.22</v>
      </c>
      <c r="T258" s="113">
        <f t="shared" ref="T258:AN258" si="27">S258</f>
        <v>-0.22</v>
      </c>
      <c r="U258" s="113">
        <f t="shared" si="27"/>
        <v>-0.22</v>
      </c>
      <c r="V258" s="113">
        <f t="shared" si="27"/>
        <v>-0.22</v>
      </c>
      <c r="W258" s="113">
        <f t="shared" si="27"/>
        <v>-0.22</v>
      </c>
      <c r="X258" s="113">
        <f t="shared" si="27"/>
        <v>-0.22</v>
      </c>
      <c r="Y258" s="113">
        <f t="shared" si="27"/>
        <v>-0.22</v>
      </c>
      <c r="Z258" s="113">
        <f t="shared" si="27"/>
        <v>-0.22</v>
      </c>
      <c r="AA258" s="113">
        <f t="shared" si="27"/>
        <v>-0.22</v>
      </c>
      <c r="AB258" s="113">
        <f t="shared" si="27"/>
        <v>-0.22</v>
      </c>
      <c r="AC258" s="113">
        <f t="shared" si="27"/>
        <v>-0.22</v>
      </c>
      <c r="AD258" s="113">
        <f t="shared" si="27"/>
        <v>-0.22</v>
      </c>
      <c r="AE258" s="113">
        <f t="shared" si="27"/>
        <v>-0.22</v>
      </c>
      <c r="AF258" s="113">
        <f t="shared" si="27"/>
        <v>-0.22</v>
      </c>
      <c r="AG258" s="113">
        <f t="shared" si="27"/>
        <v>-0.22</v>
      </c>
      <c r="AH258" s="113">
        <f t="shared" si="27"/>
        <v>-0.22</v>
      </c>
      <c r="AI258" s="113">
        <f t="shared" si="27"/>
        <v>-0.22</v>
      </c>
      <c r="AJ258" s="113">
        <f t="shared" si="27"/>
        <v>-0.22</v>
      </c>
      <c r="AK258" s="113">
        <f t="shared" si="27"/>
        <v>-0.22</v>
      </c>
      <c r="AL258" s="113">
        <f t="shared" si="27"/>
        <v>-0.22</v>
      </c>
      <c r="AM258" s="113">
        <f t="shared" si="27"/>
        <v>-0.22</v>
      </c>
      <c r="AN258" s="113">
        <f t="shared" si="27"/>
        <v>-0.22</v>
      </c>
    </row>
    <row r="259" spans="1:40">
      <c r="B259" s="113" t="s">
        <v>1436</v>
      </c>
      <c r="C259" s="113" t="s">
        <v>1399</v>
      </c>
      <c r="D259" s="113" t="s">
        <v>1429</v>
      </c>
      <c r="E259" s="113" t="s">
        <v>1438</v>
      </c>
      <c r="F259" s="113" t="s">
        <v>705</v>
      </c>
      <c r="G259" s="113" t="s">
        <v>1099</v>
      </c>
      <c r="H259" s="113" t="s">
        <v>705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>
      <c r="A260" s="113" t="s">
        <v>1050</v>
      </c>
      <c r="B260" s="113" t="s">
        <v>1436</v>
      </c>
      <c r="C260" s="113" t="s">
        <v>1397</v>
      </c>
      <c r="D260" s="113" t="s">
        <v>1429</v>
      </c>
      <c r="E260" s="113" t="s">
        <v>1428</v>
      </c>
      <c r="F260" s="113" t="s">
        <v>705</v>
      </c>
      <c r="G260" s="113" t="s">
        <v>1099</v>
      </c>
      <c r="H260" s="113" t="s">
        <v>705</v>
      </c>
      <c r="I260" s="620">
        <f>'PAMS and scenarios'!F$65</f>
        <v>0</v>
      </c>
      <c r="J260" s="620">
        <f>INDEX('PAMS and scenarios'!$I$53:$Q$62,MATCH($C260,'PAMS and scenarios'!$B$53:$B$62,0),MATCH(J$2,'PAMS and scenarios'!$I$52:$Q$52,0))</f>
        <v>0</v>
      </c>
      <c r="K260" s="620">
        <f>J260+($M260-$J260)/3</f>
        <v>0</v>
      </c>
      <c r="L260" s="620">
        <f>K260+($M260-$J260)/3</f>
        <v>0</v>
      </c>
      <c r="M260" s="620">
        <f>INDEX('PAMS and scenarios'!$I$53:$Q$62,MATCH($C260,'PAMS and scenarios'!$B$53:$B$62,0),MATCH(M$2,'PAMS and scenarios'!$I$52:$Q$52,0))</f>
        <v>0</v>
      </c>
      <c r="N260" s="620">
        <f>M260+($R260-$M260)/3</f>
        <v>0</v>
      </c>
      <c r="O260" s="620">
        <f>N260+($R260-$M260)/3</f>
        <v>0</v>
      </c>
      <c r="P260" s="620">
        <f>O260+($R260-$M260)/3</f>
        <v>0</v>
      </c>
      <c r="Q260" s="620">
        <f>P260+($R260-$M260)/3</f>
        <v>0</v>
      </c>
      <c r="R260" s="620">
        <f>INDEX('PAMS and scenarios'!$I$53:$Q$62,MATCH($C260,'PAMS and scenarios'!$B$53:$B$62,0),MATCH(R$2,'PAMS and scenarios'!$I$52:$Q$52,0))</f>
        <v>0</v>
      </c>
      <c r="S260" s="620">
        <f>R260+($W260-$R260)/4</f>
        <v>0</v>
      </c>
      <c r="T260" s="620">
        <f>S260+($W260-$R260)/4</f>
        <v>0</v>
      </c>
      <c r="U260" s="620">
        <f>T260+($W260-$R260)/4</f>
        <v>0</v>
      </c>
      <c r="V260" s="620">
        <f>U260+($W260-$R260)/4</f>
        <v>0</v>
      </c>
      <c r="W260" s="620">
        <f>INDEX('PAMS and scenarios'!$I$53:$Q$62,MATCH($C260,'PAMS and scenarios'!$B$53:$B$62,0),MATCH(W$2,'PAMS and scenarios'!$I$52:$Q$52,0))</f>
        <v>0</v>
      </c>
      <c r="X260" s="620">
        <f>W260+($AB260-$W260)/4</f>
        <v>0</v>
      </c>
      <c r="Y260" s="620">
        <f>X260+($AB260-$W260)/4</f>
        <v>0</v>
      </c>
      <c r="Z260" s="620">
        <f>Y260+($AB260-$W260)/4</f>
        <v>0</v>
      </c>
      <c r="AA260" s="620">
        <f>Z260+($AB260-$W260)/4</f>
        <v>0</v>
      </c>
      <c r="AB260" s="620">
        <f>INDEX('PAMS and scenarios'!$I$53:$Q$62,MATCH($C260,'PAMS and scenarios'!$B$53:$B$62,0),MATCH(AB$2,'PAMS and scenarios'!$I$52:$Q$52,0))</f>
        <v>0</v>
      </c>
      <c r="AC260" s="620">
        <f>AB260+($AG260-$AB260)/4</f>
        <v>0</v>
      </c>
      <c r="AD260" s="620">
        <f>AC260+($AG260-$AB260)/4</f>
        <v>0</v>
      </c>
      <c r="AE260" s="620">
        <f>AD260+($AG260-$AB260)/4</f>
        <v>0</v>
      </c>
      <c r="AF260" s="620">
        <f>AE260+($AG260-$AB260)/4</f>
        <v>0</v>
      </c>
      <c r="AG260" s="620">
        <f>INDEX('PAMS and scenarios'!$I$53:$Q$62,MATCH($C260,'PAMS and scenarios'!$B$53:$B$62,0),MATCH(AG$2,'PAMS and scenarios'!$I$52:$Q$52,0))</f>
        <v>0</v>
      </c>
      <c r="AH260" s="620">
        <f>AG260+($AM260-$AG260)/4</f>
        <v>0</v>
      </c>
      <c r="AI260" s="620">
        <f>AH260+($AM260-$AG260)/4</f>
        <v>0</v>
      </c>
      <c r="AJ260" s="620">
        <f>AI260+($AM260-$AG260)/4</f>
        <v>0</v>
      </c>
      <c r="AK260" s="620">
        <f>AJ260+($AM260-$AG260)/4</f>
        <v>0</v>
      </c>
      <c r="AL260" s="620">
        <f>INDEX('PAMS and scenarios'!$I$53:$Q$62,MATCH($C260,'PAMS and scenarios'!$B$53:$B$62,0),MATCH(AL$2,'PAMS and scenarios'!$I$52:$Q$52,0))</f>
        <v>0</v>
      </c>
      <c r="AM260" s="620">
        <f>INDEX('PAMS and scenarios'!$I$53:$Q$62,MATCH($C260,'PAMS and scenarios'!$B$53:$B$62,0),MATCH(AM$2,'PAMS and scenarios'!$I$52:$Q$52,0))</f>
        <v>0</v>
      </c>
      <c r="AN260" s="620">
        <f>INDEX('PAMS and scenarios'!$I$53:$Q$62,MATCH($C260,'PAMS and scenarios'!$B$53:$B$62,0),MATCH(AN$2,'PAMS and scenarios'!$I$52:$Q$52,0))</f>
        <v>0</v>
      </c>
    </row>
    <row r="261" spans="1:40">
      <c r="A261" s="113" t="s">
        <v>1050</v>
      </c>
      <c r="B261" s="113" t="s">
        <v>1436</v>
      </c>
      <c r="C261" s="113" t="s">
        <v>1397</v>
      </c>
      <c r="D261" s="113" t="s">
        <v>1429</v>
      </c>
      <c r="E261" s="113" t="s">
        <v>1437</v>
      </c>
      <c r="F261" s="113" t="s">
        <v>705</v>
      </c>
      <c r="G261" s="113" t="s">
        <v>1099</v>
      </c>
      <c r="H261" s="113" t="s">
        <v>705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>
      <c r="A262" s="113" t="s">
        <v>1050</v>
      </c>
      <c r="B262" s="113" t="s">
        <v>1436</v>
      </c>
      <c r="C262" s="113" t="s">
        <v>1394</v>
      </c>
      <c r="D262" s="113" t="s">
        <v>1429</v>
      </c>
      <c r="E262" s="113" t="s">
        <v>1428</v>
      </c>
      <c r="F262" s="113" t="s">
        <v>705</v>
      </c>
      <c r="G262" s="113" t="s">
        <v>1099</v>
      </c>
      <c r="H262" s="113" t="s">
        <v>705</v>
      </c>
      <c r="I262" s="620">
        <f>'PAMS and scenarios'!F$65</f>
        <v>0</v>
      </c>
      <c r="J262" s="620">
        <f>INDEX('PAMS and scenarios'!$I$53:$Q$62,MATCH($C262,'PAMS and scenarios'!$B$53:$B$62,0),MATCH(J$2,'PAMS and scenarios'!$I$52:$Q$52,0))</f>
        <v>0</v>
      </c>
      <c r="K262" s="620">
        <f>J262+($M262-$J262)/3</f>
        <v>0</v>
      </c>
      <c r="L262" s="620">
        <f>K262+($M262-$J262)/3</f>
        <v>0</v>
      </c>
      <c r="M262" s="620">
        <f>INDEX('PAMS and scenarios'!$I$53:$Q$62,MATCH($C262,'PAMS and scenarios'!$B$53:$B$62,0),MATCH(M$2,'PAMS and scenarios'!$I$52:$Q$52,0))</f>
        <v>0</v>
      </c>
      <c r="N262" s="620">
        <f>M262+($R262-$M262)/3</f>
        <v>0</v>
      </c>
      <c r="O262" s="620">
        <f>N262+($R262-$M262)/3</f>
        <v>0</v>
      </c>
      <c r="P262" s="620">
        <f>O262+($R262-$M262)/3</f>
        <v>0</v>
      </c>
      <c r="Q262" s="620">
        <f>P262+($R262-$M262)/3</f>
        <v>0</v>
      </c>
      <c r="R262" s="620">
        <f>INDEX('PAMS and scenarios'!$I$53:$Q$62,MATCH($C262,'PAMS and scenarios'!$B$53:$B$62,0),MATCH(R$2,'PAMS and scenarios'!$I$52:$Q$52,0))</f>
        <v>0</v>
      </c>
      <c r="S262" s="620">
        <f>R262+($W262-$R262)/4</f>
        <v>0</v>
      </c>
      <c r="T262" s="620">
        <f>S262+($W262-$R262)/4</f>
        <v>0</v>
      </c>
      <c r="U262" s="620">
        <f>T262+($W262-$R262)/4</f>
        <v>0</v>
      </c>
      <c r="V262" s="620">
        <f>U262+($W262-$R262)/4</f>
        <v>0</v>
      </c>
      <c r="W262" s="620">
        <f>INDEX('PAMS and scenarios'!$I$53:$Q$62,MATCH($C262,'PAMS and scenarios'!$B$53:$B$62,0),MATCH(W$2,'PAMS and scenarios'!$I$52:$Q$52,0))</f>
        <v>0</v>
      </c>
      <c r="X262" s="620">
        <f>W262+($AB262-$W262)/4</f>
        <v>0</v>
      </c>
      <c r="Y262" s="620">
        <f>X262+($AB262-$W262)/4</f>
        <v>0</v>
      </c>
      <c r="Z262" s="620">
        <f>Y262+($AB262-$W262)/4</f>
        <v>0</v>
      </c>
      <c r="AA262" s="620">
        <f>Z262+($AB262-$W262)/4</f>
        <v>0</v>
      </c>
      <c r="AB262" s="620">
        <f>INDEX('PAMS and scenarios'!$I$53:$Q$62,MATCH($C262,'PAMS and scenarios'!$B$53:$B$62,0),MATCH(AB$2,'PAMS and scenarios'!$I$52:$Q$52,0))</f>
        <v>0</v>
      </c>
      <c r="AC262" s="620">
        <f>AB262+($AG262-$AB262)/4</f>
        <v>0</v>
      </c>
      <c r="AD262" s="620">
        <f>AC262+($AG262-$AB262)/4</f>
        <v>0</v>
      </c>
      <c r="AE262" s="620">
        <f>AD262+($AG262-$AB262)/4</f>
        <v>0</v>
      </c>
      <c r="AF262" s="620">
        <f>AE262+($AG262-$AB262)/4</f>
        <v>0</v>
      </c>
      <c r="AG262" s="620">
        <f>INDEX('PAMS and scenarios'!$I$53:$Q$62,MATCH($C262,'PAMS and scenarios'!$B$53:$B$62,0),MATCH(AG$2,'PAMS and scenarios'!$I$52:$Q$52,0))</f>
        <v>0</v>
      </c>
      <c r="AH262" s="620">
        <f>AG262+($AM262-$AG262)/4</f>
        <v>0</v>
      </c>
      <c r="AI262" s="620">
        <f>AH262+($AM262-$AG262)/4</f>
        <v>0</v>
      </c>
      <c r="AJ262" s="620">
        <f>AI262+($AM262-$AG262)/4</f>
        <v>0</v>
      </c>
      <c r="AK262" s="620">
        <f>AJ262+($AM262-$AG262)/4</f>
        <v>0</v>
      </c>
      <c r="AL262" s="620">
        <f>INDEX('PAMS and scenarios'!$I$53:$Q$62,MATCH($C262,'PAMS and scenarios'!$B$53:$B$62,0),MATCH(AL$2,'PAMS and scenarios'!$I$52:$Q$52,0))</f>
        <v>0</v>
      </c>
      <c r="AM262" s="620">
        <f>INDEX('PAMS and scenarios'!$I$53:$Q$62,MATCH($C262,'PAMS and scenarios'!$B$53:$B$62,0),MATCH(AM$2,'PAMS and scenarios'!$I$52:$Q$52,0))</f>
        <v>0</v>
      </c>
      <c r="AN262" s="620">
        <f>INDEX('PAMS and scenarios'!$I$53:$Q$62,MATCH($C262,'PAMS and scenarios'!$B$53:$B$62,0),MATCH(AN$2,'PAMS and scenarios'!$I$52:$Q$52,0))</f>
        <v>0</v>
      </c>
    </row>
    <row r="263" spans="1:40">
      <c r="A263" s="113" t="s">
        <v>1050</v>
      </c>
      <c r="B263" s="113" t="s">
        <v>1436</v>
      </c>
      <c r="C263" s="113" t="s">
        <v>1394</v>
      </c>
      <c r="D263" s="113" t="s">
        <v>1429</v>
      </c>
      <c r="E263" s="113" t="s">
        <v>1435</v>
      </c>
      <c r="F263" s="113" t="s">
        <v>705</v>
      </c>
      <c r="G263" s="113" t="s">
        <v>1099</v>
      </c>
      <c r="H263" s="113" t="s">
        <v>705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>
      <c r="A264" s="113" t="s">
        <v>1050</v>
      </c>
      <c r="B264" s="113" t="s">
        <v>1430</v>
      </c>
      <c r="C264" s="113" t="s">
        <v>1427</v>
      </c>
      <c r="D264" s="113" t="s">
        <v>1429</v>
      </c>
      <c r="E264" s="113" t="s">
        <v>1434</v>
      </c>
      <c r="F264" s="113" t="s">
        <v>705</v>
      </c>
      <c r="G264" s="113" t="s">
        <v>705</v>
      </c>
      <c r="H264" s="113" t="s">
        <v>705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>
      <c r="A265" s="113" t="s">
        <v>1050</v>
      </c>
      <c r="B265" s="113" t="s">
        <v>1430</v>
      </c>
      <c r="C265" s="113" t="s">
        <v>1421</v>
      </c>
      <c r="D265" s="113" t="s">
        <v>1429</v>
      </c>
      <c r="E265" s="113" t="s">
        <v>1433</v>
      </c>
      <c r="F265" s="113" t="s">
        <v>705</v>
      </c>
      <c r="G265" s="113" t="s">
        <v>705</v>
      </c>
      <c r="H265" s="113" t="s">
        <v>705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>
      <c r="A266" s="113" t="s">
        <v>1050</v>
      </c>
      <c r="B266" s="113" t="s">
        <v>1430</v>
      </c>
      <c r="C266" s="113" t="s">
        <v>1415</v>
      </c>
      <c r="D266" s="113" t="s">
        <v>1429</v>
      </c>
      <c r="E266" s="113" t="s">
        <v>1432</v>
      </c>
      <c r="F266" s="113" t="s">
        <v>705</v>
      </c>
      <c r="G266" s="113" t="s">
        <v>705</v>
      </c>
      <c r="H266" s="113" t="s">
        <v>705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>
      <c r="A267" s="113" t="s">
        <v>1050</v>
      </c>
      <c r="B267" s="113" t="s">
        <v>1430</v>
      </c>
      <c r="C267" s="113" t="s">
        <v>1409</v>
      </c>
      <c r="D267" s="113" t="s">
        <v>1429</v>
      </c>
      <c r="E267" s="113" t="s">
        <v>1431</v>
      </c>
      <c r="F267" s="113" t="s">
        <v>705</v>
      </c>
      <c r="G267" s="113" t="s">
        <v>705</v>
      </c>
      <c r="H267" s="113" t="s">
        <v>705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>
      <c r="A268" s="113" t="s">
        <v>1050</v>
      </c>
      <c r="B268" s="113" t="s">
        <v>1430</v>
      </c>
      <c r="C268" s="113" t="s">
        <v>1403</v>
      </c>
      <c r="D268" s="113" t="s">
        <v>1429</v>
      </c>
      <c r="E268" s="113" t="s">
        <v>1428</v>
      </c>
      <c r="F268" s="113" t="s">
        <v>705</v>
      </c>
      <c r="G268" s="113" t="s">
        <v>705</v>
      </c>
      <c r="H268" s="113" t="s">
        <v>705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>
      <c r="A269" s="113" t="s">
        <v>1050</v>
      </c>
      <c r="B269" s="113" t="s">
        <v>977</v>
      </c>
      <c r="C269" s="113" t="s">
        <v>169</v>
      </c>
      <c r="D269" s="113" t="s">
        <v>705</v>
      </c>
      <c r="E269" s="113" t="s">
        <v>705</v>
      </c>
      <c r="F269" s="113" t="s">
        <v>705</v>
      </c>
      <c r="G269" s="113" t="s">
        <v>1099</v>
      </c>
      <c r="H269" s="113" t="s">
        <v>591</v>
      </c>
      <c r="I269" s="113">
        <v>5</v>
      </c>
      <c r="J269" s="113">
        <v>0</v>
      </c>
      <c r="M269" s="113">
        <v>0</v>
      </c>
      <c r="AB269" s="113">
        <v>0.8</v>
      </c>
    </row>
    <row r="270" spans="1:40">
      <c r="A270" s="616" t="s">
        <v>1050</v>
      </c>
      <c r="B270" s="113" t="s">
        <v>977</v>
      </c>
      <c r="C270" s="113" t="s">
        <v>1304</v>
      </c>
      <c r="D270" s="113" t="s">
        <v>705</v>
      </c>
      <c r="E270" s="113" t="s">
        <v>705</v>
      </c>
      <c r="F270" s="113" t="s">
        <v>705</v>
      </c>
      <c r="G270" s="113" t="s">
        <v>1099</v>
      </c>
      <c r="H270" s="113" t="s">
        <v>591</v>
      </c>
      <c r="I270" s="113">
        <v>5</v>
      </c>
      <c r="J270" s="113">
        <v>0.4</v>
      </c>
    </row>
    <row r="271" spans="1:40">
      <c r="A271" s="616" t="s">
        <v>1050</v>
      </c>
      <c r="B271" s="113" t="s">
        <v>977</v>
      </c>
      <c r="C271" s="113" t="s">
        <v>1302</v>
      </c>
      <c r="D271" s="113" t="s">
        <v>705</v>
      </c>
      <c r="E271" s="113" t="s">
        <v>705</v>
      </c>
      <c r="F271" s="113" t="s">
        <v>705</v>
      </c>
      <c r="G271" s="113" t="s">
        <v>1099</v>
      </c>
      <c r="H271" s="113" t="s">
        <v>591</v>
      </c>
      <c r="I271" s="113">
        <v>5</v>
      </c>
      <c r="J271" s="113">
        <v>0.4</v>
      </c>
    </row>
    <row r="272" spans="1:40">
      <c r="A272" s="113" t="s">
        <v>1050</v>
      </c>
      <c r="B272" s="113" t="s">
        <v>977</v>
      </c>
      <c r="C272" s="113" t="s">
        <v>538</v>
      </c>
      <c r="D272" s="113" t="s">
        <v>705</v>
      </c>
      <c r="E272" s="113" t="s">
        <v>705</v>
      </c>
      <c r="F272" s="113" t="s">
        <v>705</v>
      </c>
      <c r="G272" s="113" t="s">
        <v>1099</v>
      </c>
      <c r="H272" s="113" t="s">
        <v>591</v>
      </c>
      <c r="I272" s="113">
        <v>5</v>
      </c>
      <c r="J272" s="113">
        <v>0</v>
      </c>
      <c r="M272" s="113">
        <v>0</v>
      </c>
      <c r="AB272" s="113">
        <v>0.8</v>
      </c>
    </row>
    <row r="273" spans="1:28">
      <c r="A273" s="113" t="s">
        <v>1050</v>
      </c>
      <c r="B273" s="113" t="s">
        <v>977</v>
      </c>
      <c r="C273" s="113" t="s">
        <v>171</v>
      </c>
      <c r="D273" s="113" t="s">
        <v>705</v>
      </c>
      <c r="E273" s="113" t="s">
        <v>705</v>
      </c>
      <c r="F273" s="113" t="s">
        <v>705</v>
      </c>
      <c r="G273" s="113" t="s">
        <v>1099</v>
      </c>
      <c r="H273" s="113" t="s">
        <v>591</v>
      </c>
      <c r="I273" s="113">
        <v>5</v>
      </c>
      <c r="J273" s="113">
        <v>0</v>
      </c>
      <c r="M273" s="113">
        <v>0</v>
      </c>
      <c r="AB273" s="113">
        <v>0.8</v>
      </c>
    </row>
    <row r="274" spans="1:28">
      <c r="A274" s="616" t="s">
        <v>1050</v>
      </c>
      <c r="B274" s="113" t="s">
        <v>977</v>
      </c>
      <c r="C274" s="113" t="s">
        <v>1298</v>
      </c>
      <c r="D274" s="113" t="s">
        <v>705</v>
      </c>
      <c r="E274" s="113" t="s">
        <v>705</v>
      </c>
      <c r="F274" s="113" t="s">
        <v>705</v>
      </c>
      <c r="G274" s="113" t="s">
        <v>1099</v>
      </c>
      <c r="H274" s="113" t="s">
        <v>591</v>
      </c>
      <c r="I274" s="113">
        <v>5</v>
      </c>
      <c r="J274" s="113">
        <v>0.4</v>
      </c>
    </row>
    <row r="275" spans="1:28">
      <c r="A275" s="616" t="s">
        <v>1050</v>
      </c>
      <c r="B275" s="113" t="s">
        <v>977</v>
      </c>
      <c r="C275" s="113" t="s">
        <v>1296</v>
      </c>
      <c r="D275" s="113" t="s">
        <v>705</v>
      </c>
      <c r="E275" s="113" t="s">
        <v>705</v>
      </c>
      <c r="F275" s="113" t="s">
        <v>705</v>
      </c>
      <c r="G275" s="113" t="s">
        <v>1099</v>
      </c>
      <c r="H275" s="113" t="s">
        <v>591</v>
      </c>
      <c r="I275" s="113">
        <v>5</v>
      </c>
      <c r="J275" s="113">
        <v>0.4</v>
      </c>
    </row>
    <row r="276" spans="1:28">
      <c r="A276" s="113" t="s">
        <v>1050</v>
      </c>
      <c r="B276" s="113" t="s">
        <v>977</v>
      </c>
      <c r="C276" s="113" t="s">
        <v>174</v>
      </c>
      <c r="D276" s="113" t="s">
        <v>705</v>
      </c>
      <c r="E276" s="113" t="s">
        <v>705</v>
      </c>
      <c r="F276" s="113" t="s">
        <v>705</v>
      </c>
      <c r="G276" s="113" t="s">
        <v>1099</v>
      </c>
      <c r="H276" s="113" t="s">
        <v>591</v>
      </c>
      <c r="I276" s="113">
        <v>5</v>
      </c>
      <c r="J276" s="113">
        <v>0</v>
      </c>
      <c r="M276" s="113">
        <v>0</v>
      </c>
      <c r="AB276" s="113">
        <v>0.8</v>
      </c>
    </row>
    <row r="277" spans="1:28">
      <c r="A277" s="616" t="s">
        <v>1050</v>
      </c>
      <c r="B277" s="113" t="s">
        <v>977</v>
      </c>
      <c r="C277" s="113" t="s">
        <v>1291</v>
      </c>
      <c r="D277" s="113" t="s">
        <v>705</v>
      </c>
      <c r="E277" s="113" t="s">
        <v>705</v>
      </c>
      <c r="F277" s="113" t="s">
        <v>705</v>
      </c>
      <c r="G277" s="113" t="s">
        <v>1099</v>
      </c>
      <c r="H277" s="113" t="s">
        <v>591</v>
      </c>
      <c r="I277" s="113">
        <v>5</v>
      </c>
      <c r="J277" s="113">
        <v>0.4</v>
      </c>
      <c r="K277" s="619"/>
    </row>
    <row r="278" spans="1:28">
      <c r="A278" s="616" t="s">
        <v>1050</v>
      </c>
      <c r="B278" s="113" t="s">
        <v>977</v>
      </c>
      <c r="C278" s="113" t="s">
        <v>1289</v>
      </c>
      <c r="D278" s="113" t="s">
        <v>705</v>
      </c>
      <c r="E278" s="113" t="s">
        <v>705</v>
      </c>
      <c r="F278" s="113" t="s">
        <v>705</v>
      </c>
      <c r="G278" s="113" t="s">
        <v>1099</v>
      </c>
      <c r="H278" s="113" t="s">
        <v>591</v>
      </c>
      <c r="I278" s="113">
        <v>5</v>
      </c>
      <c r="J278" s="113">
        <v>0.4</v>
      </c>
      <c r="N278" s="618"/>
    </row>
    <row r="279" spans="1:28">
      <c r="A279" s="113" t="s">
        <v>1050</v>
      </c>
      <c r="B279" s="113" t="s">
        <v>977</v>
      </c>
      <c r="C279" s="113" t="s">
        <v>539</v>
      </c>
      <c r="D279" s="113" t="s">
        <v>705</v>
      </c>
      <c r="E279" s="113" t="s">
        <v>705</v>
      </c>
      <c r="F279" s="113" t="s">
        <v>705</v>
      </c>
      <c r="G279" s="113" t="s">
        <v>1099</v>
      </c>
      <c r="H279" s="113" t="s">
        <v>591</v>
      </c>
      <c r="I279" s="113">
        <v>5</v>
      </c>
      <c r="J279" s="113">
        <v>0</v>
      </c>
      <c r="M279" s="113">
        <v>0</v>
      </c>
      <c r="AB279" s="113">
        <v>0.8</v>
      </c>
    </row>
    <row r="280" spans="1:28">
      <c r="A280" s="113" t="s">
        <v>1050</v>
      </c>
      <c r="B280" s="113" t="s">
        <v>977</v>
      </c>
      <c r="C280" s="113" t="s">
        <v>540</v>
      </c>
      <c r="D280" s="113" t="s">
        <v>705</v>
      </c>
      <c r="E280" s="113" t="s">
        <v>705</v>
      </c>
      <c r="F280" s="113" t="s">
        <v>705</v>
      </c>
      <c r="G280" s="113" t="s">
        <v>1099</v>
      </c>
      <c r="H280" s="113" t="s">
        <v>591</v>
      </c>
      <c r="I280" s="113">
        <v>5</v>
      </c>
      <c r="J280" s="113">
        <v>0</v>
      </c>
      <c r="M280" s="113">
        <v>0</v>
      </c>
      <c r="AB280" s="113">
        <v>0.8</v>
      </c>
    </row>
    <row r="281" spans="1:28">
      <c r="A281" s="113" t="s">
        <v>1050</v>
      </c>
      <c r="B281" s="113" t="s">
        <v>977</v>
      </c>
      <c r="C281" s="113" t="s">
        <v>178</v>
      </c>
      <c r="D281" s="113" t="s">
        <v>705</v>
      </c>
      <c r="E281" s="113" t="s">
        <v>705</v>
      </c>
      <c r="F281" s="113" t="s">
        <v>705</v>
      </c>
      <c r="G281" s="113" t="s">
        <v>1099</v>
      </c>
      <c r="H281" s="113" t="s">
        <v>591</v>
      </c>
      <c r="I281" s="113">
        <v>5</v>
      </c>
      <c r="J281" s="113">
        <v>0</v>
      </c>
      <c r="M281" s="113">
        <v>0</v>
      </c>
      <c r="AB281" s="113">
        <v>0.8</v>
      </c>
    </row>
    <row r="282" spans="1:28">
      <c r="A282" s="616" t="s">
        <v>1050</v>
      </c>
      <c r="B282" s="113" t="s">
        <v>977</v>
      </c>
      <c r="C282" s="113" t="s">
        <v>1284</v>
      </c>
      <c r="D282" s="113" t="s">
        <v>705</v>
      </c>
      <c r="E282" s="113" t="s">
        <v>705</v>
      </c>
      <c r="F282" s="113" t="s">
        <v>705</v>
      </c>
      <c r="G282" s="113" t="s">
        <v>1099</v>
      </c>
      <c r="H282" s="113" t="s">
        <v>591</v>
      </c>
      <c r="I282" s="113">
        <v>5</v>
      </c>
      <c r="J282" s="113">
        <v>0.4</v>
      </c>
      <c r="N282" s="617"/>
    </row>
    <row r="283" spans="1:28">
      <c r="A283" s="616" t="s">
        <v>1050</v>
      </c>
      <c r="B283" s="113" t="s">
        <v>977</v>
      </c>
      <c r="C283" s="113" t="s">
        <v>1282</v>
      </c>
      <c r="D283" s="113" t="s">
        <v>705</v>
      </c>
      <c r="E283" s="113" t="s">
        <v>705</v>
      </c>
      <c r="F283" s="113" t="s">
        <v>705</v>
      </c>
      <c r="G283" s="113" t="s">
        <v>1099</v>
      </c>
      <c r="H283" s="113" t="s">
        <v>591</v>
      </c>
      <c r="I283" s="113">
        <v>5</v>
      </c>
      <c r="J283" s="113">
        <v>0.4</v>
      </c>
    </row>
    <row r="284" spans="1:28">
      <c r="A284" s="113" t="s">
        <v>1050</v>
      </c>
      <c r="B284" s="113" t="s">
        <v>977</v>
      </c>
      <c r="C284" s="113" t="s">
        <v>180</v>
      </c>
      <c r="D284" s="113" t="s">
        <v>705</v>
      </c>
      <c r="E284" s="113" t="s">
        <v>705</v>
      </c>
      <c r="F284" s="113" t="s">
        <v>705</v>
      </c>
      <c r="G284" s="113" t="s">
        <v>1099</v>
      </c>
      <c r="H284" s="113" t="s">
        <v>591</v>
      </c>
      <c r="I284" s="113">
        <v>5</v>
      </c>
      <c r="J284" s="113">
        <v>0.4</v>
      </c>
    </row>
    <row r="285" spans="1:28">
      <c r="A285" s="616" t="s">
        <v>1050</v>
      </c>
      <c r="B285" s="113" t="s">
        <v>977</v>
      </c>
      <c r="C285" s="113" t="s">
        <v>1279</v>
      </c>
      <c r="D285" s="113" t="s">
        <v>705</v>
      </c>
      <c r="E285" s="113" t="s">
        <v>705</v>
      </c>
      <c r="F285" s="113" t="s">
        <v>705</v>
      </c>
      <c r="G285" s="113" t="s">
        <v>1099</v>
      </c>
      <c r="H285" s="113" t="s">
        <v>591</v>
      </c>
      <c r="I285" s="113">
        <v>5</v>
      </c>
      <c r="J285" s="113">
        <v>0.4</v>
      </c>
    </row>
    <row r="286" spans="1:28">
      <c r="A286" s="616" t="s">
        <v>1050</v>
      </c>
      <c r="B286" s="113" t="s">
        <v>977</v>
      </c>
      <c r="C286" s="113" t="s">
        <v>1277</v>
      </c>
      <c r="D286" s="113" t="s">
        <v>705</v>
      </c>
      <c r="E286" s="113" t="s">
        <v>705</v>
      </c>
      <c r="F286" s="113" t="s">
        <v>705</v>
      </c>
      <c r="G286" s="113" t="s">
        <v>1099</v>
      </c>
      <c r="H286" s="113" t="s">
        <v>591</v>
      </c>
      <c r="I286" s="113">
        <v>5</v>
      </c>
      <c r="J286" s="113">
        <v>0.4</v>
      </c>
    </row>
    <row r="287" spans="1:28">
      <c r="A287" s="113" t="s">
        <v>1050</v>
      </c>
      <c r="B287" s="113" t="s">
        <v>977</v>
      </c>
      <c r="C287" s="113" t="s">
        <v>541</v>
      </c>
      <c r="D287" s="113" t="s">
        <v>705</v>
      </c>
      <c r="E287" s="113" t="s">
        <v>705</v>
      </c>
      <c r="F287" s="113" t="s">
        <v>705</v>
      </c>
      <c r="G287" s="113" t="s">
        <v>1099</v>
      </c>
      <c r="H287" s="113" t="s">
        <v>591</v>
      </c>
      <c r="I287" s="113">
        <v>5</v>
      </c>
      <c r="J287" s="113">
        <v>0.4</v>
      </c>
    </row>
    <row r="288" spans="1:28">
      <c r="B288" s="113" t="s">
        <v>907</v>
      </c>
      <c r="C288" s="113" t="s">
        <v>169</v>
      </c>
      <c r="D288" s="113" t="s">
        <v>705</v>
      </c>
      <c r="E288" s="113" t="s">
        <v>1547</v>
      </c>
      <c r="F288" s="113" t="s">
        <v>705</v>
      </c>
      <c r="G288" s="113" t="s">
        <v>705</v>
      </c>
      <c r="H288" s="113" t="s">
        <v>705</v>
      </c>
      <c r="I288" s="113">
        <v>0</v>
      </c>
      <c r="J288" s="113">
        <v>0.3</v>
      </c>
    </row>
    <row r="289" spans="2:10">
      <c r="B289" s="113" t="s">
        <v>907</v>
      </c>
      <c r="C289" s="113" t="s">
        <v>1304</v>
      </c>
      <c r="D289" s="113" t="s">
        <v>705</v>
      </c>
      <c r="E289" s="113" t="s">
        <v>1547</v>
      </c>
      <c r="F289" s="113" t="s">
        <v>705</v>
      </c>
      <c r="G289" s="113" t="s">
        <v>705</v>
      </c>
      <c r="H289" s="113" t="s">
        <v>705</v>
      </c>
      <c r="I289" s="113">
        <v>0</v>
      </c>
      <c r="J289" s="113">
        <v>0.3</v>
      </c>
    </row>
    <row r="290" spans="2:10">
      <c r="B290" s="113" t="s">
        <v>907</v>
      </c>
      <c r="C290" s="113" t="s">
        <v>1302</v>
      </c>
      <c r="D290" s="113" t="s">
        <v>705</v>
      </c>
      <c r="E290" s="113" t="s">
        <v>1547</v>
      </c>
      <c r="F290" s="113" t="s">
        <v>705</v>
      </c>
      <c r="G290" s="113" t="s">
        <v>705</v>
      </c>
      <c r="H290" s="113" t="s">
        <v>705</v>
      </c>
      <c r="I290" s="113">
        <v>0</v>
      </c>
      <c r="J290" s="113">
        <v>0.3</v>
      </c>
    </row>
    <row r="291" spans="2:10">
      <c r="B291" s="113" t="s">
        <v>907</v>
      </c>
      <c r="C291" s="113" t="s">
        <v>538</v>
      </c>
      <c r="D291" s="113" t="s">
        <v>705</v>
      </c>
      <c r="E291" s="113" t="s">
        <v>1547</v>
      </c>
      <c r="F291" s="113" t="s">
        <v>705</v>
      </c>
      <c r="G291" s="113" t="s">
        <v>705</v>
      </c>
      <c r="H291" s="113" t="s">
        <v>705</v>
      </c>
      <c r="I291" s="113">
        <v>0</v>
      </c>
      <c r="J291" s="113">
        <v>0.3</v>
      </c>
    </row>
    <row r="292" spans="2:10">
      <c r="B292" s="113" t="s">
        <v>1450</v>
      </c>
      <c r="C292" s="113" t="s">
        <v>1304</v>
      </c>
      <c r="D292" s="113" t="s">
        <v>705</v>
      </c>
      <c r="E292" s="113" t="s">
        <v>705</v>
      </c>
      <c r="F292" s="113" t="s">
        <v>705</v>
      </c>
      <c r="G292" s="113" t="s">
        <v>705</v>
      </c>
      <c r="H292" s="113" t="s">
        <v>1100</v>
      </c>
      <c r="I292" s="113">
        <v>3</v>
      </c>
      <c r="J292" s="113">
        <v>0</v>
      </c>
    </row>
    <row r="293" spans="2:10">
      <c r="B293" s="113" t="s">
        <v>1450</v>
      </c>
      <c r="C293" s="113" t="s">
        <v>1302</v>
      </c>
      <c r="D293" s="113" t="s">
        <v>705</v>
      </c>
      <c r="E293" s="113" t="s">
        <v>705</v>
      </c>
      <c r="F293" s="113" t="s">
        <v>705</v>
      </c>
      <c r="G293" s="113" t="s">
        <v>705</v>
      </c>
      <c r="H293" s="113" t="s">
        <v>1100</v>
      </c>
      <c r="I293" s="113">
        <v>3</v>
      </c>
      <c r="J293" s="113">
        <v>0</v>
      </c>
    </row>
    <row r="294" spans="2:10">
      <c r="B294" s="113" t="s">
        <v>1450</v>
      </c>
      <c r="C294" s="113" t="s">
        <v>1298</v>
      </c>
      <c r="D294" s="113" t="s">
        <v>705</v>
      </c>
      <c r="E294" s="113" t="s">
        <v>705</v>
      </c>
      <c r="F294" s="113" t="s">
        <v>705</v>
      </c>
      <c r="G294" s="113" t="s">
        <v>705</v>
      </c>
      <c r="H294" s="113" t="s">
        <v>1100</v>
      </c>
      <c r="I294" s="113">
        <v>3</v>
      </c>
      <c r="J294" s="113">
        <v>0</v>
      </c>
    </row>
    <row r="295" spans="2:10">
      <c r="B295" s="113" t="s">
        <v>1450</v>
      </c>
      <c r="C295" s="113" t="s">
        <v>1296</v>
      </c>
      <c r="D295" s="113" t="s">
        <v>705</v>
      </c>
      <c r="E295" s="113" t="s">
        <v>705</v>
      </c>
      <c r="F295" s="113" t="s">
        <v>705</v>
      </c>
      <c r="G295" s="113" t="s">
        <v>705</v>
      </c>
      <c r="H295" s="113" t="s">
        <v>1100</v>
      </c>
      <c r="I295" s="113">
        <v>3</v>
      </c>
      <c r="J295" s="113">
        <v>0</v>
      </c>
    </row>
    <row r="296" spans="2:10">
      <c r="B296" s="113" t="s">
        <v>1450</v>
      </c>
      <c r="C296" s="113" t="s">
        <v>1291</v>
      </c>
      <c r="D296" s="113" t="s">
        <v>705</v>
      </c>
      <c r="E296" s="113" t="s">
        <v>705</v>
      </c>
      <c r="F296" s="113" t="s">
        <v>705</v>
      </c>
      <c r="G296" s="113" t="s">
        <v>705</v>
      </c>
      <c r="H296" s="113" t="s">
        <v>1100</v>
      </c>
      <c r="I296" s="113">
        <v>3</v>
      </c>
      <c r="J296" s="113">
        <v>0</v>
      </c>
    </row>
    <row r="297" spans="2:10">
      <c r="B297" s="113" t="s">
        <v>1450</v>
      </c>
      <c r="C297" s="113" t="s">
        <v>1289</v>
      </c>
      <c r="D297" s="113" t="s">
        <v>705</v>
      </c>
      <c r="E297" s="113" t="s">
        <v>705</v>
      </c>
      <c r="F297" s="113" t="s">
        <v>705</v>
      </c>
      <c r="G297" s="113" t="s">
        <v>705</v>
      </c>
      <c r="H297" s="113" t="s">
        <v>1100</v>
      </c>
      <c r="I297" s="113">
        <v>3</v>
      </c>
      <c r="J297" s="113">
        <v>0</v>
      </c>
    </row>
    <row r="298" spans="2:10">
      <c r="B298" s="113" t="s">
        <v>1450</v>
      </c>
      <c r="C298" s="113" t="s">
        <v>1284</v>
      </c>
      <c r="D298" s="113" t="s">
        <v>705</v>
      </c>
      <c r="E298" s="113" t="s">
        <v>705</v>
      </c>
      <c r="F298" s="113" t="s">
        <v>705</v>
      </c>
      <c r="G298" s="113" t="s">
        <v>705</v>
      </c>
      <c r="H298" s="113" t="s">
        <v>1100</v>
      </c>
      <c r="I298" s="113">
        <v>3</v>
      </c>
      <c r="J298" s="113">
        <v>0</v>
      </c>
    </row>
    <row r="299" spans="2:10">
      <c r="B299" s="113" t="s">
        <v>1450</v>
      </c>
      <c r="C299" s="113" t="s">
        <v>1282</v>
      </c>
      <c r="D299" s="113" t="s">
        <v>705</v>
      </c>
      <c r="E299" s="113" t="s">
        <v>705</v>
      </c>
      <c r="F299" s="113" t="s">
        <v>705</v>
      </c>
      <c r="G299" s="113" t="s">
        <v>705</v>
      </c>
      <c r="H299" s="113" t="s">
        <v>1100</v>
      </c>
      <c r="I299" s="113">
        <v>3</v>
      </c>
      <c r="J299" s="113">
        <v>0</v>
      </c>
    </row>
    <row r="300" spans="2:10">
      <c r="B300" s="113" t="s">
        <v>1450</v>
      </c>
      <c r="C300" s="113" t="s">
        <v>1279</v>
      </c>
      <c r="D300" s="113" t="s">
        <v>705</v>
      </c>
      <c r="E300" s="113" t="s">
        <v>705</v>
      </c>
      <c r="F300" s="113" t="s">
        <v>705</v>
      </c>
      <c r="G300" s="113" t="s">
        <v>705</v>
      </c>
      <c r="H300" s="113" t="s">
        <v>1100</v>
      </c>
      <c r="I300" s="113">
        <v>3</v>
      </c>
      <c r="J300" s="113">
        <v>0</v>
      </c>
    </row>
    <row r="301" spans="2:10">
      <c r="B301" s="113" t="s">
        <v>1450</v>
      </c>
      <c r="C301" s="113" t="s">
        <v>1277</v>
      </c>
      <c r="D301" s="113" t="s">
        <v>705</v>
      </c>
      <c r="E301" s="113" t="s">
        <v>705</v>
      </c>
      <c r="F301" s="113" t="s">
        <v>705</v>
      </c>
      <c r="G301" s="113" t="s">
        <v>705</v>
      </c>
      <c r="H301" s="113" t="s">
        <v>1100</v>
      </c>
      <c r="I301" s="113">
        <v>3</v>
      </c>
      <c r="J301" s="113">
        <v>0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workbookViewId="0"/>
  </sheetViews>
  <sheetFormatPr defaultColWidth="10.28515625" defaultRowHeight="1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>
      <c r="A1" s="113" t="s">
        <v>1514</v>
      </c>
      <c r="B1" s="113" t="s">
        <v>1082</v>
      </c>
    </row>
    <row r="2" spans="1:9">
      <c r="B2" s="113" t="s">
        <v>1109</v>
      </c>
      <c r="C2" s="113" t="s">
        <v>705</v>
      </c>
      <c r="D2" s="113" t="s">
        <v>42</v>
      </c>
      <c r="E2" s="113" t="s">
        <v>1366</v>
      </c>
      <c r="F2" s="113" t="s">
        <v>705</v>
      </c>
      <c r="G2" s="113" t="s">
        <v>705</v>
      </c>
      <c r="H2" s="113" t="s">
        <v>705</v>
      </c>
      <c r="I2" s="113">
        <v>1</v>
      </c>
    </row>
    <row r="3" spans="1:9">
      <c r="B3" s="113" t="s">
        <v>1109</v>
      </c>
      <c r="C3" s="113" t="s">
        <v>705</v>
      </c>
      <c r="D3" s="113" t="s">
        <v>42</v>
      </c>
      <c r="E3" s="113" t="s">
        <v>1362</v>
      </c>
      <c r="F3" s="113" t="s">
        <v>705</v>
      </c>
      <c r="G3" s="113" t="s">
        <v>705</v>
      </c>
      <c r="H3" s="113" t="s">
        <v>705</v>
      </c>
      <c r="I3" s="113">
        <v>1</v>
      </c>
    </row>
    <row r="4" spans="1:9">
      <c r="B4" s="113" t="s">
        <v>1109</v>
      </c>
      <c r="C4" s="113" t="s">
        <v>705</v>
      </c>
      <c r="D4" s="113" t="s">
        <v>42</v>
      </c>
      <c r="E4" s="113" t="s">
        <v>1390</v>
      </c>
      <c r="F4" s="113" t="s">
        <v>705</v>
      </c>
      <c r="G4" s="113" t="s">
        <v>705</v>
      </c>
      <c r="H4" s="113" t="s">
        <v>705</v>
      </c>
      <c r="I4" s="113">
        <v>1</v>
      </c>
    </row>
    <row r="5" spans="1:9">
      <c r="B5" s="113" t="s">
        <v>1109</v>
      </c>
      <c r="C5" s="113" t="s">
        <v>705</v>
      </c>
      <c r="D5" s="113" t="s">
        <v>42</v>
      </c>
      <c r="E5" s="113" t="s">
        <v>1386</v>
      </c>
      <c r="F5" s="113" t="s">
        <v>705</v>
      </c>
      <c r="G5" s="113" t="s">
        <v>705</v>
      </c>
      <c r="H5" s="113" t="s">
        <v>705</v>
      </c>
      <c r="I5" s="113">
        <v>1</v>
      </c>
    </row>
    <row r="6" spans="1:9">
      <c r="B6" s="113" t="s">
        <v>1109</v>
      </c>
      <c r="C6" s="113" t="s">
        <v>705</v>
      </c>
      <c r="D6" s="113" t="s">
        <v>42</v>
      </c>
      <c r="E6" s="113" t="s">
        <v>1382</v>
      </c>
      <c r="F6" s="113" t="s">
        <v>705</v>
      </c>
      <c r="G6" s="113" t="s">
        <v>705</v>
      </c>
      <c r="H6" s="113" t="s">
        <v>705</v>
      </c>
      <c r="I6" s="113">
        <v>1</v>
      </c>
    </row>
    <row r="7" spans="1:9">
      <c r="B7" s="113" t="s">
        <v>1109</v>
      </c>
      <c r="C7" s="113" t="s">
        <v>705</v>
      </c>
      <c r="D7" s="113" t="s">
        <v>39</v>
      </c>
      <c r="E7" s="113" t="s">
        <v>1390</v>
      </c>
      <c r="F7" s="113" t="s">
        <v>705</v>
      </c>
      <c r="G7" s="113" t="s">
        <v>705</v>
      </c>
      <c r="H7" s="113" t="s">
        <v>705</v>
      </c>
      <c r="I7" s="113">
        <v>1</v>
      </c>
    </row>
    <row r="8" spans="1:9">
      <c r="B8" s="113" t="s">
        <v>1109</v>
      </c>
      <c r="C8" s="113" t="s">
        <v>705</v>
      </c>
      <c r="D8" s="113" t="s">
        <v>39</v>
      </c>
      <c r="E8" s="113" t="s">
        <v>1386</v>
      </c>
      <c r="F8" s="113" t="s">
        <v>705</v>
      </c>
      <c r="G8" s="113" t="s">
        <v>705</v>
      </c>
      <c r="H8" s="113" t="s">
        <v>705</v>
      </c>
      <c r="I8" s="113">
        <v>1</v>
      </c>
    </row>
    <row r="9" spans="1:9">
      <c r="B9" s="113" t="s">
        <v>1109</v>
      </c>
      <c r="C9" s="113" t="s">
        <v>705</v>
      </c>
      <c r="D9" s="113" t="s">
        <v>39</v>
      </c>
      <c r="E9" s="113" t="s">
        <v>1382</v>
      </c>
      <c r="F9" s="113" t="s">
        <v>705</v>
      </c>
      <c r="G9" s="113" t="s">
        <v>705</v>
      </c>
      <c r="H9" s="113" t="s">
        <v>705</v>
      </c>
      <c r="I9" s="113">
        <v>1</v>
      </c>
    </row>
    <row r="10" spans="1:9">
      <c r="B10" s="113" t="s">
        <v>1109</v>
      </c>
      <c r="C10" s="113" t="s">
        <v>705</v>
      </c>
      <c r="D10" s="113" t="s">
        <v>39</v>
      </c>
      <c r="E10" s="113" t="s">
        <v>1378</v>
      </c>
      <c r="F10" s="113" t="s">
        <v>705</v>
      </c>
      <c r="G10" s="113" t="s">
        <v>705</v>
      </c>
      <c r="H10" s="113" t="s">
        <v>705</v>
      </c>
      <c r="I10" s="113">
        <v>1</v>
      </c>
    </row>
    <row r="11" spans="1:9">
      <c r="B11" s="113" t="s">
        <v>1109</v>
      </c>
      <c r="C11" s="113" t="s">
        <v>705</v>
      </c>
      <c r="D11" s="113" t="s">
        <v>39</v>
      </c>
      <c r="E11" s="113" t="s">
        <v>1370</v>
      </c>
      <c r="F11" s="113" t="s">
        <v>705</v>
      </c>
      <c r="G11" s="113" t="s">
        <v>705</v>
      </c>
      <c r="H11" s="113" t="s">
        <v>705</v>
      </c>
      <c r="I11" s="113">
        <v>1</v>
      </c>
    </row>
    <row r="12" spans="1:9">
      <c r="B12" s="113" t="s">
        <v>1109</v>
      </c>
      <c r="C12" s="113" t="s">
        <v>705</v>
      </c>
      <c r="D12" s="113" t="s">
        <v>39</v>
      </c>
      <c r="E12" s="113" t="s">
        <v>1366</v>
      </c>
      <c r="F12" s="113" t="s">
        <v>705</v>
      </c>
      <c r="G12" s="113" t="s">
        <v>705</v>
      </c>
      <c r="H12" s="113" t="s">
        <v>705</v>
      </c>
      <c r="I12" s="113">
        <v>1</v>
      </c>
    </row>
    <row r="13" spans="1:9">
      <c r="B13" s="113" t="s">
        <v>1109</v>
      </c>
      <c r="C13" s="113" t="s">
        <v>705</v>
      </c>
      <c r="D13" s="113" t="s">
        <v>39</v>
      </c>
      <c r="E13" s="113" t="s">
        <v>1362</v>
      </c>
      <c r="F13" s="113" t="s">
        <v>705</v>
      </c>
      <c r="G13" s="113" t="s">
        <v>705</v>
      </c>
      <c r="H13" s="113" t="s">
        <v>705</v>
      </c>
      <c r="I13" s="113">
        <v>1</v>
      </c>
    </row>
    <row r="14" spans="1:9">
      <c r="B14" s="113" t="s">
        <v>1109</v>
      </c>
      <c r="C14" s="113" t="s">
        <v>705</v>
      </c>
      <c r="D14" s="113" t="s">
        <v>39</v>
      </c>
      <c r="E14" s="113" t="s">
        <v>1358</v>
      </c>
      <c r="F14" s="113" t="s">
        <v>705</v>
      </c>
      <c r="G14" s="113" t="s">
        <v>705</v>
      </c>
      <c r="H14" s="113" t="s">
        <v>705</v>
      </c>
      <c r="I14" s="113">
        <v>1</v>
      </c>
    </row>
    <row r="15" spans="1:9">
      <c r="B15" s="113" t="s">
        <v>1109</v>
      </c>
      <c r="C15" s="113" t="s">
        <v>705</v>
      </c>
      <c r="D15" s="113" t="s">
        <v>39</v>
      </c>
      <c r="E15" s="113" t="s">
        <v>1354</v>
      </c>
      <c r="F15" s="113" t="s">
        <v>705</v>
      </c>
      <c r="G15" s="113" t="s">
        <v>705</v>
      </c>
      <c r="H15" s="113" t="s">
        <v>705</v>
      </c>
      <c r="I15" s="113">
        <v>1</v>
      </c>
    </row>
    <row r="16" spans="1:9">
      <c r="B16" s="113" t="s">
        <v>1109</v>
      </c>
      <c r="C16" s="113" t="s">
        <v>705</v>
      </c>
      <c r="D16" s="113" t="s">
        <v>41</v>
      </c>
      <c r="E16" s="113" t="s">
        <v>1388</v>
      </c>
      <c r="F16" s="113" t="s">
        <v>705</v>
      </c>
      <c r="G16" s="113" t="s">
        <v>705</v>
      </c>
      <c r="H16" s="113" t="s">
        <v>705</v>
      </c>
      <c r="I16" s="113">
        <v>1</v>
      </c>
    </row>
    <row r="17" spans="2:9">
      <c r="B17" s="113" t="s">
        <v>1109</v>
      </c>
      <c r="C17" s="113" t="s">
        <v>705</v>
      </c>
      <c r="D17" s="113" t="s">
        <v>41</v>
      </c>
      <c r="E17" s="113" t="s">
        <v>1386</v>
      </c>
      <c r="F17" s="113" t="s">
        <v>705</v>
      </c>
      <c r="G17" s="113" t="s">
        <v>705</v>
      </c>
      <c r="H17" s="113" t="s">
        <v>705</v>
      </c>
      <c r="I17" s="113">
        <v>1</v>
      </c>
    </row>
    <row r="18" spans="2:9">
      <c r="B18" s="113" t="s">
        <v>1109</v>
      </c>
      <c r="C18" s="113" t="s">
        <v>705</v>
      </c>
      <c r="D18" s="113" t="s">
        <v>41</v>
      </c>
      <c r="E18" s="113" t="s">
        <v>1384</v>
      </c>
      <c r="F18" s="113" t="s">
        <v>705</v>
      </c>
      <c r="G18" s="113" t="s">
        <v>705</v>
      </c>
      <c r="H18" s="113" t="s">
        <v>705</v>
      </c>
      <c r="I18" s="113">
        <v>1</v>
      </c>
    </row>
    <row r="19" spans="2:9">
      <c r="B19" s="113" t="s">
        <v>1109</v>
      </c>
      <c r="C19" s="113" t="s">
        <v>705</v>
      </c>
      <c r="D19" s="113" t="s">
        <v>41</v>
      </c>
      <c r="E19" s="113" t="s">
        <v>1380</v>
      </c>
      <c r="F19" s="113" t="s">
        <v>705</v>
      </c>
      <c r="G19" s="113" t="s">
        <v>705</v>
      </c>
      <c r="H19" s="113" t="s">
        <v>705</v>
      </c>
      <c r="I19" s="113">
        <v>1</v>
      </c>
    </row>
    <row r="20" spans="2:9">
      <c r="B20" s="113" t="s">
        <v>1109</v>
      </c>
      <c r="C20" s="113" t="s">
        <v>705</v>
      </c>
      <c r="D20" s="113" t="s">
        <v>41</v>
      </c>
      <c r="E20" s="113" t="s">
        <v>1376</v>
      </c>
      <c r="F20" s="113" t="s">
        <v>705</v>
      </c>
      <c r="G20" s="113" t="s">
        <v>705</v>
      </c>
      <c r="H20" s="113" t="s">
        <v>705</v>
      </c>
      <c r="I20" s="113">
        <v>1</v>
      </c>
    </row>
    <row r="21" spans="2:9">
      <c r="B21" s="113" t="s">
        <v>1109</v>
      </c>
      <c r="C21" s="113" t="s">
        <v>705</v>
      </c>
      <c r="D21" s="113" t="s">
        <v>41</v>
      </c>
      <c r="E21" s="113" t="s">
        <v>1372</v>
      </c>
      <c r="F21" s="113" t="s">
        <v>705</v>
      </c>
      <c r="G21" s="113" t="s">
        <v>705</v>
      </c>
      <c r="H21" s="113" t="s">
        <v>705</v>
      </c>
      <c r="I21" s="113">
        <v>1</v>
      </c>
    </row>
    <row r="22" spans="2:9">
      <c r="B22" s="113" t="s">
        <v>1109</v>
      </c>
      <c r="C22" s="113" t="s">
        <v>705</v>
      </c>
      <c r="D22" s="113" t="s">
        <v>41</v>
      </c>
      <c r="E22" s="113" t="s">
        <v>1368</v>
      </c>
      <c r="F22" s="113" t="s">
        <v>705</v>
      </c>
      <c r="G22" s="113" t="s">
        <v>705</v>
      </c>
      <c r="H22" s="113" t="s">
        <v>705</v>
      </c>
      <c r="I22" s="113">
        <v>1</v>
      </c>
    </row>
    <row r="23" spans="2:9">
      <c r="B23" s="113" t="s">
        <v>1109</v>
      </c>
      <c r="C23" s="113" t="s">
        <v>705</v>
      </c>
      <c r="D23" s="113" t="s">
        <v>41</v>
      </c>
      <c r="E23" s="113" t="s">
        <v>1364</v>
      </c>
      <c r="F23" s="113" t="s">
        <v>705</v>
      </c>
      <c r="G23" s="113" t="s">
        <v>705</v>
      </c>
      <c r="H23" s="113" t="s">
        <v>705</v>
      </c>
      <c r="I23" s="113">
        <v>1</v>
      </c>
    </row>
    <row r="24" spans="2:9">
      <c r="B24" s="113" t="s">
        <v>1109</v>
      </c>
      <c r="C24" s="113" t="s">
        <v>705</v>
      </c>
      <c r="D24" s="113" t="s">
        <v>41</v>
      </c>
      <c r="E24" s="113" t="s">
        <v>1360</v>
      </c>
      <c r="F24" s="113" t="s">
        <v>705</v>
      </c>
      <c r="G24" s="113" t="s">
        <v>705</v>
      </c>
      <c r="H24" s="113" t="s">
        <v>705</v>
      </c>
      <c r="I24" s="113">
        <v>1</v>
      </c>
    </row>
    <row r="25" spans="2:9">
      <c r="B25" s="113" t="s">
        <v>1109</v>
      </c>
      <c r="C25" s="113" t="s">
        <v>705</v>
      </c>
      <c r="D25" s="113" t="s">
        <v>41</v>
      </c>
      <c r="E25" s="113" t="s">
        <v>1356</v>
      </c>
      <c r="F25" s="113" t="s">
        <v>705</v>
      </c>
      <c r="G25" s="113" t="s">
        <v>705</v>
      </c>
      <c r="H25" s="113" t="s">
        <v>705</v>
      </c>
      <c r="I25" s="113">
        <v>1</v>
      </c>
    </row>
    <row r="26" spans="2:9">
      <c r="B26" s="113" t="s">
        <v>1109</v>
      </c>
      <c r="C26" s="113" t="s">
        <v>705</v>
      </c>
      <c r="D26" s="113" t="s">
        <v>41</v>
      </c>
      <c r="E26" s="113" t="s">
        <v>1352</v>
      </c>
      <c r="F26" s="113" t="s">
        <v>705</v>
      </c>
      <c r="G26" s="113" t="s">
        <v>705</v>
      </c>
      <c r="H26" s="113" t="s">
        <v>705</v>
      </c>
      <c r="I26" s="113">
        <v>1</v>
      </c>
    </row>
    <row r="27" spans="2:9">
      <c r="B27" s="113" t="s">
        <v>1109</v>
      </c>
      <c r="C27" s="113" t="s">
        <v>705</v>
      </c>
      <c r="D27" s="113" t="s">
        <v>38</v>
      </c>
      <c r="E27" s="113" t="s">
        <v>1390</v>
      </c>
      <c r="F27" s="113" t="s">
        <v>705</v>
      </c>
      <c r="G27" s="113" t="s">
        <v>705</v>
      </c>
      <c r="H27" s="113" t="s">
        <v>705</v>
      </c>
      <c r="I27" s="113">
        <v>1</v>
      </c>
    </row>
    <row r="28" spans="2:9">
      <c r="B28" s="113" t="s">
        <v>1109</v>
      </c>
      <c r="C28" s="113" t="s">
        <v>705</v>
      </c>
      <c r="D28" s="113" t="s">
        <v>38</v>
      </c>
      <c r="E28" s="113" t="s">
        <v>1386</v>
      </c>
      <c r="F28" s="113" t="s">
        <v>705</v>
      </c>
      <c r="G28" s="113" t="s">
        <v>705</v>
      </c>
      <c r="H28" s="113" t="s">
        <v>705</v>
      </c>
      <c r="I28" s="113">
        <v>1</v>
      </c>
    </row>
    <row r="29" spans="2:9">
      <c r="B29" s="113" t="s">
        <v>1109</v>
      </c>
      <c r="C29" s="113" t="s">
        <v>705</v>
      </c>
      <c r="D29" s="113" t="s">
        <v>38</v>
      </c>
      <c r="E29" s="113" t="s">
        <v>1382</v>
      </c>
      <c r="F29" s="113" t="s">
        <v>705</v>
      </c>
      <c r="G29" s="113" t="s">
        <v>705</v>
      </c>
      <c r="H29" s="113" t="s">
        <v>705</v>
      </c>
      <c r="I29" s="113">
        <v>1</v>
      </c>
    </row>
    <row r="30" spans="2:9">
      <c r="B30" s="113" t="s">
        <v>1109</v>
      </c>
      <c r="C30" s="113" t="s">
        <v>705</v>
      </c>
      <c r="D30" s="113" t="s">
        <v>38</v>
      </c>
      <c r="E30" s="113" t="s">
        <v>1378</v>
      </c>
      <c r="F30" s="113" t="s">
        <v>705</v>
      </c>
      <c r="G30" s="113" t="s">
        <v>705</v>
      </c>
      <c r="H30" s="113" t="s">
        <v>705</v>
      </c>
      <c r="I30" s="113">
        <v>1</v>
      </c>
    </row>
    <row r="31" spans="2:9">
      <c r="B31" s="113" t="s">
        <v>1109</v>
      </c>
      <c r="C31" s="113" t="s">
        <v>705</v>
      </c>
      <c r="D31" s="113" t="s">
        <v>38</v>
      </c>
      <c r="E31" s="113" t="s">
        <v>1374</v>
      </c>
      <c r="F31" s="113" t="s">
        <v>705</v>
      </c>
      <c r="G31" s="113" t="s">
        <v>705</v>
      </c>
      <c r="H31" s="113" t="s">
        <v>705</v>
      </c>
      <c r="I31" s="113">
        <v>1</v>
      </c>
    </row>
    <row r="32" spans="2:9">
      <c r="B32" s="113" t="s">
        <v>1109</v>
      </c>
      <c r="C32" s="113" t="s">
        <v>705</v>
      </c>
      <c r="D32" s="113" t="s">
        <v>38</v>
      </c>
      <c r="E32" s="113" t="s">
        <v>1370</v>
      </c>
      <c r="F32" s="113" t="s">
        <v>705</v>
      </c>
      <c r="G32" s="113" t="s">
        <v>705</v>
      </c>
      <c r="H32" s="113" t="s">
        <v>705</v>
      </c>
      <c r="I32" s="113">
        <v>1</v>
      </c>
    </row>
    <row r="33" spans="2:9">
      <c r="B33" s="113" t="s">
        <v>1109</v>
      </c>
      <c r="C33" s="113" t="s">
        <v>705</v>
      </c>
      <c r="D33" s="113" t="s">
        <v>38</v>
      </c>
      <c r="E33" s="113" t="s">
        <v>1366</v>
      </c>
      <c r="F33" s="113" t="s">
        <v>705</v>
      </c>
      <c r="G33" s="113" t="s">
        <v>705</v>
      </c>
      <c r="H33" s="113" t="s">
        <v>705</v>
      </c>
      <c r="I33" s="113">
        <v>1</v>
      </c>
    </row>
    <row r="34" spans="2:9">
      <c r="B34" s="113" t="s">
        <v>1109</v>
      </c>
      <c r="C34" s="113" t="s">
        <v>705</v>
      </c>
      <c r="D34" s="113" t="s">
        <v>38</v>
      </c>
      <c r="E34" s="113" t="s">
        <v>1362</v>
      </c>
      <c r="F34" s="113" t="s">
        <v>705</v>
      </c>
      <c r="G34" s="113" t="s">
        <v>705</v>
      </c>
      <c r="H34" s="113" t="s">
        <v>705</v>
      </c>
      <c r="I34" s="113">
        <v>1</v>
      </c>
    </row>
    <row r="35" spans="2:9">
      <c r="B35" s="113" t="s">
        <v>1109</v>
      </c>
      <c r="C35" s="113" t="s">
        <v>705</v>
      </c>
      <c r="D35" s="113" t="s">
        <v>38</v>
      </c>
      <c r="E35" s="113" t="s">
        <v>1358</v>
      </c>
      <c r="F35" s="113" t="s">
        <v>705</v>
      </c>
      <c r="G35" s="113" t="s">
        <v>705</v>
      </c>
      <c r="H35" s="113" t="s">
        <v>705</v>
      </c>
      <c r="I35" s="113">
        <v>1</v>
      </c>
    </row>
    <row r="36" spans="2:9">
      <c r="B36" s="113" t="s">
        <v>1109</v>
      </c>
      <c r="C36" s="113" t="s">
        <v>705</v>
      </c>
      <c r="D36" s="113" t="s">
        <v>38</v>
      </c>
      <c r="E36" s="113" t="s">
        <v>1354</v>
      </c>
      <c r="F36" s="113" t="s">
        <v>705</v>
      </c>
      <c r="G36" s="113" t="s">
        <v>705</v>
      </c>
      <c r="H36" s="113" t="s">
        <v>705</v>
      </c>
      <c r="I36" s="113">
        <v>1</v>
      </c>
    </row>
    <row r="37" spans="2:9">
      <c r="B37" s="113" t="s">
        <v>1109</v>
      </c>
      <c r="C37" s="113" t="s">
        <v>705</v>
      </c>
      <c r="D37" s="113" t="s">
        <v>590</v>
      </c>
      <c r="E37" s="113" t="s">
        <v>1390</v>
      </c>
      <c r="F37" s="113" t="s">
        <v>705</v>
      </c>
      <c r="G37" s="113" t="s">
        <v>705</v>
      </c>
      <c r="H37" s="113" t="s">
        <v>705</v>
      </c>
      <c r="I37" s="113">
        <v>1</v>
      </c>
    </row>
    <row r="38" spans="2:9">
      <c r="B38" s="113" t="s">
        <v>1109</v>
      </c>
      <c r="C38" s="113" t="s">
        <v>705</v>
      </c>
      <c r="D38" s="113" t="s">
        <v>590</v>
      </c>
      <c r="E38" s="113" t="s">
        <v>1386</v>
      </c>
      <c r="F38" s="113" t="s">
        <v>705</v>
      </c>
      <c r="G38" s="113" t="s">
        <v>705</v>
      </c>
      <c r="H38" s="113" t="s">
        <v>705</v>
      </c>
      <c r="I38" s="113">
        <v>1</v>
      </c>
    </row>
    <row r="39" spans="2:9">
      <c r="B39" s="113" t="s">
        <v>1109</v>
      </c>
      <c r="C39" s="113" t="s">
        <v>705</v>
      </c>
      <c r="D39" s="113" t="s">
        <v>590</v>
      </c>
      <c r="E39" s="113" t="s">
        <v>1382</v>
      </c>
      <c r="F39" s="113" t="s">
        <v>705</v>
      </c>
      <c r="G39" s="113" t="s">
        <v>705</v>
      </c>
      <c r="H39" s="113" t="s">
        <v>705</v>
      </c>
      <c r="I39" s="113">
        <v>1</v>
      </c>
    </row>
    <row r="40" spans="2:9">
      <c r="B40" s="113" t="s">
        <v>1109</v>
      </c>
      <c r="C40" s="113" t="s">
        <v>705</v>
      </c>
      <c r="D40" s="113" t="s">
        <v>590</v>
      </c>
      <c r="E40" s="113" t="s">
        <v>1378</v>
      </c>
      <c r="F40" s="113" t="s">
        <v>705</v>
      </c>
      <c r="G40" s="113" t="s">
        <v>705</v>
      </c>
      <c r="H40" s="113" t="s">
        <v>705</v>
      </c>
      <c r="I40" s="113">
        <v>1</v>
      </c>
    </row>
    <row r="41" spans="2:9">
      <c r="B41" s="113" t="s">
        <v>1109</v>
      </c>
      <c r="C41" s="113" t="s">
        <v>705</v>
      </c>
      <c r="D41" s="113" t="s">
        <v>590</v>
      </c>
      <c r="E41" s="113" t="s">
        <v>1374</v>
      </c>
      <c r="F41" s="113" t="s">
        <v>705</v>
      </c>
      <c r="G41" s="113" t="s">
        <v>705</v>
      </c>
      <c r="H41" s="113" t="s">
        <v>705</v>
      </c>
      <c r="I41" s="113">
        <v>1</v>
      </c>
    </row>
    <row r="42" spans="2:9">
      <c r="B42" s="113" t="s">
        <v>1109</v>
      </c>
      <c r="C42" s="113" t="s">
        <v>705</v>
      </c>
      <c r="D42" s="113" t="s">
        <v>590</v>
      </c>
      <c r="E42" s="113" t="s">
        <v>1370</v>
      </c>
      <c r="F42" s="113" t="s">
        <v>705</v>
      </c>
      <c r="G42" s="113" t="s">
        <v>705</v>
      </c>
      <c r="H42" s="113" t="s">
        <v>705</v>
      </c>
      <c r="I42" s="113">
        <v>1</v>
      </c>
    </row>
    <row r="43" spans="2:9">
      <c r="B43" s="113" t="s">
        <v>1109</v>
      </c>
      <c r="C43" s="113" t="s">
        <v>705</v>
      </c>
      <c r="D43" s="113" t="s">
        <v>590</v>
      </c>
      <c r="E43" s="113" t="s">
        <v>1366</v>
      </c>
      <c r="F43" s="113" t="s">
        <v>705</v>
      </c>
      <c r="G43" s="113" t="s">
        <v>705</v>
      </c>
      <c r="H43" s="113" t="s">
        <v>705</v>
      </c>
      <c r="I43" s="113">
        <v>1</v>
      </c>
    </row>
    <row r="44" spans="2:9">
      <c r="B44" s="113" t="s">
        <v>1109</v>
      </c>
      <c r="C44" s="113" t="s">
        <v>705</v>
      </c>
      <c r="D44" s="113" t="s">
        <v>590</v>
      </c>
      <c r="E44" s="113" t="s">
        <v>1362</v>
      </c>
      <c r="F44" s="113" t="s">
        <v>705</v>
      </c>
      <c r="G44" s="113" t="s">
        <v>705</v>
      </c>
      <c r="H44" s="113" t="s">
        <v>705</v>
      </c>
      <c r="I44" s="113">
        <v>1</v>
      </c>
    </row>
    <row r="45" spans="2:9">
      <c r="B45" s="113" t="s">
        <v>1109</v>
      </c>
      <c r="C45" s="113" t="s">
        <v>705</v>
      </c>
      <c r="D45" s="113" t="s">
        <v>590</v>
      </c>
      <c r="E45" s="113" t="s">
        <v>1358</v>
      </c>
      <c r="F45" s="113" t="s">
        <v>705</v>
      </c>
      <c r="G45" s="113" t="s">
        <v>705</v>
      </c>
      <c r="H45" s="113" t="s">
        <v>705</v>
      </c>
      <c r="I45" s="113">
        <v>1</v>
      </c>
    </row>
    <row r="46" spans="2:9">
      <c r="B46" s="113" t="s">
        <v>1109</v>
      </c>
      <c r="C46" s="113" t="s">
        <v>705</v>
      </c>
      <c r="D46" s="113" t="s">
        <v>590</v>
      </c>
      <c r="E46" s="113" t="s">
        <v>1354</v>
      </c>
      <c r="F46" s="113" t="s">
        <v>705</v>
      </c>
      <c r="G46" s="113" t="s">
        <v>705</v>
      </c>
      <c r="H46" s="113" t="s">
        <v>705</v>
      </c>
      <c r="I46" s="113">
        <v>1</v>
      </c>
    </row>
    <row r="47" spans="2:9">
      <c r="B47" s="113" t="s">
        <v>1109</v>
      </c>
      <c r="C47" s="113" t="s">
        <v>705</v>
      </c>
      <c r="D47" s="113" t="s">
        <v>1335</v>
      </c>
      <c r="E47" s="113" t="s">
        <v>1390</v>
      </c>
      <c r="F47" s="113" t="s">
        <v>705</v>
      </c>
      <c r="G47" s="113" t="s">
        <v>705</v>
      </c>
      <c r="H47" s="113" t="s">
        <v>705</v>
      </c>
      <c r="I47" s="113">
        <v>1</v>
      </c>
    </row>
    <row r="48" spans="2:9">
      <c r="B48" s="113" t="s">
        <v>1109</v>
      </c>
      <c r="C48" s="113" t="s">
        <v>705</v>
      </c>
      <c r="D48" s="113" t="s">
        <v>1335</v>
      </c>
      <c r="E48" s="113" t="s">
        <v>1386</v>
      </c>
      <c r="F48" s="113" t="s">
        <v>705</v>
      </c>
      <c r="G48" s="113" t="s">
        <v>705</v>
      </c>
      <c r="H48" s="113" t="s">
        <v>705</v>
      </c>
      <c r="I48" s="113">
        <v>1</v>
      </c>
    </row>
    <row r="49" spans="2:9">
      <c r="B49" s="113" t="s">
        <v>1109</v>
      </c>
      <c r="C49" s="113" t="s">
        <v>705</v>
      </c>
      <c r="D49" s="113" t="s">
        <v>1335</v>
      </c>
      <c r="E49" s="113" t="s">
        <v>1378</v>
      </c>
      <c r="F49" s="113" t="s">
        <v>705</v>
      </c>
      <c r="G49" s="113" t="s">
        <v>705</v>
      </c>
      <c r="H49" s="113" t="s">
        <v>705</v>
      </c>
      <c r="I49" s="113">
        <v>1</v>
      </c>
    </row>
    <row r="50" spans="2:9">
      <c r="B50" s="113" t="s">
        <v>1109</v>
      </c>
      <c r="C50" s="113" t="s">
        <v>705</v>
      </c>
      <c r="D50" s="113" t="s">
        <v>1335</v>
      </c>
      <c r="E50" s="113" t="s">
        <v>1374</v>
      </c>
      <c r="F50" s="113" t="s">
        <v>705</v>
      </c>
      <c r="G50" s="113" t="s">
        <v>705</v>
      </c>
      <c r="H50" s="113" t="s">
        <v>705</v>
      </c>
      <c r="I50" s="113">
        <v>1</v>
      </c>
    </row>
    <row r="51" spans="2:9">
      <c r="B51" s="113" t="s">
        <v>1109</v>
      </c>
      <c r="C51" s="113" t="s">
        <v>705</v>
      </c>
      <c r="D51" s="113" t="s">
        <v>1335</v>
      </c>
      <c r="E51" s="113" t="s">
        <v>1370</v>
      </c>
      <c r="F51" s="113" t="s">
        <v>705</v>
      </c>
      <c r="G51" s="113" t="s">
        <v>705</v>
      </c>
      <c r="H51" s="113" t="s">
        <v>705</v>
      </c>
      <c r="I51" s="113">
        <v>1</v>
      </c>
    </row>
    <row r="52" spans="2:9">
      <c r="B52" s="113" t="s">
        <v>1109</v>
      </c>
      <c r="C52" s="113" t="s">
        <v>705</v>
      </c>
      <c r="D52" s="113" t="s">
        <v>1335</v>
      </c>
      <c r="E52" s="113" t="s">
        <v>1366</v>
      </c>
      <c r="F52" s="113" t="s">
        <v>705</v>
      </c>
      <c r="G52" s="113" t="s">
        <v>705</v>
      </c>
      <c r="H52" s="113" t="s">
        <v>705</v>
      </c>
      <c r="I52" s="113">
        <v>1</v>
      </c>
    </row>
    <row r="53" spans="2:9">
      <c r="B53" s="113" t="s">
        <v>1109</v>
      </c>
      <c r="C53" s="113" t="s">
        <v>705</v>
      </c>
      <c r="D53" s="113" t="s">
        <v>1335</v>
      </c>
      <c r="E53" s="113" t="s">
        <v>1362</v>
      </c>
      <c r="F53" s="113" t="s">
        <v>705</v>
      </c>
      <c r="G53" s="113" t="s">
        <v>705</v>
      </c>
      <c r="H53" s="113" t="s">
        <v>705</v>
      </c>
      <c r="I53" s="113">
        <v>1</v>
      </c>
    </row>
    <row r="54" spans="2:9">
      <c r="B54" s="113" t="s">
        <v>1109</v>
      </c>
      <c r="C54" s="113" t="s">
        <v>705</v>
      </c>
      <c r="D54" s="113" t="s">
        <v>1335</v>
      </c>
      <c r="E54" s="113" t="s">
        <v>1358</v>
      </c>
      <c r="F54" s="113" t="s">
        <v>705</v>
      </c>
      <c r="G54" s="113" t="s">
        <v>705</v>
      </c>
      <c r="H54" s="113" t="s">
        <v>705</v>
      </c>
      <c r="I54" s="113">
        <v>1</v>
      </c>
    </row>
    <row r="55" spans="2:9">
      <c r="B55" s="113" t="s">
        <v>1109</v>
      </c>
      <c r="C55" s="113" t="s">
        <v>705</v>
      </c>
      <c r="D55" s="113" t="s">
        <v>1335</v>
      </c>
      <c r="E55" s="113" t="s">
        <v>1354</v>
      </c>
      <c r="F55" s="113" t="s">
        <v>705</v>
      </c>
      <c r="G55" s="113" t="s">
        <v>705</v>
      </c>
      <c r="H55" s="113" t="s">
        <v>705</v>
      </c>
      <c r="I55" s="113">
        <v>1</v>
      </c>
    </row>
    <row r="56" spans="2:9">
      <c r="B56" s="113" t="s">
        <v>1109</v>
      </c>
      <c r="C56" s="113" t="s">
        <v>705</v>
      </c>
      <c r="D56" s="113" t="s">
        <v>593</v>
      </c>
      <c r="E56" s="113" t="s">
        <v>1382</v>
      </c>
      <c r="F56" s="113" t="s">
        <v>705</v>
      </c>
      <c r="G56" s="113" t="s">
        <v>705</v>
      </c>
      <c r="H56" s="113" t="s">
        <v>705</v>
      </c>
      <c r="I56" s="113">
        <v>1</v>
      </c>
    </row>
    <row r="57" spans="2:9">
      <c r="B57" s="113" t="s">
        <v>1109</v>
      </c>
      <c r="C57" s="113" t="s">
        <v>705</v>
      </c>
      <c r="D57" s="113" t="s">
        <v>1461</v>
      </c>
      <c r="E57" s="113" t="s">
        <v>1350</v>
      </c>
      <c r="F57" s="113" t="s">
        <v>705</v>
      </c>
      <c r="G57" s="113" t="s">
        <v>705</v>
      </c>
      <c r="H57" s="113" t="s">
        <v>705</v>
      </c>
      <c r="I57" s="113">
        <v>1</v>
      </c>
    </row>
    <row r="58" spans="2:9">
      <c r="B58" s="113" t="s">
        <v>1109</v>
      </c>
      <c r="C58" s="113" t="s">
        <v>705</v>
      </c>
      <c r="D58" s="113" t="s">
        <v>1460</v>
      </c>
      <c r="E58" s="113" t="s">
        <v>1350</v>
      </c>
      <c r="F58" s="113" t="s">
        <v>705</v>
      </c>
      <c r="G58" s="113" t="s">
        <v>705</v>
      </c>
      <c r="H58" s="113" t="s">
        <v>705</v>
      </c>
      <c r="I58" s="113">
        <v>1</v>
      </c>
    </row>
    <row r="59" spans="2:9">
      <c r="B59" s="113" t="s">
        <v>1106</v>
      </c>
      <c r="C59" s="113" t="s">
        <v>169</v>
      </c>
      <c r="D59" s="113" t="s">
        <v>705</v>
      </c>
      <c r="E59" s="113" t="s">
        <v>41</v>
      </c>
      <c r="F59" s="113" t="s">
        <v>705</v>
      </c>
      <c r="G59" s="113" t="s">
        <v>705</v>
      </c>
      <c r="H59" s="113" t="s">
        <v>705</v>
      </c>
      <c r="I59" s="113">
        <v>1</v>
      </c>
    </row>
    <row r="60" spans="2:9">
      <c r="B60" s="113" t="s">
        <v>1106</v>
      </c>
      <c r="C60" s="113" t="s">
        <v>1304</v>
      </c>
      <c r="D60" s="113" t="s">
        <v>705</v>
      </c>
      <c r="E60" s="113" t="s">
        <v>41</v>
      </c>
      <c r="F60" s="113" t="s">
        <v>705</v>
      </c>
      <c r="G60" s="113" t="s">
        <v>705</v>
      </c>
      <c r="H60" s="113" t="s">
        <v>705</v>
      </c>
      <c r="I60" s="113">
        <v>1</v>
      </c>
    </row>
    <row r="61" spans="2:9">
      <c r="B61" s="113" t="s">
        <v>1106</v>
      </c>
      <c r="C61" s="113" t="s">
        <v>1302</v>
      </c>
      <c r="D61" s="113" t="s">
        <v>705</v>
      </c>
      <c r="E61" s="113" t="s">
        <v>41</v>
      </c>
      <c r="F61" s="113" t="s">
        <v>705</v>
      </c>
      <c r="G61" s="113" t="s">
        <v>705</v>
      </c>
      <c r="H61" s="113" t="s">
        <v>705</v>
      </c>
      <c r="I61" s="113">
        <v>1</v>
      </c>
    </row>
    <row r="62" spans="2:9">
      <c r="B62" s="113" t="s">
        <v>1106</v>
      </c>
      <c r="C62" s="113" t="s">
        <v>538</v>
      </c>
      <c r="D62" s="113" t="s">
        <v>705</v>
      </c>
      <c r="E62" s="113" t="s">
        <v>41</v>
      </c>
      <c r="F62" s="113" t="s">
        <v>705</v>
      </c>
      <c r="G62" s="113" t="s">
        <v>705</v>
      </c>
      <c r="H62" s="113" t="s">
        <v>705</v>
      </c>
      <c r="I62" s="113">
        <v>1</v>
      </c>
    </row>
    <row r="63" spans="2:9">
      <c r="B63" s="113" t="s">
        <v>1106</v>
      </c>
      <c r="C63" s="113" t="s">
        <v>171</v>
      </c>
      <c r="D63" s="113" t="s">
        <v>705</v>
      </c>
      <c r="E63" s="113" t="s">
        <v>41</v>
      </c>
      <c r="F63" s="113" t="s">
        <v>705</v>
      </c>
      <c r="G63" s="113" t="s">
        <v>705</v>
      </c>
      <c r="H63" s="113" t="s">
        <v>705</v>
      </c>
      <c r="I63" s="113">
        <v>1</v>
      </c>
    </row>
    <row r="64" spans="2:9">
      <c r="B64" s="113" t="s">
        <v>1106</v>
      </c>
      <c r="C64" s="113" t="s">
        <v>1298</v>
      </c>
      <c r="D64" s="113" t="s">
        <v>705</v>
      </c>
      <c r="E64" s="113" t="s">
        <v>41</v>
      </c>
      <c r="F64" s="113" t="s">
        <v>705</v>
      </c>
      <c r="G64" s="113" t="s">
        <v>705</v>
      </c>
      <c r="H64" s="113" t="s">
        <v>705</v>
      </c>
      <c r="I64" s="113">
        <v>1</v>
      </c>
    </row>
    <row r="65" spans="2:9">
      <c r="B65" s="113" t="s">
        <v>1106</v>
      </c>
      <c r="C65" s="113" t="s">
        <v>1296</v>
      </c>
      <c r="D65" s="113" t="s">
        <v>705</v>
      </c>
      <c r="E65" s="113" t="s">
        <v>41</v>
      </c>
      <c r="F65" s="113" t="s">
        <v>705</v>
      </c>
      <c r="G65" s="113" t="s">
        <v>705</v>
      </c>
      <c r="H65" s="113" t="s">
        <v>705</v>
      </c>
      <c r="I65" s="113">
        <v>1</v>
      </c>
    </row>
    <row r="66" spans="2:9">
      <c r="B66" s="113" t="s">
        <v>1106</v>
      </c>
      <c r="C66" s="113" t="s">
        <v>1294</v>
      </c>
      <c r="D66" s="113" t="s">
        <v>705</v>
      </c>
      <c r="E66" s="113" t="s">
        <v>42</v>
      </c>
      <c r="F66" s="113" t="s">
        <v>705</v>
      </c>
      <c r="G66" s="113" t="s">
        <v>705</v>
      </c>
      <c r="H66" s="113" t="s">
        <v>705</v>
      </c>
      <c r="I66" s="113">
        <v>1</v>
      </c>
    </row>
    <row r="67" spans="2:9">
      <c r="B67" s="113" t="s">
        <v>1106</v>
      </c>
      <c r="C67" s="113" t="s">
        <v>174</v>
      </c>
      <c r="D67" s="113" t="s">
        <v>705</v>
      </c>
      <c r="E67" s="113" t="s">
        <v>41</v>
      </c>
      <c r="F67" s="113" t="s">
        <v>705</v>
      </c>
      <c r="G67" s="113" t="s">
        <v>705</v>
      </c>
      <c r="H67" s="113" t="s">
        <v>705</v>
      </c>
      <c r="I67" s="113">
        <v>1</v>
      </c>
    </row>
    <row r="68" spans="2:9">
      <c r="B68" s="113" t="s">
        <v>1106</v>
      </c>
      <c r="C68" s="113" t="s">
        <v>1291</v>
      </c>
      <c r="D68" s="113" t="s">
        <v>705</v>
      </c>
      <c r="E68" s="113" t="s">
        <v>41</v>
      </c>
      <c r="F68" s="113" t="s">
        <v>705</v>
      </c>
      <c r="G68" s="113" t="s">
        <v>705</v>
      </c>
      <c r="H68" s="113" t="s">
        <v>705</v>
      </c>
      <c r="I68" s="113">
        <v>1</v>
      </c>
    </row>
    <row r="69" spans="2:9">
      <c r="B69" s="113" t="s">
        <v>1106</v>
      </c>
      <c r="C69" s="113" t="s">
        <v>1289</v>
      </c>
      <c r="D69" s="113" t="s">
        <v>705</v>
      </c>
      <c r="E69" s="113" t="s">
        <v>41</v>
      </c>
      <c r="F69" s="113" t="s">
        <v>705</v>
      </c>
      <c r="G69" s="113" t="s">
        <v>705</v>
      </c>
      <c r="H69" s="113" t="s">
        <v>705</v>
      </c>
      <c r="I69" s="113">
        <v>1</v>
      </c>
    </row>
    <row r="70" spans="2:9">
      <c r="B70" s="113" t="s">
        <v>1106</v>
      </c>
      <c r="C70" s="113" t="s">
        <v>539</v>
      </c>
      <c r="D70" s="113" t="s">
        <v>705</v>
      </c>
      <c r="E70" s="113" t="s">
        <v>41</v>
      </c>
      <c r="F70" s="113" t="s">
        <v>705</v>
      </c>
      <c r="G70" s="113" t="s">
        <v>705</v>
      </c>
      <c r="H70" s="113" t="s">
        <v>705</v>
      </c>
      <c r="I70" s="113">
        <v>1</v>
      </c>
    </row>
    <row r="71" spans="2:9">
      <c r="B71" s="113" t="s">
        <v>1106</v>
      </c>
      <c r="C71" s="113" t="s">
        <v>540</v>
      </c>
      <c r="D71" s="113" t="s">
        <v>705</v>
      </c>
      <c r="E71" s="113" t="s">
        <v>41</v>
      </c>
      <c r="F71" s="113" t="s">
        <v>705</v>
      </c>
      <c r="G71" s="113" t="s">
        <v>705</v>
      </c>
      <c r="H71" s="113" t="s">
        <v>705</v>
      </c>
      <c r="I71" s="113">
        <v>1</v>
      </c>
    </row>
    <row r="72" spans="2:9">
      <c r="B72" s="113" t="s">
        <v>1106</v>
      </c>
      <c r="C72" s="113" t="s">
        <v>178</v>
      </c>
      <c r="D72" s="113" t="s">
        <v>705</v>
      </c>
      <c r="E72" s="113" t="s">
        <v>41</v>
      </c>
      <c r="F72" s="113" t="s">
        <v>705</v>
      </c>
      <c r="G72" s="113" t="s">
        <v>705</v>
      </c>
      <c r="H72" s="113" t="s">
        <v>705</v>
      </c>
      <c r="I72" s="113">
        <v>1</v>
      </c>
    </row>
    <row r="73" spans="2:9">
      <c r="B73" s="113" t="s">
        <v>1106</v>
      </c>
      <c r="C73" s="113" t="s">
        <v>1284</v>
      </c>
      <c r="D73" s="113" t="s">
        <v>705</v>
      </c>
      <c r="E73" s="113" t="s">
        <v>41</v>
      </c>
      <c r="F73" s="113" t="s">
        <v>705</v>
      </c>
      <c r="G73" s="113" t="s">
        <v>705</v>
      </c>
      <c r="H73" s="113" t="s">
        <v>705</v>
      </c>
      <c r="I73" s="113">
        <v>1</v>
      </c>
    </row>
    <row r="74" spans="2:9">
      <c r="B74" s="113" t="s">
        <v>1106</v>
      </c>
      <c r="C74" s="113" t="s">
        <v>1282</v>
      </c>
      <c r="D74" s="113" t="s">
        <v>705</v>
      </c>
      <c r="E74" s="113" t="s">
        <v>41</v>
      </c>
      <c r="F74" s="113" t="s">
        <v>705</v>
      </c>
      <c r="G74" s="113" t="s">
        <v>705</v>
      </c>
      <c r="H74" s="113" t="s">
        <v>705</v>
      </c>
      <c r="I74" s="113">
        <v>1</v>
      </c>
    </row>
    <row r="75" spans="2:9">
      <c r="B75" s="113" t="s">
        <v>1106</v>
      </c>
      <c r="C75" s="113" t="s">
        <v>180</v>
      </c>
      <c r="D75" s="113" t="s">
        <v>705</v>
      </c>
      <c r="E75" s="113" t="s">
        <v>41</v>
      </c>
      <c r="F75" s="113" t="s">
        <v>705</v>
      </c>
      <c r="G75" s="113" t="s">
        <v>705</v>
      </c>
      <c r="H75" s="113" t="s">
        <v>705</v>
      </c>
      <c r="I75" s="113">
        <v>1</v>
      </c>
    </row>
    <row r="76" spans="2:9">
      <c r="B76" s="113" t="s">
        <v>1106</v>
      </c>
      <c r="C76" s="113" t="s">
        <v>1279</v>
      </c>
      <c r="D76" s="113" t="s">
        <v>705</v>
      </c>
      <c r="E76" s="113" t="s">
        <v>41</v>
      </c>
      <c r="F76" s="113" t="s">
        <v>705</v>
      </c>
      <c r="G76" s="113" t="s">
        <v>705</v>
      </c>
      <c r="H76" s="113" t="s">
        <v>705</v>
      </c>
      <c r="I76" s="113">
        <v>1</v>
      </c>
    </row>
    <row r="77" spans="2:9">
      <c r="B77" s="113" t="s">
        <v>1106</v>
      </c>
      <c r="C77" s="113" t="s">
        <v>1277</v>
      </c>
      <c r="D77" s="113" t="s">
        <v>705</v>
      </c>
      <c r="E77" s="113" t="s">
        <v>41</v>
      </c>
      <c r="F77" s="113" t="s">
        <v>705</v>
      </c>
      <c r="G77" s="113" t="s">
        <v>705</v>
      </c>
      <c r="H77" s="113" t="s">
        <v>705</v>
      </c>
      <c r="I77" s="113">
        <v>1</v>
      </c>
    </row>
    <row r="78" spans="2:9">
      <c r="B78" s="113" t="s">
        <v>1106</v>
      </c>
      <c r="C78" s="113" t="s">
        <v>541</v>
      </c>
      <c r="D78" s="113" t="s">
        <v>705</v>
      </c>
      <c r="E78" s="113" t="s">
        <v>41</v>
      </c>
      <c r="F78" s="113" t="s">
        <v>705</v>
      </c>
      <c r="G78" s="113" t="s">
        <v>705</v>
      </c>
      <c r="H78" s="113" t="s">
        <v>705</v>
      </c>
      <c r="I78" s="113">
        <v>1</v>
      </c>
    </row>
    <row r="79" spans="2:9">
      <c r="B79" s="113" t="s">
        <v>1106</v>
      </c>
      <c r="C79" s="113" t="s">
        <v>1274</v>
      </c>
      <c r="D79" s="113" t="s">
        <v>705</v>
      </c>
      <c r="E79" s="113" t="s">
        <v>1348</v>
      </c>
      <c r="F79" s="113" t="s">
        <v>705</v>
      </c>
      <c r="G79" s="113" t="s">
        <v>705</v>
      </c>
      <c r="H79" s="113" t="s">
        <v>705</v>
      </c>
      <c r="I79" s="113">
        <v>1</v>
      </c>
    </row>
    <row r="80" spans="2:9">
      <c r="B80" s="113" t="s">
        <v>1106</v>
      </c>
      <c r="C80" s="113" t="s">
        <v>1272</v>
      </c>
      <c r="D80" s="113" t="s">
        <v>705</v>
      </c>
      <c r="E80" s="113" t="s">
        <v>1323</v>
      </c>
      <c r="F80" s="113" t="s">
        <v>705</v>
      </c>
      <c r="G80" s="113" t="s">
        <v>705</v>
      </c>
      <c r="H80" s="113" t="s">
        <v>705</v>
      </c>
      <c r="I80" s="113">
        <v>1</v>
      </c>
    </row>
    <row r="81" spans="2:9">
      <c r="B81" s="113" t="s">
        <v>1106</v>
      </c>
      <c r="C81" s="113" t="s">
        <v>1270</v>
      </c>
      <c r="D81" s="113" t="s">
        <v>705</v>
      </c>
      <c r="E81" s="113" t="s">
        <v>39</v>
      </c>
      <c r="F81" s="113" t="s">
        <v>705</v>
      </c>
      <c r="G81" s="113" t="s">
        <v>705</v>
      </c>
      <c r="H81" s="113" t="s">
        <v>705</v>
      </c>
      <c r="I81" s="113">
        <v>1</v>
      </c>
    </row>
    <row r="82" spans="2:9">
      <c r="B82" s="113" t="s">
        <v>1106</v>
      </c>
      <c r="C82" s="113" t="s">
        <v>1268</v>
      </c>
      <c r="D82" s="113" t="s">
        <v>705</v>
      </c>
      <c r="E82" s="113" t="s">
        <v>590</v>
      </c>
      <c r="F82" s="113" t="s">
        <v>705</v>
      </c>
      <c r="G82" s="113" t="s">
        <v>705</v>
      </c>
      <c r="H82" s="113" t="s">
        <v>705</v>
      </c>
      <c r="I82" s="113">
        <v>1</v>
      </c>
    </row>
    <row r="83" spans="2:9">
      <c r="B83" s="113" t="s">
        <v>1106</v>
      </c>
      <c r="C83" s="113" t="s">
        <v>1266</v>
      </c>
      <c r="D83" s="113" t="s">
        <v>705</v>
      </c>
      <c r="E83" s="113" t="s">
        <v>1335</v>
      </c>
      <c r="F83" s="113" t="s">
        <v>705</v>
      </c>
      <c r="G83" s="113" t="s">
        <v>705</v>
      </c>
      <c r="H83" s="113" t="s">
        <v>705</v>
      </c>
      <c r="I83" s="113">
        <v>1</v>
      </c>
    </row>
    <row r="84" spans="2:9">
      <c r="B84" s="113" t="s">
        <v>1106</v>
      </c>
      <c r="C84" s="113" t="s">
        <v>1264</v>
      </c>
      <c r="D84" s="113" t="s">
        <v>705</v>
      </c>
      <c r="E84" s="113" t="s">
        <v>593</v>
      </c>
      <c r="F84" s="113" t="s">
        <v>705</v>
      </c>
      <c r="G84" s="113" t="s">
        <v>705</v>
      </c>
      <c r="H84" s="113" t="s">
        <v>705</v>
      </c>
      <c r="I84" s="113">
        <v>1</v>
      </c>
    </row>
    <row r="85" spans="2:9">
      <c r="B85" s="113" t="s">
        <v>1106</v>
      </c>
      <c r="C85" s="113" t="s">
        <v>1262</v>
      </c>
      <c r="D85" s="113" t="s">
        <v>705</v>
      </c>
      <c r="E85" s="113" t="s">
        <v>40</v>
      </c>
      <c r="F85" s="113" t="s">
        <v>705</v>
      </c>
      <c r="G85" s="113" t="s">
        <v>705</v>
      </c>
      <c r="H85" s="113" t="s">
        <v>705</v>
      </c>
      <c r="I85" s="113">
        <v>1</v>
      </c>
    </row>
    <row r="86" spans="2:9">
      <c r="B86" s="113" t="s">
        <v>1106</v>
      </c>
      <c r="C86" s="113" t="s">
        <v>1260</v>
      </c>
      <c r="D86" s="113" t="s">
        <v>705</v>
      </c>
      <c r="E86" s="113" t="s">
        <v>1333</v>
      </c>
      <c r="F86" s="113" t="s">
        <v>705</v>
      </c>
      <c r="G86" s="113" t="s">
        <v>705</v>
      </c>
      <c r="H86" s="113" t="s">
        <v>705</v>
      </c>
      <c r="I86" s="113">
        <v>1</v>
      </c>
    </row>
    <row r="87" spans="2:9">
      <c r="B87" s="113" t="s">
        <v>1105</v>
      </c>
      <c r="C87" s="113" t="s">
        <v>169</v>
      </c>
      <c r="D87" s="113" t="s">
        <v>705</v>
      </c>
      <c r="E87" s="113" t="s">
        <v>705</v>
      </c>
      <c r="F87" s="113" t="s">
        <v>705</v>
      </c>
      <c r="G87" s="113" t="s">
        <v>705</v>
      </c>
      <c r="H87" s="113" t="s">
        <v>705</v>
      </c>
      <c r="I87" s="113">
        <v>1</v>
      </c>
    </row>
    <row r="88" spans="2:9">
      <c r="B88" s="113" t="s">
        <v>1105</v>
      </c>
      <c r="C88" s="113" t="s">
        <v>1304</v>
      </c>
      <c r="D88" s="113" t="s">
        <v>705</v>
      </c>
      <c r="E88" s="113" t="s">
        <v>705</v>
      </c>
      <c r="F88" s="113" t="s">
        <v>705</v>
      </c>
      <c r="G88" s="113" t="s">
        <v>705</v>
      </c>
      <c r="H88" s="113" t="s">
        <v>705</v>
      </c>
      <c r="I88" s="113">
        <v>1</v>
      </c>
    </row>
    <row r="89" spans="2:9">
      <c r="B89" s="113" t="s">
        <v>1105</v>
      </c>
      <c r="C89" s="113" t="s">
        <v>1302</v>
      </c>
      <c r="D89" s="113" t="s">
        <v>705</v>
      </c>
      <c r="E89" s="113" t="s">
        <v>705</v>
      </c>
      <c r="F89" s="113" t="s">
        <v>705</v>
      </c>
      <c r="G89" s="113" t="s">
        <v>705</v>
      </c>
      <c r="H89" s="113" t="s">
        <v>705</v>
      </c>
      <c r="I89" s="113">
        <v>1</v>
      </c>
    </row>
    <row r="90" spans="2:9">
      <c r="B90" s="113" t="s">
        <v>1105</v>
      </c>
      <c r="C90" s="113" t="s">
        <v>538</v>
      </c>
      <c r="D90" s="113" t="s">
        <v>705</v>
      </c>
      <c r="E90" s="113" t="s">
        <v>705</v>
      </c>
      <c r="F90" s="113" t="s">
        <v>705</v>
      </c>
      <c r="G90" s="113" t="s">
        <v>705</v>
      </c>
      <c r="H90" s="113" t="s">
        <v>705</v>
      </c>
      <c r="I90" s="113">
        <v>1</v>
      </c>
    </row>
    <row r="91" spans="2:9">
      <c r="B91" s="113" t="s">
        <v>1105</v>
      </c>
      <c r="C91" s="113" t="s">
        <v>171</v>
      </c>
      <c r="D91" s="113" t="s">
        <v>705</v>
      </c>
      <c r="E91" s="113" t="s">
        <v>705</v>
      </c>
      <c r="F91" s="113" t="s">
        <v>705</v>
      </c>
      <c r="G91" s="113" t="s">
        <v>705</v>
      </c>
      <c r="H91" s="113" t="s">
        <v>705</v>
      </c>
      <c r="I91" s="113">
        <v>1</v>
      </c>
    </row>
    <row r="92" spans="2:9">
      <c r="B92" s="113" t="s">
        <v>1105</v>
      </c>
      <c r="C92" s="113" t="s">
        <v>1298</v>
      </c>
      <c r="D92" s="113" t="s">
        <v>705</v>
      </c>
      <c r="E92" s="113" t="s">
        <v>705</v>
      </c>
      <c r="F92" s="113" t="s">
        <v>705</v>
      </c>
      <c r="G92" s="113" t="s">
        <v>705</v>
      </c>
      <c r="H92" s="113" t="s">
        <v>705</v>
      </c>
      <c r="I92" s="113">
        <v>1</v>
      </c>
    </row>
    <row r="93" spans="2:9">
      <c r="B93" s="113" t="s">
        <v>1105</v>
      </c>
      <c r="C93" s="113" t="s">
        <v>1296</v>
      </c>
      <c r="D93" s="113" t="s">
        <v>705</v>
      </c>
      <c r="E93" s="113" t="s">
        <v>705</v>
      </c>
      <c r="F93" s="113" t="s">
        <v>705</v>
      </c>
      <c r="G93" s="113" t="s">
        <v>705</v>
      </c>
      <c r="H93" s="113" t="s">
        <v>705</v>
      </c>
      <c r="I93" s="113">
        <v>1</v>
      </c>
    </row>
    <row r="94" spans="2:9">
      <c r="B94" s="113" t="s">
        <v>1105</v>
      </c>
      <c r="C94" s="113" t="s">
        <v>1294</v>
      </c>
      <c r="D94" s="113" t="s">
        <v>705</v>
      </c>
      <c r="E94" s="113" t="s">
        <v>705</v>
      </c>
      <c r="F94" s="113" t="s">
        <v>705</v>
      </c>
      <c r="G94" s="113" t="s">
        <v>705</v>
      </c>
      <c r="H94" s="113" t="s">
        <v>705</v>
      </c>
      <c r="I94" s="113">
        <v>1</v>
      </c>
    </row>
    <row r="95" spans="2:9">
      <c r="B95" s="113" t="s">
        <v>1105</v>
      </c>
      <c r="C95" s="113" t="s">
        <v>174</v>
      </c>
      <c r="D95" s="113" t="s">
        <v>705</v>
      </c>
      <c r="E95" s="113" t="s">
        <v>705</v>
      </c>
      <c r="F95" s="113" t="s">
        <v>705</v>
      </c>
      <c r="G95" s="113" t="s">
        <v>705</v>
      </c>
      <c r="H95" s="113" t="s">
        <v>705</v>
      </c>
      <c r="I95" s="113">
        <v>1</v>
      </c>
    </row>
    <row r="96" spans="2:9">
      <c r="B96" s="113" t="s">
        <v>1105</v>
      </c>
      <c r="C96" s="113" t="s">
        <v>1291</v>
      </c>
      <c r="D96" s="113" t="s">
        <v>705</v>
      </c>
      <c r="E96" s="113" t="s">
        <v>705</v>
      </c>
      <c r="F96" s="113" t="s">
        <v>705</v>
      </c>
      <c r="G96" s="113" t="s">
        <v>705</v>
      </c>
      <c r="H96" s="113" t="s">
        <v>705</v>
      </c>
      <c r="I96" s="113">
        <v>1</v>
      </c>
    </row>
    <row r="97" spans="2:9">
      <c r="B97" s="113" t="s">
        <v>1105</v>
      </c>
      <c r="C97" s="113" t="s">
        <v>1289</v>
      </c>
      <c r="D97" s="113" t="s">
        <v>705</v>
      </c>
      <c r="E97" s="113" t="s">
        <v>705</v>
      </c>
      <c r="F97" s="113" t="s">
        <v>705</v>
      </c>
      <c r="G97" s="113" t="s">
        <v>705</v>
      </c>
      <c r="H97" s="113" t="s">
        <v>705</v>
      </c>
      <c r="I97" s="113">
        <v>1</v>
      </c>
    </row>
    <row r="98" spans="2:9">
      <c r="B98" s="113" t="s">
        <v>1105</v>
      </c>
      <c r="C98" s="113" t="s">
        <v>539</v>
      </c>
      <c r="D98" s="113" t="s">
        <v>705</v>
      </c>
      <c r="E98" s="113" t="s">
        <v>705</v>
      </c>
      <c r="F98" s="113" t="s">
        <v>705</v>
      </c>
      <c r="G98" s="113" t="s">
        <v>705</v>
      </c>
      <c r="H98" s="113" t="s">
        <v>705</v>
      </c>
      <c r="I98" s="113">
        <v>1</v>
      </c>
    </row>
    <row r="99" spans="2:9">
      <c r="B99" s="113" t="s">
        <v>1105</v>
      </c>
      <c r="C99" s="113" t="s">
        <v>540</v>
      </c>
      <c r="D99" s="113" t="s">
        <v>705</v>
      </c>
      <c r="E99" s="113" t="s">
        <v>705</v>
      </c>
      <c r="F99" s="113" t="s">
        <v>705</v>
      </c>
      <c r="G99" s="113" t="s">
        <v>705</v>
      </c>
      <c r="H99" s="113" t="s">
        <v>705</v>
      </c>
      <c r="I99" s="113">
        <v>1</v>
      </c>
    </row>
    <row r="100" spans="2:9">
      <c r="B100" s="113" t="s">
        <v>1105</v>
      </c>
      <c r="C100" s="113" t="s">
        <v>178</v>
      </c>
      <c r="D100" s="113" t="s">
        <v>705</v>
      </c>
      <c r="E100" s="113" t="s">
        <v>705</v>
      </c>
      <c r="F100" s="113" t="s">
        <v>705</v>
      </c>
      <c r="G100" s="113" t="s">
        <v>705</v>
      </c>
      <c r="H100" s="113" t="s">
        <v>705</v>
      </c>
      <c r="I100" s="113">
        <v>1</v>
      </c>
    </row>
    <row r="101" spans="2:9">
      <c r="B101" s="113" t="s">
        <v>1105</v>
      </c>
      <c r="C101" s="113" t="s">
        <v>1284</v>
      </c>
      <c r="D101" s="113" t="s">
        <v>705</v>
      </c>
      <c r="E101" s="113" t="s">
        <v>705</v>
      </c>
      <c r="F101" s="113" t="s">
        <v>705</v>
      </c>
      <c r="G101" s="113" t="s">
        <v>705</v>
      </c>
      <c r="H101" s="113" t="s">
        <v>705</v>
      </c>
      <c r="I101" s="113">
        <v>1</v>
      </c>
    </row>
    <row r="102" spans="2:9">
      <c r="B102" s="113" t="s">
        <v>1105</v>
      </c>
      <c r="C102" s="113" t="s">
        <v>1282</v>
      </c>
      <c r="D102" s="113" t="s">
        <v>705</v>
      </c>
      <c r="E102" s="113" t="s">
        <v>705</v>
      </c>
      <c r="F102" s="113" t="s">
        <v>705</v>
      </c>
      <c r="G102" s="113" t="s">
        <v>705</v>
      </c>
      <c r="H102" s="113" t="s">
        <v>705</v>
      </c>
      <c r="I102" s="113">
        <v>1</v>
      </c>
    </row>
    <row r="103" spans="2:9">
      <c r="B103" s="113" t="s">
        <v>1105</v>
      </c>
      <c r="C103" s="113" t="s">
        <v>180</v>
      </c>
      <c r="D103" s="113" t="s">
        <v>705</v>
      </c>
      <c r="E103" s="113" t="s">
        <v>705</v>
      </c>
      <c r="F103" s="113" t="s">
        <v>705</v>
      </c>
      <c r="G103" s="113" t="s">
        <v>705</v>
      </c>
      <c r="H103" s="113" t="s">
        <v>705</v>
      </c>
      <c r="I103" s="113">
        <v>1</v>
      </c>
    </row>
    <row r="104" spans="2:9">
      <c r="B104" s="113" t="s">
        <v>1105</v>
      </c>
      <c r="C104" s="113" t="s">
        <v>1279</v>
      </c>
      <c r="D104" s="113" t="s">
        <v>705</v>
      </c>
      <c r="E104" s="113" t="s">
        <v>705</v>
      </c>
      <c r="F104" s="113" t="s">
        <v>705</v>
      </c>
      <c r="G104" s="113" t="s">
        <v>705</v>
      </c>
      <c r="H104" s="113" t="s">
        <v>705</v>
      </c>
      <c r="I104" s="113">
        <v>1</v>
      </c>
    </row>
    <row r="105" spans="2:9">
      <c r="B105" s="113" t="s">
        <v>1105</v>
      </c>
      <c r="C105" s="113" t="s">
        <v>1277</v>
      </c>
      <c r="D105" s="113" t="s">
        <v>705</v>
      </c>
      <c r="E105" s="113" t="s">
        <v>705</v>
      </c>
      <c r="F105" s="113" t="s">
        <v>705</v>
      </c>
      <c r="G105" s="113" t="s">
        <v>705</v>
      </c>
      <c r="H105" s="113" t="s">
        <v>705</v>
      </c>
      <c r="I105" s="113">
        <v>1</v>
      </c>
    </row>
    <row r="106" spans="2:9">
      <c r="B106" s="113" t="s">
        <v>1105</v>
      </c>
      <c r="C106" s="113" t="s">
        <v>541</v>
      </c>
      <c r="D106" s="113" t="s">
        <v>705</v>
      </c>
      <c r="E106" s="113" t="s">
        <v>705</v>
      </c>
      <c r="F106" s="113" t="s">
        <v>705</v>
      </c>
      <c r="G106" s="113" t="s">
        <v>705</v>
      </c>
      <c r="H106" s="113" t="s">
        <v>705</v>
      </c>
      <c r="I106" s="113">
        <v>1</v>
      </c>
    </row>
    <row r="107" spans="2:9">
      <c r="B107" s="113" t="s">
        <v>1105</v>
      </c>
      <c r="C107" s="113" t="s">
        <v>1274</v>
      </c>
      <c r="D107" s="113" t="s">
        <v>705</v>
      </c>
      <c r="E107" s="113" t="s">
        <v>705</v>
      </c>
      <c r="F107" s="113" t="s">
        <v>705</v>
      </c>
      <c r="G107" s="113" t="s">
        <v>705</v>
      </c>
      <c r="H107" s="113" t="s">
        <v>705</v>
      </c>
      <c r="I107" s="113">
        <v>1</v>
      </c>
    </row>
    <row r="108" spans="2:9">
      <c r="B108" s="113" t="s">
        <v>1105</v>
      </c>
      <c r="C108" s="113" t="s">
        <v>1272</v>
      </c>
      <c r="D108" s="113" t="s">
        <v>705</v>
      </c>
      <c r="E108" s="113" t="s">
        <v>705</v>
      </c>
      <c r="F108" s="113" t="s">
        <v>705</v>
      </c>
      <c r="G108" s="113" t="s">
        <v>705</v>
      </c>
      <c r="H108" s="113" t="s">
        <v>705</v>
      </c>
      <c r="I108" s="113">
        <v>1</v>
      </c>
    </row>
    <row r="109" spans="2:9">
      <c r="B109" s="113" t="s">
        <v>1105</v>
      </c>
      <c r="C109" s="113" t="s">
        <v>1270</v>
      </c>
      <c r="D109" s="113" t="s">
        <v>705</v>
      </c>
      <c r="E109" s="113" t="s">
        <v>705</v>
      </c>
      <c r="F109" s="113" t="s">
        <v>705</v>
      </c>
      <c r="G109" s="113" t="s">
        <v>705</v>
      </c>
      <c r="H109" s="113" t="s">
        <v>705</v>
      </c>
      <c r="I109" s="113">
        <v>1</v>
      </c>
    </row>
    <row r="110" spans="2:9">
      <c r="B110" s="113" t="s">
        <v>1105</v>
      </c>
      <c r="C110" s="113" t="s">
        <v>1268</v>
      </c>
      <c r="D110" s="113" t="s">
        <v>705</v>
      </c>
      <c r="E110" s="113" t="s">
        <v>705</v>
      </c>
      <c r="F110" s="113" t="s">
        <v>705</v>
      </c>
      <c r="G110" s="113" t="s">
        <v>705</v>
      </c>
      <c r="H110" s="113" t="s">
        <v>705</v>
      </c>
      <c r="I110" s="113">
        <v>1</v>
      </c>
    </row>
    <row r="111" spans="2:9">
      <c r="B111" s="113" t="s">
        <v>1105</v>
      </c>
      <c r="C111" s="113" t="s">
        <v>1266</v>
      </c>
      <c r="D111" s="113" t="s">
        <v>705</v>
      </c>
      <c r="E111" s="113" t="s">
        <v>705</v>
      </c>
      <c r="F111" s="113" t="s">
        <v>705</v>
      </c>
      <c r="G111" s="113" t="s">
        <v>705</v>
      </c>
      <c r="H111" s="113" t="s">
        <v>705</v>
      </c>
      <c r="I111" s="113">
        <v>1</v>
      </c>
    </row>
    <row r="112" spans="2:9">
      <c r="B112" s="113" t="s">
        <v>1105</v>
      </c>
      <c r="C112" s="113" t="s">
        <v>1264</v>
      </c>
      <c r="D112" s="113" t="s">
        <v>705</v>
      </c>
      <c r="E112" s="113" t="s">
        <v>705</v>
      </c>
      <c r="F112" s="113" t="s">
        <v>705</v>
      </c>
      <c r="G112" s="113" t="s">
        <v>705</v>
      </c>
      <c r="H112" s="113" t="s">
        <v>705</v>
      </c>
      <c r="I112" s="113">
        <v>1</v>
      </c>
    </row>
    <row r="113" spans="2:9">
      <c r="B113" s="113" t="s">
        <v>1105</v>
      </c>
      <c r="C113" s="113" t="s">
        <v>1262</v>
      </c>
      <c r="D113" s="113" t="s">
        <v>705</v>
      </c>
      <c r="E113" s="113" t="s">
        <v>705</v>
      </c>
      <c r="F113" s="113" t="s">
        <v>705</v>
      </c>
      <c r="G113" s="113" t="s">
        <v>705</v>
      </c>
      <c r="H113" s="113" t="s">
        <v>705</v>
      </c>
      <c r="I113" s="113">
        <v>1</v>
      </c>
    </row>
    <row r="114" spans="2:9">
      <c r="B114" s="113" t="s">
        <v>1105</v>
      </c>
      <c r="C114" s="113" t="s">
        <v>1260</v>
      </c>
      <c r="D114" s="113" t="s">
        <v>705</v>
      </c>
      <c r="E114" s="113" t="s">
        <v>705</v>
      </c>
      <c r="F114" s="113" t="s">
        <v>705</v>
      </c>
      <c r="G114" s="113" t="s">
        <v>705</v>
      </c>
      <c r="H114" s="113" t="s">
        <v>705</v>
      </c>
      <c r="I114" s="113">
        <v>1</v>
      </c>
    </row>
    <row r="115" spans="2:9">
      <c r="B115" s="113" t="s">
        <v>1102</v>
      </c>
      <c r="C115" s="113" t="s">
        <v>169</v>
      </c>
      <c r="D115" s="113" t="s">
        <v>42</v>
      </c>
      <c r="E115" s="113" t="s">
        <v>705</v>
      </c>
      <c r="F115" s="113" t="s">
        <v>705</v>
      </c>
      <c r="G115" s="113" t="s">
        <v>705</v>
      </c>
      <c r="H115" s="113" t="s">
        <v>705</v>
      </c>
      <c r="I115" s="113">
        <v>1</v>
      </c>
    </row>
    <row r="116" spans="2:9">
      <c r="B116" s="113" t="s">
        <v>1102</v>
      </c>
      <c r="C116" s="113" t="s">
        <v>169</v>
      </c>
      <c r="D116" s="113" t="s">
        <v>39</v>
      </c>
      <c r="E116" s="113" t="s">
        <v>705</v>
      </c>
      <c r="F116" s="113" t="s">
        <v>705</v>
      </c>
      <c r="G116" s="113" t="s">
        <v>705</v>
      </c>
      <c r="H116" s="113" t="s">
        <v>705</v>
      </c>
      <c r="I116" s="113">
        <v>1</v>
      </c>
    </row>
    <row r="117" spans="2:9">
      <c r="B117" s="113" t="s">
        <v>1102</v>
      </c>
      <c r="C117" s="113" t="s">
        <v>169</v>
      </c>
      <c r="D117" s="113" t="s">
        <v>38</v>
      </c>
      <c r="E117" s="113" t="s">
        <v>705</v>
      </c>
      <c r="F117" s="113" t="s">
        <v>705</v>
      </c>
      <c r="G117" s="113" t="s">
        <v>705</v>
      </c>
      <c r="H117" s="113" t="s">
        <v>705</v>
      </c>
      <c r="I117" s="113">
        <v>1</v>
      </c>
    </row>
    <row r="118" spans="2:9">
      <c r="B118" s="113" t="s">
        <v>1102</v>
      </c>
      <c r="C118" s="113" t="s">
        <v>169</v>
      </c>
      <c r="D118" s="113" t="s">
        <v>590</v>
      </c>
      <c r="E118" s="113" t="s">
        <v>705</v>
      </c>
      <c r="F118" s="113" t="s">
        <v>705</v>
      </c>
      <c r="G118" s="113" t="s">
        <v>705</v>
      </c>
      <c r="H118" s="113" t="s">
        <v>705</v>
      </c>
      <c r="I118" s="113">
        <v>1</v>
      </c>
    </row>
    <row r="119" spans="2:9">
      <c r="B119" s="113" t="s">
        <v>1102</v>
      </c>
      <c r="C119" s="113" t="s">
        <v>169</v>
      </c>
      <c r="D119" s="113" t="s">
        <v>1335</v>
      </c>
      <c r="E119" s="113" t="s">
        <v>705</v>
      </c>
      <c r="F119" s="113" t="s">
        <v>705</v>
      </c>
      <c r="G119" s="113" t="s">
        <v>705</v>
      </c>
      <c r="H119" s="113" t="s">
        <v>705</v>
      </c>
      <c r="I119" s="113">
        <v>1</v>
      </c>
    </row>
    <row r="120" spans="2:9">
      <c r="B120" s="113" t="s">
        <v>1102</v>
      </c>
      <c r="C120" s="113" t="s">
        <v>169</v>
      </c>
      <c r="D120" s="113" t="s">
        <v>40</v>
      </c>
      <c r="E120" s="113" t="s">
        <v>705</v>
      </c>
      <c r="F120" s="113" t="s">
        <v>705</v>
      </c>
      <c r="G120" s="113" t="s">
        <v>705</v>
      </c>
      <c r="H120" s="113" t="s">
        <v>705</v>
      </c>
      <c r="I120" s="113">
        <v>1</v>
      </c>
    </row>
    <row r="121" spans="2:9">
      <c r="B121" s="113" t="s">
        <v>1102</v>
      </c>
      <c r="C121" s="113" t="s">
        <v>1304</v>
      </c>
      <c r="D121" s="113" t="s">
        <v>40</v>
      </c>
      <c r="E121" s="113" t="s">
        <v>705</v>
      </c>
      <c r="F121" s="113" t="s">
        <v>705</v>
      </c>
      <c r="G121" s="113" t="s">
        <v>705</v>
      </c>
      <c r="H121" s="113" t="s">
        <v>705</v>
      </c>
      <c r="I121" s="113">
        <v>1</v>
      </c>
    </row>
    <row r="122" spans="2:9">
      <c r="B122" s="113" t="s">
        <v>1102</v>
      </c>
      <c r="C122" s="113" t="s">
        <v>1302</v>
      </c>
      <c r="D122" s="113" t="s">
        <v>40</v>
      </c>
      <c r="E122" s="113" t="s">
        <v>705</v>
      </c>
      <c r="F122" s="113" t="s">
        <v>705</v>
      </c>
      <c r="G122" s="113" t="s">
        <v>705</v>
      </c>
      <c r="H122" s="113" t="s">
        <v>705</v>
      </c>
      <c r="I122" s="113">
        <v>1</v>
      </c>
    </row>
    <row r="123" spans="2:9">
      <c r="B123" s="113" t="s">
        <v>1102</v>
      </c>
      <c r="C123" s="113" t="s">
        <v>538</v>
      </c>
      <c r="D123" s="113" t="s">
        <v>42</v>
      </c>
      <c r="E123" s="113" t="s">
        <v>705</v>
      </c>
      <c r="F123" s="113" t="s">
        <v>705</v>
      </c>
      <c r="G123" s="113" t="s">
        <v>705</v>
      </c>
      <c r="H123" s="113" t="s">
        <v>705</v>
      </c>
      <c r="I123" s="113">
        <v>1</v>
      </c>
    </row>
    <row r="124" spans="2:9">
      <c r="B124" s="113" t="s">
        <v>1102</v>
      </c>
      <c r="C124" s="113" t="s">
        <v>538</v>
      </c>
      <c r="D124" s="113" t="s">
        <v>39</v>
      </c>
      <c r="E124" s="113" t="s">
        <v>705</v>
      </c>
      <c r="F124" s="113" t="s">
        <v>705</v>
      </c>
      <c r="G124" s="113" t="s">
        <v>705</v>
      </c>
      <c r="H124" s="113" t="s">
        <v>705</v>
      </c>
      <c r="I124" s="113">
        <v>1</v>
      </c>
    </row>
    <row r="125" spans="2:9">
      <c r="B125" s="113" t="s">
        <v>1102</v>
      </c>
      <c r="C125" s="113" t="s">
        <v>538</v>
      </c>
      <c r="D125" s="113" t="s">
        <v>38</v>
      </c>
      <c r="E125" s="113" t="s">
        <v>705</v>
      </c>
      <c r="F125" s="113" t="s">
        <v>705</v>
      </c>
      <c r="G125" s="113" t="s">
        <v>705</v>
      </c>
      <c r="H125" s="113" t="s">
        <v>705</v>
      </c>
      <c r="I125" s="113">
        <v>1</v>
      </c>
    </row>
    <row r="126" spans="2:9">
      <c r="B126" s="113" t="s">
        <v>1102</v>
      </c>
      <c r="C126" s="113" t="s">
        <v>538</v>
      </c>
      <c r="D126" s="113" t="s">
        <v>590</v>
      </c>
      <c r="E126" s="113" t="s">
        <v>705</v>
      </c>
      <c r="F126" s="113" t="s">
        <v>705</v>
      </c>
      <c r="G126" s="113" t="s">
        <v>705</v>
      </c>
      <c r="H126" s="113" t="s">
        <v>705</v>
      </c>
      <c r="I126" s="113">
        <v>1</v>
      </c>
    </row>
    <row r="127" spans="2:9">
      <c r="B127" s="113" t="s">
        <v>1102</v>
      </c>
      <c r="C127" s="113" t="s">
        <v>538</v>
      </c>
      <c r="D127" s="113" t="s">
        <v>1335</v>
      </c>
      <c r="E127" s="113" t="s">
        <v>705</v>
      </c>
      <c r="F127" s="113" t="s">
        <v>705</v>
      </c>
      <c r="G127" s="113" t="s">
        <v>705</v>
      </c>
      <c r="H127" s="113" t="s">
        <v>705</v>
      </c>
      <c r="I127" s="113">
        <v>1</v>
      </c>
    </row>
    <row r="128" spans="2:9">
      <c r="B128" s="113" t="s">
        <v>1102</v>
      </c>
      <c r="C128" s="113" t="s">
        <v>538</v>
      </c>
      <c r="D128" s="113" t="s">
        <v>40</v>
      </c>
      <c r="E128" s="113" t="s">
        <v>705</v>
      </c>
      <c r="F128" s="113" t="s">
        <v>705</v>
      </c>
      <c r="G128" s="113" t="s">
        <v>705</v>
      </c>
      <c r="H128" s="113" t="s">
        <v>705</v>
      </c>
      <c r="I128" s="113">
        <v>1</v>
      </c>
    </row>
    <row r="129" spans="2:9">
      <c r="B129" s="113" t="s">
        <v>1102</v>
      </c>
      <c r="C129" s="113" t="s">
        <v>171</v>
      </c>
      <c r="D129" s="113" t="s">
        <v>42</v>
      </c>
      <c r="E129" s="113" t="s">
        <v>705</v>
      </c>
      <c r="F129" s="113" t="s">
        <v>705</v>
      </c>
      <c r="G129" s="113" t="s">
        <v>705</v>
      </c>
      <c r="H129" s="113" t="s">
        <v>705</v>
      </c>
      <c r="I129" s="113">
        <v>1</v>
      </c>
    </row>
    <row r="130" spans="2:9">
      <c r="B130" s="113" t="s">
        <v>1102</v>
      </c>
      <c r="C130" s="113" t="s">
        <v>171</v>
      </c>
      <c r="D130" s="113" t="s">
        <v>39</v>
      </c>
      <c r="E130" s="113" t="s">
        <v>705</v>
      </c>
      <c r="F130" s="113" t="s">
        <v>705</v>
      </c>
      <c r="G130" s="113" t="s">
        <v>705</v>
      </c>
      <c r="H130" s="113" t="s">
        <v>705</v>
      </c>
      <c r="I130" s="113">
        <v>1</v>
      </c>
    </row>
    <row r="131" spans="2:9">
      <c r="B131" s="113" t="s">
        <v>1102</v>
      </c>
      <c r="C131" s="113" t="s">
        <v>171</v>
      </c>
      <c r="D131" s="113" t="s">
        <v>38</v>
      </c>
      <c r="E131" s="113" t="s">
        <v>705</v>
      </c>
      <c r="F131" s="113" t="s">
        <v>705</v>
      </c>
      <c r="G131" s="113" t="s">
        <v>705</v>
      </c>
      <c r="H131" s="113" t="s">
        <v>705</v>
      </c>
      <c r="I131" s="113">
        <v>1</v>
      </c>
    </row>
    <row r="132" spans="2:9">
      <c r="B132" s="113" t="s">
        <v>1102</v>
      </c>
      <c r="C132" s="113" t="s">
        <v>171</v>
      </c>
      <c r="D132" s="113" t="s">
        <v>590</v>
      </c>
      <c r="E132" s="113" t="s">
        <v>705</v>
      </c>
      <c r="F132" s="113" t="s">
        <v>705</v>
      </c>
      <c r="G132" s="113" t="s">
        <v>705</v>
      </c>
      <c r="H132" s="113" t="s">
        <v>705</v>
      </c>
      <c r="I132" s="113">
        <v>1</v>
      </c>
    </row>
    <row r="133" spans="2:9">
      <c r="B133" s="113" t="s">
        <v>1102</v>
      </c>
      <c r="C133" s="113" t="s">
        <v>171</v>
      </c>
      <c r="D133" s="113" t="s">
        <v>593</v>
      </c>
      <c r="E133" s="113" t="s">
        <v>705</v>
      </c>
      <c r="F133" s="113" t="s">
        <v>705</v>
      </c>
      <c r="G133" s="113" t="s">
        <v>705</v>
      </c>
      <c r="H133" s="113" t="s">
        <v>705</v>
      </c>
      <c r="I133" s="113">
        <v>1</v>
      </c>
    </row>
    <row r="134" spans="2:9">
      <c r="B134" s="113" t="s">
        <v>1102</v>
      </c>
      <c r="C134" s="113" t="s">
        <v>171</v>
      </c>
      <c r="D134" s="113" t="s">
        <v>40</v>
      </c>
      <c r="E134" s="113" t="s">
        <v>705</v>
      </c>
      <c r="F134" s="113" t="s">
        <v>705</v>
      </c>
      <c r="G134" s="113" t="s">
        <v>705</v>
      </c>
      <c r="H134" s="113" t="s">
        <v>705</v>
      </c>
      <c r="I134" s="113">
        <v>1</v>
      </c>
    </row>
    <row r="135" spans="2:9">
      <c r="B135" s="113" t="s">
        <v>1102</v>
      </c>
      <c r="C135" s="113" t="s">
        <v>1298</v>
      </c>
      <c r="D135" s="113" t="s">
        <v>40</v>
      </c>
      <c r="E135" s="113" t="s">
        <v>705</v>
      </c>
      <c r="F135" s="113" t="s">
        <v>705</v>
      </c>
      <c r="G135" s="113" t="s">
        <v>705</v>
      </c>
      <c r="H135" s="113" t="s">
        <v>705</v>
      </c>
      <c r="I135" s="113">
        <v>1</v>
      </c>
    </row>
    <row r="136" spans="2:9">
      <c r="B136" s="113" t="s">
        <v>1102</v>
      </c>
      <c r="C136" s="113" t="s">
        <v>1296</v>
      </c>
      <c r="D136" s="113" t="s">
        <v>40</v>
      </c>
      <c r="E136" s="113" t="s">
        <v>705</v>
      </c>
      <c r="F136" s="113" t="s">
        <v>705</v>
      </c>
      <c r="G136" s="113" t="s">
        <v>705</v>
      </c>
      <c r="H136" s="113" t="s">
        <v>705</v>
      </c>
      <c r="I136" s="113">
        <v>1</v>
      </c>
    </row>
    <row r="137" spans="2:9">
      <c r="B137" s="113" t="s">
        <v>1102</v>
      </c>
      <c r="C137" s="113" t="s">
        <v>1294</v>
      </c>
      <c r="D137" s="113" t="s">
        <v>1346</v>
      </c>
      <c r="E137" s="113" t="s">
        <v>705</v>
      </c>
      <c r="F137" s="113" t="s">
        <v>705</v>
      </c>
      <c r="G137" s="113" t="s">
        <v>705</v>
      </c>
      <c r="H137" s="113" t="s">
        <v>705</v>
      </c>
      <c r="I137" s="113">
        <v>1</v>
      </c>
    </row>
    <row r="138" spans="2:9">
      <c r="B138" s="113" t="s">
        <v>1102</v>
      </c>
      <c r="C138" s="113" t="s">
        <v>174</v>
      </c>
      <c r="D138" s="113" t="s">
        <v>39</v>
      </c>
      <c r="E138" s="113" t="s">
        <v>705</v>
      </c>
      <c r="F138" s="113" t="s">
        <v>705</v>
      </c>
      <c r="G138" s="113" t="s">
        <v>705</v>
      </c>
      <c r="H138" s="113" t="s">
        <v>705</v>
      </c>
      <c r="I138" s="113">
        <v>1</v>
      </c>
    </row>
    <row r="139" spans="2:9">
      <c r="B139" s="113" t="s">
        <v>1102</v>
      </c>
      <c r="C139" s="113" t="s">
        <v>174</v>
      </c>
      <c r="D139" s="113" t="s">
        <v>38</v>
      </c>
      <c r="E139" s="113" t="s">
        <v>705</v>
      </c>
      <c r="F139" s="113" t="s">
        <v>705</v>
      </c>
      <c r="G139" s="113" t="s">
        <v>705</v>
      </c>
      <c r="H139" s="113" t="s">
        <v>705</v>
      </c>
      <c r="I139" s="113">
        <v>1</v>
      </c>
    </row>
    <row r="140" spans="2:9">
      <c r="B140" s="113" t="s">
        <v>1102</v>
      </c>
      <c r="C140" s="113" t="s">
        <v>174</v>
      </c>
      <c r="D140" s="113" t="s">
        <v>590</v>
      </c>
      <c r="E140" s="113" t="s">
        <v>705</v>
      </c>
      <c r="F140" s="113" t="s">
        <v>705</v>
      </c>
      <c r="G140" s="113" t="s">
        <v>705</v>
      </c>
      <c r="H140" s="113" t="s">
        <v>705</v>
      </c>
      <c r="I140" s="113">
        <v>1</v>
      </c>
    </row>
    <row r="141" spans="2:9">
      <c r="B141" s="113" t="s">
        <v>1102</v>
      </c>
      <c r="C141" s="113" t="s">
        <v>174</v>
      </c>
      <c r="D141" s="113" t="s">
        <v>1335</v>
      </c>
      <c r="E141" s="113" t="s">
        <v>705</v>
      </c>
      <c r="F141" s="113" t="s">
        <v>705</v>
      </c>
      <c r="G141" s="113" t="s">
        <v>705</v>
      </c>
      <c r="H141" s="113" t="s">
        <v>705</v>
      </c>
      <c r="I141" s="113">
        <v>1</v>
      </c>
    </row>
    <row r="142" spans="2:9">
      <c r="B142" s="113" t="s">
        <v>1102</v>
      </c>
      <c r="C142" s="113" t="s">
        <v>174</v>
      </c>
      <c r="D142" s="113" t="s">
        <v>40</v>
      </c>
      <c r="E142" s="113" t="s">
        <v>705</v>
      </c>
      <c r="F142" s="113" t="s">
        <v>705</v>
      </c>
      <c r="G142" s="113" t="s">
        <v>705</v>
      </c>
      <c r="H142" s="113" t="s">
        <v>705</v>
      </c>
      <c r="I142" s="113">
        <v>1</v>
      </c>
    </row>
    <row r="143" spans="2:9">
      <c r="B143" s="113" t="s">
        <v>1102</v>
      </c>
      <c r="C143" s="113" t="s">
        <v>1291</v>
      </c>
      <c r="D143" s="113" t="s">
        <v>40</v>
      </c>
      <c r="E143" s="113" t="s">
        <v>705</v>
      </c>
      <c r="F143" s="113" t="s">
        <v>705</v>
      </c>
      <c r="G143" s="113" t="s">
        <v>705</v>
      </c>
      <c r="H143" s="113" t="s">
        <v>705</v>
      </c>
      <c r="I143" s="113">
        <v>1</v>
      </c>
    </row>
    <row r="144" spans="2:9">
      <c r="B144" s="113" t="s">
        <v>1102</v>
      </c>
      <c r="C144" s="113" t="s">
        <v>1289</v>
      </c>
      <c r="D144" s="113" t="s">
        <v>40</v>
      </c>
      <c r="E144" s="113" t="s">
        <v>705</v>
      </c>
      <c r="F144" s="113" t="s">
        <v>705</v>
      </c>
      <c r="G144" s="113" t="s">
        <v>705</v>
      </c>
      <c r="H144" s="113" t="s">
        <v>705</v>
      </c>
      <c r="I144" s="113">
        <v>1</v>
      </c>
    </row>
    <row r="145" spans="2:9">
      <c r="B145" s="113" t="s">
        <v>1102</v>
      </c>
      <c r="C145" s="113" t="s">
        <v>539</v>
      </c>
      <c r="D145" s="113" t="s">
        <v>39</v>
      </c>
      <c r="E145" s="113" t="s">
        <v>705</v>
      </c>
      <c r="F145" s="113" t="s">
        <v>705</v>
      </c>
      <c r="G145" s="113" t="s">
        <v>705</v>
      </c>
      <c r="H145" s="113" t="s">
        <v>705</v>
      </c>
      <c r="I145" s="113">
        <v>1</v>
      </c>
    </row>
    <row r="146" spans="2:9">
      <c r="B146" s="113" t="s">
        <v>1102</v>
      </c>
      <c r="C146" s="113" t="s">
        <v>539</v>
      </c>
      <c r="D146" s="113" t="s">
        <v>38</v>
      </c>
      <c r="E146" s="113" t="s">
        <v>705</v>
      </c>
      <c r="F146" s="113" t="s">
        <v>705</v>
      </c>
      <c r="G146" s="113" t="s">
        <v>705</v>
      </c>
      <c r="H146" s="113" t="s">
        <v>705</v>
      </c>
      <c r="I146" s="113">
        <v>1</v>
      </c>
    </row>
    <row r="147" spans="2:9">
      <c r="B147" s="113" t="s">
        <v>1102</v>
      </c>
      <c r="C147" s="113" t="s">
        <v>539</v>
      </c>
      <c r="D147" s="113" t="s">
        <v>590</v>
      </c>
      <c r="E147" s="113" t="s">
        <v>705</v>
      </c>
      <c r="F147" s="113" t="s">
        <v>705</v>
      </c>
      <c r="G147" s="113" t="s">
        <v>705</v>
      </c>
      <c r="H147" s="113" t="s">
        <v>705</v>
      </c>
      <c r="I147" s="113">
        <v>1</v>
      </c>
    </row>
    <row r="148" spans="2:9">
      <c r="B148" s="113" t="s">
        <v>1102</v>
      </c>
      <c r="C148" s="113" t="s">
        <v>539</v>
      </c>
      <c r="D148" s="113" t="s">
        <v>1335</v>
      </c>
      <c r="E148" s="113" t="s">
        <v>705</v>
      </c>
      <c r="F148" s="113" t="s">
        <v>705</v>
      </c>
      <c r="G148" s="113" t="s">
        <v>705</v>
      </c>
      <c r="H148" s="113" t="s">
        <v>705</v>
      </c>
      <c r="I148" s="113">
        <v>1</v>
      </c>
    </row>
    <row r="149" spans="2:9">
      <c r="B149" s="113" t="s">
        <v>1102</v>
      </c>
      <c r="C149" s="113" t="s">
        <v>539</v>
      </c>
      <c r="D149" s="113" t="s">
        <v>40</v>
      </c>
      <c r="E149" s="113" t="s">
        <v>705</v>
      </c>
      <c r="F149" s="113" t="s">
        <v>705</v>
      </c>
      <c r="G149" s="113" t="s">
        <v>705</v>
      </c>
      <c r="H149" s="113" t="s">
        <v>705</v>
      </c>
      <c r="I149" s="113">
        <v>1</v>
      </c>
    </row>
    <row r="150" spans="2:9">
      <c r="B150" s="113" t="s">
        <v>1102</v>
      </c>
      <c r="C150" s="113" t="s">
        <v>540</v>
      </c>
      <c r="D150" s="113" t="s">
        <v>38</v>
      </c>
      <c r="E150" s="113" t="s">
        <v>705</v>
      </c>
      <c r="F150" s="113" t="s">
        <v>705</v>
      </c>
      <c r="G150" s="113" t="s">
        <v>705</v>
      </c>
      <c r="H150" s="113" t="s">
        <v>705</v>
      </c>
      <c r="I150" s="113">
        <v>1</v>
      </c>
    </row>
    <row r="151" spans="2:9">
      <c r="B151" s="113" t="s">
        <v>1102</v>
      </c>
      <c r="C151" s="113" t="s">
        <v>540</v>
      </c>
      <c r="D151" s="113" t="s">
        <v>590</v>
      </c>
      <c r="E151" s="113" t="s">
        <v>705</v>
      </c>
      <c r="F151" s="113" t="s">
        <v>705</v>
      </c>
      <c r="G151" s="113" t="s">
        <v>705</v>
      </c>
      <c r="H151" s="113" t="s">
        <v>705</v>
      </c>
      <c r="I151" s="113">
        <v>1</v>
      </c>
    </row>
    <row r="152" spans="2:9">
      <c r="B152" s="113" t="s">
        <v>1102</v>
      </c>
      <c r="C152" s="113" t="s">
        <v>540</v>
      </c>
      <c r="D152" s="113" t="s">
        <v>1335</v>
      </c>
      <c r="E152" s="113" t="s">
        <v>705</v>
      </c>
      <c r="F152" s="113" t="s">
        <v>705</v>
      </c>
      <c r="G152" s="113" t="s">
        <v>705</v>
      </c>
      <c r="H152" s="113" t="s">
        <v>705</v>
      </c>
      <c r="I152" s="113">
        <v>1</v>
      </c>
    </row>
    <row r="153" spans="2:9">
      <c r="B153" s="113" t="s">
        <v>1102</v>
      </c>
      <c r="C153" s="113" t="s">
        <v>540</v>
      </c>
      <c r="D153" s="113" t="s">
        <v>40</v>
      </c>
      <c r="E153" s="113" t="s">
        <v>705</v>
      </c>
      <c r="F153" s="113" t="s">
        <v>705</v>
      </c>
      <c r="G153" s="113" t="s">
        <v>705</v>
      </c>
      <c r="H153" s="113" t="s">
        <v>705</v>
      </c>
      <c r="I153" s="113">
        <v>1</v>
      </c>
    </row>
    <row r="154" spans="2:9">
      <c r="B154" s="113" t="s">
        <v>1102</v>
      </c>
      <c r="C154" s="113" t="s">
        <v>178</v>
      </c>
      <c r="D154" s="113" t="s">
        <v>42</v>
      </c>
      <c r="E154" s="113" t="s">
        <v>705</v>
      </c>
      <c r="F154" s="113" t="s">
        <v>705</v>
      </c>
      <c r="G154" s="113" t="s">
        <v>705</v>
      </c>
      <c r="H154" s="113" t="s">
        <v>705</v>
      </c>
      <c r="I154" s="113">
        <v>1</v>
      </c>
    </row>
    <row r="155" spans="2:9">
      <c r="B155" s="113" t="s">
        <v>1102</v>
      </c>
      <c r="C155" s="113" t="s">
        <v>178</v>
      </c>
      <c r="D155" s="113" t="s">
        <v>39</v>
      </c>
      <c r="E155" s="113" t="s">
        <v>705</v>
      </c>
      <c r="F155" s="113" t="s">
        <v>705</v>
      </c>
      <c r="G155" s="113" t="s">
        <v>705</v>
      </c>
      <c r="H155" s="113" t="s">
        <v>705</v>
      </c>
      <c r="I155" s="113">
        <v>1</v>
      </c>
    </row>
    <row r="156" spans="2:9">
      <c r="B156" s="113" t="s">
        <v>1102</v>
      </c>
      <c r="C156" s="113" t="s">
        <v>178</v>
      </c>
      <c r="D156" s="113" t="s">
        <v>38</v>
      </c>
      <c r="E156" s="113" t="s">
        <v>705</v>
      </c>
      <c r="F156" s="113" t="s">
        <v>705</v>
      </c>
      <c r="G156" s="113" t="s">
        <v>705</v>
      </c>
      <c r="H156" s="113" t="s">
        <v>705</v>
      </c>
      <c r="I156" s="113">
        <v>1</v>
      </c>
    </row>
    <row r="157" spans="2:9">
      <c r="B157" s="113" t="s">
        <v>1102</v>
      </c>
      <c r="C157" s="113" t="s">
        <v>178</v>
      </c>
      <c r="D157" s="113" t="s">
        <v>590</v>
      </c>
      <c r="E157" s="113" t="s">
        <v>705</v>
      </c>
      <c r="F157" s="113" t="s">
        <v>705</v>
      </c>
      <c r="G157" s="113" t="s">
        <v>705</v>
      </c>
      <c r="H157" s="113" t="s">
        <v>705</v>
      </c>
      <c r="I157" s="113">
        <v>1</v>
      </c>
    </row>
    <row r="158" spans="2:9">
      <c r="B158" s="113" t="s">
        <v>1102</v>
      </c>
      <c r="C158" s="113" t="s">
        <v>178</v>
      </c>
      <c r="D158" s="113" t="s">
        <v>1335</v>
      </c>
      <c r="E158" s="113" t="s">
        <v>705</v>
      </c>
      <c r="F158" s="113" t="s">
        <v>705</v>
      </c>
      <c r="G158" s="113" t="s">
        <v>705</v>
      </c>
      <c r="H158" s="113" t="s">
        <v>705</v>
      </c>
      <c r="I158" s="113">
        <v>1</v>
      </c>
    </row>
    <row r="159" spans="2:9">
      <c r="B159" s="113" t="s">
        <v>1102</v>
      </c>
      <c r="C159" s="113" t="s">
        <v>178</v>
      </c>
      <c r="D159" s="113" t="s">
        <v>40</v>
      </c>
      <c r="E159" s="113" t="s">
        <v>705</v>
      </c>
      <c r="F159" s="113" t="s">
        <v>705</v>
      </c>
      <c r="G159" s="113" t="s">
        <v>705</v>
      </c>
      <c r="H159" s="113" t="s">
        <v>705</v>
      </c>
      <c r="I159" s="113">
        <v>1</v>
      </c>
    </row>
    <row r="160" spans="2:9">
      <c r="B160" s="113" t="s">
        <v>1102</v>
      </c>
      <c r="C160" s="113" t="s">
        <v>1284</v>
      </c>
      <c r="D160" s="113" t="s">
        <v>40</v>
      </c>
      <c r="E160" s="113" t="s">
        <v>705</v>
      </c>
      <c r="F160" s="113" t="s">
        <v>705</v>
      </c>
      <c r="G160" s="113" t="s">
        <v>705</v>
      </c>
      <c r="H160" s="113" t="s">
        <v>705</v>
      </c>
      <c r="I160" s="113">
        <v>1</v>
      </c>
    </row>
    <row r="161" spans="2:9">
      <c r="B161" s="113" t="s">
        <v>1102</v>
      </c>
      <c r="C161" s="113" t="s">
        <v>1282</v>
      </c>
      <c r="D161" s="113" t="s">
        <v>40</v>
      </c>
      <c r="E161" s="113" t="s">
        <v>705</v>
      </c>
      <c r="F161" s="113" t="s">
        <v>705</v>
      </c>
      <c r="G161" s="113" t="s">
        <v>705</v>
      </c>
      <c r="H161" s="113" t="s">
        <v>705</v>
      </c>
      <c r="I161" s="113">
        <v>1</v>
      </c>
    </row>
    <row r="162" spans="2:9">
      <c r="B162" s="113" t="s">
        <v>1102</v>
      </c>
      <c r="C162" s="113" t="s">
        <v>180</v>
      </c>
      <c r="D162" s="113" t="s">
        <v>39</v>
      </c>
      <c r="E162" s="113" t="s">
        <v>705</v>
      </c>
      <c r="F162" s="113" t="s">
        <v>705</v>
      </c>
      <c r="G162" s="113" t="s">
        <v>705</v>
      </c>
      <c r="H162" s="113" t="s">
        <v>705</v>
      </c>
      <c r="I162" s="113">
        <v>1</v>
      </c>
    </row>
    <row r="163" spans="2:9">
      <c r="B163" s="113" t="s">
        <v>1102</v>
      </c>
      <c r="C163" s="113" t="s">
        <v>180</v>
      </c>
      <c r="D163" s="113" t="s">
        <v>38</v>
      </c>
      <c r="E163" s="113" t="s">
        <v>705</v>
      </c>
      <c r="F163" s="113" t="s">
        <v>705</v>
      </c>
      <c r="G163" s="113" t="s">
        <v>705</v>
      </c>
      <c r="H163" s="113" t="s">
        <v>705</v>
      </c>
      <c r="I163" s="113">
        <v>1</v>
      </c>
    </row>
    <row r="164" spans="2:9">
      <c r="B164" s="113" t="s">
        <v>1102</v>
      </c>
      <c r="C164" s="113" t="s">
        <v>180</v>
      </c>
      <c r="D164" s="113" t="s">
        <v>590</v>
      </c>
      <c r="E164" s="113" t="s">
        <v>705</v>
      </c>
      <c r="F164" s="113" t="s">
        <v>705</v>
      </c>
      <c r="G164" s="113" t="s">
        <v>705</v>
      </c>
      <c r="H164" s="113" t="s">
        <v>705</v>
      </c>
      <c r="I164" s="113">
        <v>1</v>
      </c>
    </row>
    <row r="165" spans="2:9">
      <c r="B165" s="113" t="s">
        <v>1102</v>
      </c>
      <c r="C165" s="113" t="s">
        <v>180</v>
      </c>
      <c r="D165" s="113" t="s">
        <v>1335</v>
      </c>
      <c r="E165" s="113" t="s">
        <v>705</v>
      </c>
      <c r="F165" s="113" t="s">
        <v>705</v>
      </c>
      <c r="G165" s="113" t="s">
        <v>705</v>
      </c>
      <c r="H165" s="113" t="s">
        <v>705</v>
      </c>
      <c r="I165" s="113">
        <v>1</v>
      </c>
    </row>
    <row r="166" spans="2:9">
      <c r="B166" s="113" t="s">
        <v>1102</v>
      </c>
      <c r="C166" s="113" t="s">
        <v>180</v>
      </c>
      <c r="D166" s="113" t="s">
        <v>40</v>
      </c>
      <c r="E166" s="113" t="s">
        <v>705</v>
      </c>
      <c r="F166" s="113" t="s">
        <v>705</v>
      </c>
      <c r="G166" s="113" t="s">
        <v>705</v>
      </c>
      <c r="H166" s="113" t="s">
        <v>705</v>
      </c>
      <c r="I166" s="113">
        <v>1</v>
      </c>
    </row>
    <row r="167" spans="2:9">
      <c r="B167" s="113" t="s">
        <v>1102</v>
      </c>
      <c r="C167" s="113" t="s">
        <v>1279</v>
      </c>
      <c r="D167" s="113" t="s">
        <v>40</v>
      </c>
      <c r="E167" s="113" t="s">
        <v>705</v>
      </c>
      <c r="F167" s="113" t="s">
        <v>705</v>
      </c>
      <c r="G167" s="113" t="s">
        <v>705</v>
      </c>
      <c r="H167" s="113" t="s">
        <v>705</v>
      </c>
      <c r="I167" s="113">
        <v>1</v>
      </c>
    </row>
    <row r="168" spans="2:9">
      <c r="B168" s="113" t="s">
        <v>1102</v>
      </c>
      <c r="C168" s="113" t="s">
        <v>1277</v>
      </c>
      <c r="D168" s="113" t="s">
        <v>40</v>
      </c>
      <c r="E168" s="113" t="s">
        <v>705</v>
      </c>
      <c r="F168" s="113" t="s">
        <v>705</v>
      </c>
      <c r="G168" s="113" t="s">
        <v>705</v>
      </c>
      <c r="H168" s="113" t="s">
        <v>705</v>
      </c>
      <c r="I168" s="113">
        <v>1</v>
      </c>
    </row>
    <row r="169" spans="2:9">
      <c r="B169" s="113" t="s">
        <v>1102</v>
      </c>
      <c r="C169" s="113" t="s">
        <v>541</v>
      </c>
      <c r="D169" s="113" t="s">
        <v>39</v>
      </c>
      <c r="E169" s="113" t="s">
        <v>705</v>
      </c>
      <c r="F169" s="113" t="s">
        <v>705</v>
      </c>
      <c r="G169" s="113" t="s">
        <v>705</v>
      </c>
      <c r="H169" s="113" t="s">
        <v>705</v>
      </c>
      <c r="I169" s="113">
        <v>1</v>
      </c>
    </row>
    <row r="170" spans="2:9">
      <c r="B170" s="113" t="s">
        <v>1102</v>
      </c>
      <c r="C170" s="113" t="s">
        <v>541</v>
      </c>
      <c r="D170" s="113" t="s">
        <v>38</v>
      </c>
      <c r="E170" s="113" t="s">
        <v>705</v>
      </c>
      <c r="F170" s="113" t="s">
        <v>705</v>
      </c>
      <c r="G170" s="113" t="s">
        <v>705</v>
      </c>
      <c r="H170" s="113" t="s">
        <v>705</v>
      </c>
      <c r="I170" s="113">
        <v>1</v>
      </c>
    </row>
    <row r="171" spans="2:9">
      <c r="B171" s="113" t="s">
        <v>1102</v>
      </c>
      <c r="C171" s="113" t="s">
        <v>541</v>
      </c>
      <c r="D171" s="113" t="s">
        <v>590</v>
      </c>
      <c r="E171" s="113" t="s">
        <v>705</v>
      </c>
      <c r="F171" s="113" t="s">
        <v>705</v>
      </c>
      <c r="G171" s="113" t="s">
        <v>705</v>
      </c>
      <c r="H171" s="113" t="s">
        <v>705</v>
      </c>
      <c r="I171" s="113">
        <v>1</v>
      </c>
    </row>
    <row r="172" spans="2:9">
      <c r="B172" s="113" t="s">
        <v>1102</v>
      </c>
      <c r="C172" s="113" t="s">
        <v>541</v>
      </c>
      <c r="D172" s="113" t="s">
        <v>1335</v>
      </c>
      <c r="E172" s="113" t="s">
        <v>705</v>
      </c>
      <c r="F172" s="113" t="s">
        <v>705</v>
      </c>
      <c r="G172" s="113" t="s">
        <v>705</v>
      </c>
      <c r="H172" s="113" t="s">
        <v>705</v>
      </c>
      <c r="I172" s="113">
        <v>1</v>
      </c>
    </row>
    <row r="173" spans="2:9">
      <c r="B173" s="113" t="s">
        <v>1102</v>
      </c>
      <c r="C173" s="113" t="s">
        <v>541</v>
      </c>
      <c r="D173" s="113" t="s">
        <v>40</v>
      </c>
      <c r="E173" s="113" t="s">
        <v>705</v>
      </c>
      <c r="F173" s="113" t="s">
        <v>705</v>
      </c>
      <c r="G173" s="113" t="s">
        <v>705</v>
      </c>
      <c r="H173" s="113" t="s">
        <v>705</v>
      </c>
      <c r="I173" s="113">
        <v>1</v>
      </c>
    </row>
    <row r="174" spans="2:9">
      <c r="B174" s="113" t="s">
        <v>1102</v>
      </c>
      <c r="C174" s="113" t="s">
        <v>1274</v>
      </c>
      <c r="D174" s="113" t="s">
        <v>1461</v>
      </c>
      <c r="E174" s="113" t="s">
        <v>705</v>
      </c>
      <c r="F174" s="113" t="s">
        <v>705</v>
      </c>
      <c r="G174" s="113" t="s">
        <v>705</v>
      </c>
      <c r="H174" s="113" t="s">
        <v>705</v>
      </c>
      <c r="I174" s="113">
        <v>1</v>
      </c>
    </row>
    <row r="175" spans="2:9">
      <c r="B175" s="113" t="s">
        <v>1102</v>
      </c>
      <c r="C175" s="113" t="s">
        <v>1274</v>
      </c>
      <c r="D175" s="113" t="s">
        <v>1460</v>
      </c>
      <c r="E175" s="113" t="s">
        <v>705</v>
      </c>
      <c r="F175" s="113" t="s">
        <v>705</v>
      </c>
      <c r="G175" s="113" t="s">
        <v>705</v>
      </c>
      <c r="H175" s="113" t="s">
        <v>705</v>
      </c>
      <c r="I175" s="113">
        <v>1</v>
      </c>
    </row>
    <row r="176" spans="2:9">
      <c r="B176" s="113" t="s">
        <v>1102</v>
      </c>
      <c r="C176" s="113" t="s">
        <v>1272</v>
      </c>
      <c r="D176" s="113" t="s">
        <v>1323</v>
      </c>
      <c r="E176" s="113" t="s">
        <v>705</v>
      </c>
      <c r="F176" s="113" t="s">
        <v>705</v>
      </c>
      <c r="G176" s="113" t="s">
        <v>705</v>
      </c>
      <c r="H176" s="113" t="s">
        <v>705</v>
      </c>
      <c r="I176" s="113">
        <v>1</v>
      </c>
    </row>
    <row r="177" spans="2:9">
      <c r="B177" s="113" t="s">
        <v>1102</v>
      </c>
      <c r="C177" s="113" t="s">
        <v>1270</v>
      </c>
      <c r="D177" s="572" t="s">
        <v>1459</v>
      </c>
      <c r="E177" s="113" t="s">
        <v>705</v>
      </c>
      <c r="F177" s="113" t="s">
        <v>705</v>
      </c>
      <c r="G177" s="113" t="s">
        <v>705</v>
      </c>
      <c r="H177" s="113" t="s">
        <v>705</v>
      </c>
      <c r="I177" s="113">
        <v>1</v>
      </c>
    </row>
    <row r="178" spans="2:9">
      <c r="B178" s="113" t="s">
        <v>1102</v>
      </c>
      <c r="C178" s="113" t="s">
        <v>1268</v>
      </c>
      <c r="D178" s="113" t="s">
        <v>1458</v>
      </c>
      <c r="E178" s="113" t="s">
        <v>705</v>
      </c>
      <c r="F178" s="113" t="s">
        <v>705</v>
      </c>
      <c r="G178" s="113" t="s">
        <v>705</v>
      </c>
      <c r="H178" s="113" t="s">
        <v>705</v>
      </c>
      <c r="I178" s="113">
        <v>1</v>
      </c>
    </row>
    <row r="179" spans="2:9">
      <c r="B179" s="113" t="s">
        <v>1102</v>
      </c>
      <c r="C179" s="113" t="s">
        <v>1266</v>
      </c>
      <c r="D179" s="113" t="s">
        <v>1313</v>
      </c>
      <c r="E179" s="113" t="s">
        <v>705</v>
      </c>
      <c r="F179" s="113" t="s">
        <v>705</v>
      </c>
      <c r="G179" s="113" t="s">
        <v>705</v>
      </c>
      <c r="H179" s="113" t="s">
        <v>705</v>
      </c>
      <c r="I179" s="113">
        <v>1</v>
      </c>
    </row>
    <row r="180" spans="2:9">
      <c r="B180" s="113" t="s">
        <v>1102</v>
      </c>
      <c r="C180" s="113" t="s">
        <v>1264</v>
      </c>
      <c r="D180" s="113" t="s">
        <v>1457</v>
      </c>
      <c r="E180" s="113" t="s">
        <v>705</v>
      </c>
      <c r="F180" s="113" t="s">
        <v>705</v>
      </c>
      <c r="G180" s="113" t="s">
        <v>705</v>
      </c>
      <c r="H180" s="113" t="s">
        <v>705</v>
      </c>
      <c r="I180" s="113">
        <v>1</v>
      </c>
    </row>
    <row r="181" spans="2:9">
      <c r="B181" s="113" t="s">
        <v>1102</v>
      </c>
      <c r="C181" s="113" t="s">
        <v>1260</v>
      </c>
      <c r="D181" s="113" t="s">
        <v>1456</v>
      </c>
      <c r="E181" s="113" t="s">
        <v>705</v>
      </c>
      <c r="F181" s="113" t="s">
        <v>705</v>
      </c>
      <c r="G181" s="113" t="s">
        <v>705</v>
      </c>
      <c r="H181" s="113" t="s">
        <v>705</v>
      </c>
      <c r="I181" s="113">
        <v>1</v>
      </c>
    </row>
    <row r="182" spans="2:9">
      <c r="B182" s="113" t="s">
        <v>1101</v>
      </c>
      <c r="C182" s="113" t="s">
        <v>169</v>
      </c>
      <c r="D182" s="113" t="s">
        <v>41</v>
      </c>
      <c r="E182" s="113" t="s">
        <v>705</v>
      </c>
      <c r="F182" s="113" t="s">
        <v>705</v>
      </c>
      <c r="G182" s="113" t="s">
        <v>705</v>
      </c>
      <c r="H182" s="113" t="s">
        <v>705</v>
      </c>
      <c r="I182" s="113">
        <v>1</v>
      </c>
    </row>
    <row r="183" spans="2:9">
      <c r="B183" s="113" t="s">
        <v>1101</v>
      </c>
      <c r="C183" s="113" t="s">
        <v>1304</v>
      </c>
      <c r="D183" s="113" t="s">
        <v>41</v>
      </c>
      <c r="E183" s="113" t="s">
        <v>705</v>
      </c>
      <c r="F183" s="113" t="s">
        <v>705</v>
      </c>
      <c r="G183" s="113" t="s">
        <v>705</v>
      </c>
      <c r="H183" s="113" t="s">
        <v>705</v>
      </c>
      <c r="I183" s="113">
        <v>1</v>
      </c>
    </row>
    <row r="184" spans="2:9">
      <c r="B184" s="113" t="s">
        <v>1101</v>
      </c>
      <c r="C184" s="113" t="s">
        <v>1302</v>
      </c>
      <c r="D184" s="113" t="s">
        <v>41</v>
      </c>
      <c r="E184" s="113" t="s">
        <v>705</v>
      </c>
      <c r="F184" s="113" t="s">
        <v>705</v>
      </c>
      <c r="G184" s="113" t="s">
        <v>705</v>
      </c>
      <c r="H184" s="113" t="s">
        <v>705</v>
      </c>
      <c r="I184" s="113">
        <v>1</v>
      </c>
    </row>
    <row r="185" spans="2:9">
      <c r="B185" s="113" t="s">
        <v>1101</v>
      </c>
      <c r="C185" s="113" t="s">
        <v>538</v>
      </c>
      <c r="D185" s="113" t="s">
        <v>41</v>
      </c>
      <c r="E185" s="113" t="s">
        <v>705</v>
      </c>
      <c r="F185" s="113" t="s">
        <v>705</v>
      </c>
      <c r="G185" s="113" t="s">
        <v>705</v>
      </c>
      <c r="H185" s="113" t="s">
        <v>705</v>
      </c>
      <c r="I185" s="113">
        <v>1</v>
      </c>
    </row>
    <row r="186" spans="2:9">
      <c r="B186" s="113" t="s">
        <v>1101</v>
      </c>
      <c r="C186" s="113" t="s">
        <v>171</v>
      </c>
      <c r="D186" s="113" t="s">
        <v>41</v>
      </c>
      <c r="E186" s="113" t="s">
        <v>705</v>
      </c>
      <c r="F186" s="113" t="s">
        <v>705</v>
      </c>
      <c r="G186" s="113" t="s">
        <v>705</v>
      </c>
      <c r="H186" s="113" t="s">
        <v>705</v>
      </c>
      <c r="I186" s="113">
        <v>1</v>
      </c>
    </row>
    <row r="187" spans="2:9">
      <c r="B187" s="113" t="s">
        <v>1101</v>
      </c>
      <c r="C187" s="113" t="s">
        <v>1298</v>
      </c>
      <c r="D187" s="113" t="s">
        <v>41</v>
      </c>
      <c r="E187" s="113" t="s">
        <v>705</v>
      </c>
      <c r="F187" s="113" t="s">
        <v>705</v>
      </c>
      <c r="G187" s="113" t="s">
        <v>705</v>
      </c>
      <c r="H187" s="113" t="s">
        <v>705</v>
      </c>
      <c r="I187" s="113">
        <v>1</v>
      </c>
    </row>
    <row r="188" spans="2:9">
      <c r="B188" s="113" t="s">
        <v>1101</v>
      </c>
      <c r="C188" s="113" t="s">
        <v>1296</v>
      </c>
      <c r="D188" s="113" t="s">
        <v>41</v>
      </c>
      <c r="E188" s="113" t="s">
        <v>705</v>
      </c>
      <c r="F188" s="113" t="s">
        <v>705</v>
      </c>
      <c r="G188" s="113" t="s">
        <v>705</v>
      </c>
      <c r="H188" s="113" t="s">
        <v>705</v>
      </c>
      <c r="I188" s="113">
        <v>1</v>
      </c>
    </row>
    <row r="189" spans="2:9">
      <c r="B189" s="113" t="s">
        <v>1101</v>
      </c>
      <c r="C189" s="113" t="s">
        <v>1294</v>
      </c>
      <c r="D189" s="113" t="s">
        <v>42</v>
      </c>
      <c r="E189" s="113" t="s">
        <v>705</v>
      </c>
      <c r="F189" s="113" t="s">
        <v>705</v>
      </c>
      <c r="G189" s="113" t="s">
        <v>705</v>
      </c>
      <c r="H189" s="113" t="s">
        <v>705</v>
      </c>
      <c r="I189" s="113">
        <v>1</v>
      </c>
    </row>
    <row r="190" spans="2:9">
      <c r="B190" s="113" t="s">
        <v>1101</v>
      </c>
      <c r="C190" s="113" t="s">
        <v>1294</v>
      </c>
      <c r="D190" s="113" t="s">
        <v>1340</v>
      </c>
      <c r="E190" s="113" t="s">
        <v>705</v>
      </c>
      <c r="F190" s="113" t="s">
        <v>705</v>
      </c>
      <c r="G190" s="113" t="s">
        <v>705</v>
      </c>
      <c r="H190" s="113" t="s">
        <v>705</v>
      </c>
      <c r="I190" s="113">
        <v>1</v>
      </c>
    </row>
    <row r="191" spans="2:9">
      <c r="B191" s="113" t="s">
        <v>1101</v>
      </c>
      <c r="C191" s="113" t="s">
        <v>174</v>
      </c>
      <c r="D191" s="113" t="s">
        <v>41</v>
      </c>
      <c r="E191" s="113" t="s">
        <v>705</v>
      </c>
      <c r="F191" s="113" t="s">
        <v>705</v>
      </c>
      <c r="G191" s="113" t="s">
        <v>705</v>
      </c>
      <c r="H191" s="113" t="s">
        <v>705</v>
      </c>
      <c r="I191" s="113">
        <v>1</v>
      </c>
    </row>
    <row r="192" spans="2:9">
      <c r="B192" s="113" t="s">
        <v>1101</v>
      </c>
      <c r="C192" s="113" t="s">
        <v>1291</v>
      </c>
      <c r="D192" s="113" t="s">
        <v>41</v>
      </c>
      <c r="E192" s="113" t="s">
        <v>705</v>
      </c>
      <c r="F192" s="113" t="s">
        <v>705</v>
      </c>
      <c r="G192" s="113" t="s">
        <v>705</v>
      </c>
      <c r="H192" s="113" t="s">
        <v>705</v>
      </c>
      <c r="I192" s="113">
        <v>1</v>
      </c>
    </row>
    <row r="193" spans="2:9">
      <c r="B193" s="113" t="s">
        <v>1101</v>
      </c>
      <c r="C193" s="113" t="s">
        <v>1289</v>
      </c>
      <c r="D193" s="113" t="s">
        <v>41</v>
      </c>
      <c r="E193" s="113" t="s">
        <v>705</v>
      </c>
      <c r="F193" s="113" t="s">
        <v>705</v>
      </c>
      <c r="G193" s="113" t="s">
        <v>705</v>
      </c>
      <c r="H193" s="113" t="s">
        <v>705</v>
      </c>
      <c r="I193" s="113">
        <v>1</v>
      </c>
    </row>
    <row r="194" spans="2:9">
      <c r="B194" s="113" t="s">
        <v>1101</v>
      </c>
      <c r="C194" s="113" t="s">
        <v>539</v>
      </c>
      <c r="D194" s="113" t="s">
        <v>41</v>
      </c>
      <c r="E194" s="113" t="s">
        <v>705</v>
      </c>
      <c r="F194" s="113" t="s">
        <v>705</v>
      </c>
      <c r="G194" s="113" t="s">
        <v>705</v>
      </c>
      <c r="H194" s="113" t="s">
        <v>705</v>
      </c>
      <c r="I194" s="113">
        <v>1</v>
      </c>
    </row>
    <row r="195" spans="2:9">
      <c r="B195" s="113" t="s">
        <v>1101</v>
      </c>
      <c r="C195" s="113" t="s">
        <v>540</v>
      </c>
      <c r="D195" s="113" t="s">
        <v>41</v>
      </c>
      <c r="E195" s="113" t="s">
        <v>705</v>
      </c>
      <c r="F195" s="113" t="s">
        <v>705</v>
      </c>
      <c r="G195" s="113" t="s">
        <v>705</v>
      </c>
      <c r="H195" s="113" t="s">
        <v>705</v>
      </c>
      <c r="I195" s="113">
        <v>1</v>
      </c>
    </row>
    <row r="196" spans="2:9">
      <c r="B196" s="113" t="s">
        <v>1101</v>
      </c>
      <c r="C196" s="113" t="s">
        <v>178</v>
      </c>
      <c r="D196" s="113" t="s">
        <v>41</v>
      </c>
      <c r="E196" s="113" t="s">
        <v>705</v>
      </c>
      <c r="F196" s="113" t="s">
        <v>705</v>
      </c>
      <c r="G196" s="113" t="s">
        <v>705</v>
      </c>
      <c r="H196" s="113" t="s">
        <v>705</v>
      </c>
      <c r="I196" s="113">
        <v>1</v>
      </c>
    </row>
    <row r="197" spans="2:9">
      <c r="B197" s="113" t="s">
        <v>1101</v>
      </c>
      <c r="C197" s="113" t="s">
        <v>1284</v>
      </c>
      <c r="D197" s="113" t="s">
        <v>41</v>
      </c>
      <c r="E197" s="113" t="s">
        <v>705</v>
      </c>
      <c r="F197" s="113" t="s">
        <v>705</v>
      </c>
      <c r="G197" s="113" t="s">
        <v>705</v>
      </c>
      <c r="H197" s="113" t="s">
        <v>705</v>
      </c>
      <c r="I197" s="113">
        <v>1</v>
      </c>
    </row>
    <row r="198" spans="2:9">
      <c r="B198" s="113" t="s">
        <v>1101</v>
      </c>
      <c r="C198" s="113" t="s">
        <v>1282</v>
      </c>
      <c r="D198" s="113" t="s">
        <v>41</v>
      </c>
      <c r="E198" s="113" t="s">
        <v>705</v>
      </c>
      <c r="F198" s="113" t="s">
        <v>705</v>
      </c>
      <c r="G198" s="113" t="s">
        <v>705</v>
      </c>
      <c r="H198" s="113" t="s">
        <v>705</v>
      </c>
      <c r="I198" s="113">
        <v>1</v>
      </c>
    </row>
    <row r="199" spans="2:9">
      <c r="B199" s="113" t="s">
        <v>1101</v>
      </c>
      <c r="C199" s="113" t="s">
        <v>180</v>
      </c>
      <c r="D199" s="113" t="s">
        <v>41</v>
      </c>
      <c r="E199" s="113" t="s">
        <v>705</v>
      </c>
      <c r="F199" s="113" t="s">
        <v>705</v>
      </c>
      <c r="G199" s="113" t="s">
        <v>705</v>
      </c>
      <c r="H199" s="113" t="s">
        <v>705</v>
      </c>
      <c r="I199" s="113">
        <v>1</v>
      </c>
    </row>
    <row r="200" spans="2:9">
      <c r="B200" s="113" t="s">
        <v>1101</v>
      </c>
      <c r="C200" s="113" t="s">
        <v>1279</v>
      </c>
      <c r="D200" s="113" t="s">
        <v>41</v>
      </c>
      <c r="E200" s="113" t="s">
        <v>705</v>
      </c>
      <c r="F200" s="113" t="s">
        <v>705</v>
      </c>
      <c r="G200" s="113" t="s">
        <v>705</v>
      </c>
      <c r="H200" s="113" t="s">
        <v>705</v>
      </c>
      <c r="I200" s="113">
        <v>1</v>
      </c>
    </row>
    <row r="201" spans="2:9">
      <c r="B201" s="113" t="s">
        <v>1101</v>
      </c>
      <c r="C201" s="113" t="s">
        <v>1277</v>
      </c>
      <c r="D201" s="113" t="s">
        <v>41</v>
      </c>
      <c r="E201" s="113" t="s">
        <v>705</v>
      </c>
      <c r="F201" s="113" t="s">
        <v>705</v>
      </c>
      <c r="G201" s="113" t="s">
        <v>705</v>
      </c>
      <c r="H201" s="113" t="s">
        <v>705</v>
      </c>
      <c r="I201" s="113">
        <v>1</v>
      </c>
    </row>
    <row r="202" spans="2:9">
      <c r="B202" s="113" t="s">
        <v>1101</v>
      </c>
      <c r="C202" s="113" t="s">
        <v>541</v>
      </c>
      <c r="D202" s="113" t="s">
        <v>41</v>
      </c>
      <c r="E202" s="113" t="s">
        <v>705</v>
      </c>
      <c r="F202" s="113" t="s">
        <v>705</v>
      </c>
      <c r="G202" s="113" t="s">
        <v>705</v>
      </c>
      <c r="H202" s="113" t="s">
        <v>705</v>
      </c>
      <c r="I202" s="113">
        <v>1</v>
      </c>
    </row>
    <row r="203" spans="2:9">
      <c r="B203" s="113" t="s">
        <v>1101</v>
      </c>
      <c r="C203" s="113" t="s">
        <v>1274</v>
      </c>
      <c r="D203" s="113" t="s">
        <v>1348</v>
      </c>
      <c r="E203" s="113" t="s">
        <v>705</v>
      </c>
      <c r="F203" s="113" t="s">
        <v>705</v>
      </c>
      <c r="G203" s="113" t="s">
        <v>705</v>
      </c>
      <c r="H203" s="113" t="s">
        <v>705</v>
      </c>
      <c r="I203" s="113">
        <v>1</v>
      </c>
    </row>
    <row r="204" spans="2:9">
      <c r="B204" s="113" t="s">
        <v>1101</v>
      </c>
      <c r="C204" s="113" t="s">
        <v>1272</v>
      </c>
      <c r="D204" s="113" t="s">
        <v>1346</v>
      </c>
      <c r="E204" s="113" t="s">
        <v>705</v>
      </c>
      <c r="F204" s="113" t="s">
        <v>705</v>
      </c>
      <c r="G204" s="113" t="s">
        <v>705</v>
      </c>
      <c r="H204" s="113" t="s">
        <v>705</v>
      </c>
      <c r="I204" s="113">
        <v>1</v>
      </c>
    </row>
    <row r="205" spans="2:9">
      <c r="B205" s="113" t="s">
        <v>1101</v>
      </c>
      <c r="C205" s="113" t="s">
        <v>1270</v>
      </c>
      <c r="D205" s="113" t="s">
        <v>39</v>
      </c>
      <c r="E205" s="113" t="s">
        <v>705</v>
      </c>
      <c r="F205" s="113" t="s">
        <v>705</v>
      </c>
      <c r="G205" s="113" t="s">
        <v>705</v>
      </c>
      <c r="H205" s="113" t="s">
        <v>705</v>
      </c>
      <c r="I205" s="113">
        <v>1</v>
      </c>
    </row>
    <row r="206" spans="2:9">
      <c r="B206" s="113" t="s">
        <v>1101</v>
      </c>
      <c r="C206" s="113" t="s">
        <v>1268</v>
      </c>
      <c r="D206" s="113" t="s">
        <v>590</v>
      </c>
      <c r="E206" s="113" t="s">
        <v>705</v>
      </c>
      <c r="F206" s="113" t="s">
        <v>705</v>
      </c>
      <c r="G206" s="113" t="s">
        <v>705</v>
      </c>
      <c r="H206" s="113" t="s">
        <v>705</v>
      </c>
      <c r="I206" s="113">
        <v>1</v>
      </c>
    </row>
    <row r="207" spans="2:9">
      <c r="B207" s="113" t="s">
        <v>1101</v>
      </c>
      <c r="C207" s="113" t="s">
        <v>1266</v>
      </c>
      <c r="D207" s="113" t="s">
        <v>1335</v>
      </c>
      <c r="E207" s="113" t="s">
        <v>705</v>
      </c>
      <c r="F207" s="113" t="s">
        <v>705</v>
      </c>
      <c r="G207" s="113" t="s">
        <v>705</v>
      </c>
      <c r="H207" s="113" t="s">
        <v>705</v>
      </c>
      <c r="I207" s="113">
        <v>1</v>
      </c>
    </row>
    <row r="208" spans="2:9">
      <c r="B208" s="113" t="s">
        <v>1101</v>
      </c>
      <c r="C208" s="113" t="s">
        <v>1264</v>
      </c>
      <c r="D208" s="113" t="s">
        <v>593</v>
      </c>
      <c r="E208" s="113" t="s">
        <v>705</v>
      </c>
      <c r="F208" s="113" t="s">
        <v>705</v>
      </c>
      <c r="G208" s="113" t="s">
        <v>705</v>
      </c>
      <c r="H208" s="113" t="s">
        <v>705</v>
      </c>
      <c r="I208" s="113">
        <v>1</v>
      </c>
    </row>
    <row r="209" spans="1:9">
      <c r="B209" s="113" t="s">
        <v>1101</v>
      </c>
      <c r="C209" s="113" t="s">
        <v>1262</v>
      </c>
      <c r="D209" s="113" t="s">
        <v>40</v>
      </c>
      <c r="E209" s="113" t="s">
        <v>705</v>
      </c>
      <c r="F209" s="113" t="s">
        <v>705</v>
      </c>
      <c r="G209" s="113" t="s">
        <v>705</v>
      </c>
      <c r="H209" s="113" t="s">
        <v>705</v>
      </c>
      <c r="I209" s="113">
        <v>1</v>
      </c>
    </row>
    <row r="210" spans="1:9">
      <c r="B210" s="113" t="s">
        <v>1101</v>
      </c>
      <c r="C210" s="113" t="s">
        <v>1260</v>
      </c>
      <c r="D210" s="113" t="s">
        <v>1333</v>
      </c>
      <c r="E210" s="113" t="s">
        <v>705</v>
      </c>
      <c r="F210" s="113" t="s">
        <v>705</v>
      </c>
      <c r="G210" s="113" t="s">
        <v>705</v>
      </c>
      <c r="H210" s="113" t="s">
        <v>705</v>
      </c>
      <c r="I210" s="113">
        <v>1</v>
      </c>
    </row>
    <row r="211" spans="1:9">
      <c r="A211" s="113" t="s">
        <v>1050</v>
      </c>
      <c r="B211" s="113" t="s">
        <v>1455</v>
      </c>
      <c r="C211" s="113" t="s">
        <v>1427</v>
      </c>
      <c r="D211" s="113" t="s">
        <v>705</v>
      </c>
      <c r="E211" s="113" t="s">
        <v>705</v>
      </c>
      <c r="F211" s="113" t="s">
        <v>705</v>
      </c>
      <c r="G211" s="113" t="s">
        <v>705</v>
      </c>
      <c r="H211" s="113" t="s">
        <v>705</v>
      </c>
      <c r="I211" s="113">
        <v>1</v>
      </c>
    </row>
    <row r="212" spans="1:9">
      <c r="A212" s="113" t="s">
        <v>1050</v>
      </c>
      <c r="B212" s="113" t="s">
        <v>1455</v>
      </c>
      <c r="C212" s="113" t="s">
        <v>1425</v>
      </c>
      <c r="D212" s="113" t="s">
        <v>705</v>
      </c>
      <c r="E212" s="113" t="s">
        <v>705</v>
      </c>
      <c r="F212" s="113" t="s">
        <v>705</v>
      </c>
      <c r="G212" s="113" t="s">
        <v>705</v>
      </c>
      <c r="H212" s="113" t="s">
        <v>705</v>
      </c>
      <c r="I212" s="113">
        <v>1</v>
      </c>
    </row>
    <row r="213" spans="1:9">
      <c r="A213" s="113" t="s">
        <v>1050</v>
      </c>
      <c r="B213" s="113" t="s">
        <v>1455</v>
      </c>
      <c r="C213" s="113" t="s">
        <v>1423</v>
      </c>
      <c r="D213" s="113" t="s">
        <v>705</v>
      </c>
      <c r="E213" s="113" t="s">
        <v>705</v>
      </c>
      <c r="F213" s="113" t="s">
        <v>705</v>
      </c>
      <c r="G213" s="113" t="s">
        <v>705</v>
      </c>
      <c r="H213" s="113" t="s">
        <v>705</v>
      </c>
      <c r="I213" s="113">
        <v>1</v>
      </c>
    </row>
    <row r="214" spans="1:9">
      <c r="A214" s="113" t="s">
        <v>1050</v>
      </c>
      <c r="B214" s="113" t="s">
        <v>1455</v>
      </c>
      <c r="C214" s="113" t="s">
        <v>1421</v>
      </c>
      <c r="D214" s="113" t="s">
        <v>705</v>
      </c>
      <c r="E214" s="113" t="s">
        <v>705</v>
      </c>
      <c r="F214" s="113" t="s">
        <v>705</v>
      </c>
      <c r="G214" s="113" t="s">
        <v>705</v>
      </c>
      <c r="H214" s="113" t="s">
        <v>705</v>
      </c>
      <c r="I214" s="113">
        <v>1</v>
      </c>
    </row>
    <row r="215" spans="1:9">
      <c r="A215" s="113" t="s">
        <v>1050</v>
      </c>
      <c r="B215" s="113" t="s">
        <v>1455</v>
      </c>
      <c r="C215" s="113" t="s">
        <v>1419</v>
      </c>
      <c r="D215" s="113" t="s">
        <v>705</v>
      </c>
      <c r="E215" s="113" t="s">
        <v>705</v>
      </c>
      <c r="F215" s="113" t="s">
        <v>705</v>
      </c>
      <c r="G215" s="113" t="s">
        <v>705</v>
      </c>
      <c r="H215" s="113" t="s">
        <v>705</v>
      </c>
      <c r="I215" s="113">
        <v>1</v>
      </c>
    </row>
    <row r="216" spans="1:9">
      <c r="A216" s="113" t="s">
        <v>1050</v>
      </c>
      <c r="B216" s="113" t="s">
        <v>1455</v>
      </c>
      <c r="C216" s="113" t="s">
        <v>1417</v>
      </c>
      <c r="D216" s="113" t="s">
        <v>705</v>
      </c>
      <c r="E216" s="113" t="s">
        <v>705</v>
      </c>
      <c r="F216" s="113" t="s">
        <v>705</v>
      </c>
      <c r="G216" s="113" t="s">
        <v>705</v>
      </c>
      <c r="H216" s="113" t="s">
        <v>705</v>
      </c>
      <c r="I216" s="113">
        <v>1</v>
      </c>
    </row>
    <row r="217" spans="1:9">
      <c r="A217" s="113" t="s">
        <v>1050</v>
      </c>
      <c r="B217" s="113" t="s">
        <v>1455</v>
      </c>
      <c r="C217" s="113" t="s">
        <v>1415</v>
      </c>
      <c r="D217" s="113" t="s">
        <v>705</v>
      </c>
      <c r="E217" s="113" t="s">
        <v>705</v>
      </c>
      <c r="F217" s="113" t="s">
        <v>705</v>
      </c>
      <c r="G217" s="113" t="s">
        <v>705</v>
      </c>
      <c r="H217" s="113" t="s">
        <v>705</v>
      </c>
      <c r="I217" s="113">
        <v>1</v>
      </c>
    </row>
    <row r="218" spans="1:9">
      <c r="A218" s="113" t="s">
        <v>1050</v>
      </c>
      <c r="B218" s="113" t="s">
        <v>1455</v>
      </c>
      <c r="C218" s="113" t="s">
        <v>1413</v>
      </c>
      <c r="D218" s="113" t="s">
        <v>705</v>
      </c>
      <c r="E218" s="113" t="s">
        <v>705</v>
      </c>
      <c r="F218" s="113" t="s">
        <v>705</v>
      </c>
      <c r="G218" s="113" t="s">
        <v>705</v>
      </c>
      <c r="H218" s="113" t="s">
        <v>705</v>
      </c>
      <c r="I218" s="113">
        <v>1</v>
      </c>
    </row>
    <row r="219" spans="1:9">
      <c r="A219" s="113" t="s">
        <v>1050</v>
      </c>
      <c r="B219" s="113" t="s">
        <v>1455</v>
      </c>
      <c r="C219" s="113" t="s">
        <v>1411</v>
      </c>
      <c r="D219" s="113" t="s">
        <v>705</v>
      </c>
      <c r="E219" s="113" t="s">
        <v>705</v>
      </c>
      <c r="F219" s="113" t="s">
        <v>705</v>
      </c>
      <c r="G219" s="113" t="s">
        <v>705</v>
      </c>
      <c r="H219" s="113" t="s">
        <v>705</v>
      </c>
      <c r="I219" s="113">
        <v>1</v>
      </c>
    </row>
    <row r="220" spans="1:9">
      <c r="A220" s="113" t="s">
        <v>1050</v>
      </c>
      <c r="B220" s="113" t="s">
        <v>1455</v>
      </c>
      <c r="C220" s="113" t="s">
        <v>1409</v>
      </c>
      <c r="D220" s="113" t="s">
        <v>705</v>
      </c>
      <c r="E220" s="113" t="s">
        <v>705</v>
      </c>
      <c r="F220" s="113" t="s">
        <v>705</v>
      </c>
      <c r="G220" s="113" t="s">
        <v>705</v>
      </c>
      <c r="H220" s="113" t="s">
        <v>705</v>
      </c>
      <c r="I220" s="113">
        <v>1</v>
      </c>
    </row>
    <row r="221" spans="1:9">
      <c r="A221" s="113" t="s">
        <v>1050</v>
      </c>
      <c r="B221" s="113" t="s">
        <v>1455</v>
      </c>
      <c r="C221" s="113" t="s">
        <v>1407</v>
      </c>
      <c r="D221" s="113" t="s">
        <v>705</v>
      </c>
      <c r="E221" s="113" t="s">
        <v>705</v>
      </c>
      <c r="F221" s="113" t="s">
        <v>705</v>
      </c>
      <c r="G221" s="113" t="s">
        <v>705</v>
      </c>
      <c r="H221" s="113" t="s">
        <v>705</v>
      </c>
      <c r="I221" s="113">
        <v>1</v>
      </c>
    </row>
    <row r="222" spans="1:9">
      <c r="A222" s="113" t="s">
        <v>1050</v>
      </c>
      <c r="B222" s="113" t="s">
        <v>1455</v>
      </c>
      <c r="C222" s="113" t="s">
        <v>1405</v>
      </c>
      <c r="D222" s="113" t="s">
        <v>705</v>
      </c>
      <c r="E222" s="113" t="s">
        <v>705</v>
      </c>
      <c r="F222" s="113" t="s">
        <v>705</v>
      </c>
      <c r="G222" s="113" t="s">
        <v>705</v>
      </c>
      <c r="H222" s="113" t="s">
        <v>705</v>
      </c>
      <c r="I222" s="113">
        <v>1</v>
      </c>
    </row>
    <row r="223" spans="1:9">
      <c r="B223" s="113" t="s">
        <v>1455</v>
      </c>
      <c r="C223" s="113" t="s">
        <v>1403</v>
      </c>
      <c r="D223" s="113" t="s">
        <v>705</v>
      </c>
      <c r="E223" s="113" t="s">
        <v>705</v>
      </c>
      <c r="F223" s="113" t="s">
        <v>705</v>
      </c>
      <c r="G223" s="113" t="s">
        <v>705</v>
      </c>
      <c r="H223" s="113" t="s">
        <v>705</v>
      </c>
      <c r="I223" s="113">
        <v>1</v>
      </c>
    </row>
    <row r="224" spans="1:9">
      <c r="B224" s="113" t="s">
        <v>1455</v>
      </c>
      <c r="C224" s="113" t="s">
        <v>1401</v>
      </c>
      <c r="D224" s="113" t="s">
        <v>705</v>
      </c>
      <c r="E224" s="113" t="s">
        <v>705</v>
      </c>
      <c r="F224" s="113" t="s">
        <v>705</v>
      </c>
      <c r="G224" s="113" t="s">
        <v>705</v>
      </c>
      <c r="H224" s="113" t="s">
        <v>705</v>
      </c>
      <c r="I224" s="113">
        <v>1</v>
      </c>
    </row>
    <row r="225" spans="1:9">
      <c r="B225" s="113" t="s">
        <v>1455</v>
      </c>
      <c r="C225" s="113" t="s">
        <v>1399</v>
      </c>
      <c r="D225" s="113" t="s">
        <v>705</v>
      </c>
      <c r="E225" s="113" t="s">
        <v>705</v>
      </c>
      <c r="F225" s="113" t="s">
        <v>705</v>
      </c>
      <c r="G225" s="113" t="s">
        <v>705</v>
      </c>
      <c r="H225" s="113" t="s">
        <v>705</v>
      </c>
      <c r="I225" s="113">
        <v>1</v>
      </c>
    </row>
    <row r="226" spans="1:9">
      <c r="A226" s="113" t="s">
        <v>1050</v>
      </c>
      <c r="B226" s="113" t="s">
        <v>1455</v>
      </c>
      <c r="C226" s="113" t="s">
        <v>1397</v>
      </c>
      <c r="D226" s="113" t="s">
        <v>705</v>
      </c>
      <c r="E226" s="113" t="s">
        <v>705</v>
      </c>
      <c r="F226" s="113" t="s">
        <v>705</v>
      </c>
      <c r="G226" s="113" t="s">
        <v>705</v>
      </c>
      <c r="H226" s="113" t="s">
        <v>705</v>
      </c>
      <c r="I226" s="113">
        <v>1</v>
      </c>
    </row>
    <row r="227" spans="1:9">
      <c r="A227" s="113" t="s">
        <v>1050</v>
      </c>
      <c r="B227" s="113" t="s">
        <v>1455</v>
      </c>
      <c r="C227" s="113" t="s">
        <v>1394</v>
      </c>
      <c r="D227" s="113" t="s">
        <v>705</v>
      </c>
      <c r="E227" s="113" t="s">
        <v>705</v>
      </c>
      <c r="F227" s="113" t="s">
        <v>705</v>
      </c>
      <c r="G227" s="113" t="s">
        <v>705</v>
      </c>
      <c r="H227" s="113" t="s">
        <v>705</v>
      </c>
      <c r="I227" s="113">
        <v>1</v>
      </c>
    </row>
    <row r="228" spans="1:9">
      <c r="B228" s="113" t="s">
        <v>1107</v>
      </c>
      <c r="C228" s="113" t="s">
        <v>541</v>
      </c>
      <c r="D228" s="113" t="s">
        <v>705</v>
      </c>
      <c r="E228" s="113" t="s">
        <v>705</v>
      </c>
      <c r="F228" s="113" t="s">
        <v>705</v>
      </c>
      <c r="G228" s="113" t="s">
        <v>705</v>
      </c>
      <c r="H228" s="113" t="s">
        <v>705</v>
      </c>
      <c r="I228" s="113">
        <v>2025</v>
      </c>
    </row>
    <row r="229" spans="1:9">
      <c r="B229" s="113" t="s">
        <v>1107</v>
      </c>
      <c r="C229" s="113" t="s">
        <v>538</v>
      </c>
      <c r="D229" s="113" t="s">
        <v>705</v>
      </c>
      <c r="E229" s="113" t="s">
        <v>705</v>
      </c>
      <c r="F229" s="113" t="s">
        <v>705</v>
      </c>
      <c r="G229" s="113" t="s">
        <v>705</v>
      </c>
      <c r="H229" s="113" t="s">
        <v>705</v>
      </c>
      <c r="I229" s="113">
        <v>2025</v>
      </c>
    </row>
    <row r="230" spans="1:9">
      <c r="B230" s="113" t="s">
        <v>1107</v>
      </c>
      <c r="C230" s="113" t="s">
        <v>539</v>
      </c>
      <c r="D230" s="113" t="s">
        <v>705</v>
      </c>
      <c r="E230" s="113" t="s">
        <v>705</v>
      </c>
      <c r="F230" s="113" t="s">
        <v>705</v>
      </c>
      <c r="G230" s="113" t="s">
        <v>705</v>
      </c>
      <c r="H230" s="113" t="s">
        <v>705</v>
      </c>
      <c r="I230" s="113">
        <v>2025</v>
      </c>
    </row>
    <row r="231" spans="1:9">
      <c r="B231" s="113" t="s">
        <v>1107</v>
      </c>
      <c r="C231" s="113" t="s">
        <v>540</v>
      </c>
      <c r="D231" s="113" t="s">
        <v>705</v>
      </c>
      <c r="E231" s="113" t="s">
        <v>705</v>
      </c>
      <c r="F231" s="113" t="s">
        <v>705</v>
      </c>
      <c r="G231" s="113" t="s">
        <v>705</v>
      </c>
      <c r="H231" s="113" t="s">
        <v>705</v>
      </c>
      <c r="I231" s="113">
        <v>2025</v>
      </c>
    </row>
    <row r="232" spans="1:9">
      <c r="B232" s="113" t="s">
        <v>1101</v>
      </c>
      <c r="C232" s="113" t="s">
        <v>169</v>
      </c>
      <c r="D232" s="113" t="s">
        <v>1547</v>
      </c>
      <c r="E232" s="113" t="s">
        <v>705</v>
      </c>
      <c r="F232" s="113" t="s">
        <v>705</v>
      </c>
      <c r="G232" s="113" t="s">
        <v>705</v>
      </c>
      <c r="H232" s="113" t="s">
        <v>705</v>
      </c>
      <c r="I232" s="113">
        <v>1</v>
      </c>
    </row>
    <row r="233" spans="1:9">
      <c r="B233" s="113" t="s">
        <v>1101</v>
      </c>
      <c r="C233" s="113" t="s">
        <v>1304</v>
      </c>
      <c r="D233" s="113" t="s">
        <v>1547</v>
      </c>
      <c r="E233" s="113" t="s">
        <v>705</v>
      </c>
      <c r="F233" s="113" t="s">
        <v>705</v>
      </c>
      <c r="G233" s="113" t="s">
        <v>705</v>
      </c>
      <c r="H233" s="113" t="s">
        <v>705</v>
      </c>
      <c r="I233" s="113">
        <v>1</v>
      </c>
    </row>
    <row r="234" spans="1:9">
      <c r="B234" s="113" t="s">
        <v>1101</v>
      </c>
      <c r="C234" s="113" t="s">
        <v>1302</v>
      </c>
      <c r="D234" s="113" t="s">
        <v>1547</v>
      </c>
      <c r="E234" s="113" t="s">
        <v>705</v>
      </c>
      <c r="F234" s="113" t="s">
        <v>705</v>
      </c>
      <c r="G234" s="113" t="s">
        <v>705</v>
      </c>
      <c r="H234" s="113" t="s">
        <v>705</v>
      </c>
      <c r="I234" s="113">
        <v>1</v>
      </c>
    </row>
    <row r="235" spans="1:9">
      <c r="B235" s="113" t="s">
        <v>1101</v>
      </c>
      <c r="C235" s="113" t="s">
        <v>538</v>
      </c>
      <c r="D235" s="113" t="s">
        <v>1547</v>
      </c>
      <c r="E235" s="113" t="s">
        <v>705</v>
      </c>
      <c r="F235" s="113" t="s">
        <v>705</v>
      </c>
      <c r="G235" s="113" t="s">
        <v>705</v>
      </c>
      <c r="H235" s="113" t="s">
        <v>705</v>
      </c>
      <c r="I235" s="113">
        <v>1</v>
      </c>
    </row>
  </sheetData>
  <autoFilter ref="A1:I231" xr:uid="{00000000-0009-0000-0000-000029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workbookViewId="0">
      <selection activeCell="H21" sqref="H21"/>
    </sheetView>
  </sheetViews>
  <sheetFormatPr defaultRowHeight="12.75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>
      <c r="A1" s="555" t="s">
        <v>1511</v>
      </c>
    </row>
    <row r="3" spans="1:40">
      <c r="A3" s="555" t="s">
        <v>1510</v>
      </c>
      <c r="J3" s="649" t="s">
        <v>1509</v>
      </c>
      <c r="K3" s="636"/>
      <c r="L3" s="636"/>
      <c r="M3" s="636"/>
    </row>
    <row r="4" spans="1:40">
      <c r="A4" s="555" t="s">
        <v>1508</v>
      </c>
      <c r="J4" s="650" t="s">
        <v>1507</v>
      </c>
    </row>
    <row r="5" spans="1:40">
      <c r="A5" s="555" t="s">
        <v>1506</v>
      </c>
    </row>
    <row r="6" spans="1:40">
      <c r="A6" s="572" t="s">
        <v>1505</v>
      </c>
    </row>
    <row r="7" spans="1:40">
      <c r="A7" s="572"/>
    </row>
    <row r="9" spans="1:40">
      <c r="X9" s="572" t="s">
        <v>1504</v>
      </c>
    </row>
    <row r="10" spans="1:40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904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>
      <c r="B11" s="560"/>
      <c r="C11" s="636" t="s">
        <v>904</v>
      </c>
      <c r="E11" s="636" t="s">
        <v>906</v>
      </c>
      <c r="F11" s="636"/>
      <c r="G11" s="636"/>
      <c r="H11" s="636"/>
      <c r="J11" s="649" t="s">
        <v>1449</v>
      </c>
      <c r="K11" s="648" t="s">
        <v>1503</v>
      </c>
      <c r="R11" s="555">
        <v>2012</v>
      </c>
      <c r="S11" s="572"/>
      <c r="X11" s="560" t="s">
        <v>169</v>
      </c>
      <c r="Z11" s="625">
        <f>INDEX('I&amp;S SATIM input'!$C$57:$C$65,MATCH(X11,'I&amp;S SATIM input'!$B$57:$B$65,0))</f>
        <v>19.731464993552517</v>
      </c>
      <c r="AD11" s="572" t="s">
        <v>930</v>
      </c>
      <c r="AF11" s="572" t="s">
        <v>1502</v>
      </c>
    </row>
    <row r="12" spans="1:40">
      <c r="B12" s="560"/>
      <c r="C12" s="636"/>
      <c r="E12" s="636" t="s">
        <v>13</v>
      </c>
      <c r="F12" s="636" t="s">
        <v>200</v>
      </c>
      <c r="G12" s="636" t="s">
        <v>14</v>
      </c>
      <c r="H12" s="636" t="s">
        <v>11</v>
      </c>
      <c r="J12" s="636"/>
      <c r="K12" s="559"/>
      <c r="O12" s="567" t="s">
        <v>1501</v>
      </c>
      <c r="P12" s="567" t="s">
        <v>1500</v>
      </c>
      <c r="R12" s="555" t="s">
        <v>1499</v>
      </c>
      <c r="S12" s="555" t="s">
        <v>1498</v>
      </c>
      <c r="T12" s="555" t="s">
        <v>1497</v>
      </c>
      <c r="U12" s="555" t="s">
        <v>1496</v>
      </c>
      <c r="V12" s="572" t="s">
        <v>1495</v>
      </c>
      <c r="X12" s="560" t="s">
        <v>538</v>
      </c>
      <c r="Z12" s="625">
        <f>INDEX('I&amp;S SATIM input'!$C$57:$C$65,MATCH(X12,'I&amp;S SATIM input'!$B$57:$B$65,0))</f>
        <v>19.731464993552517</v>
      </c>
      <c r="AC12" s="572" t="s">
        <v>1494</v>
      </c>
      <c r="AD12" s="572" t="s">
        <v>1493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>
      <c r="B13" s="560" t="str">
        <f>'[18]New I&amp;S model detail'!B81</f>
        <v>BF-BOF</v>
      </c>
      <c r="C13" s="646">
        <f>'[18]New I&amp;S model detail'!S81</f>
        <v>21.400691692311092</v>
      </c>
      <c r="D13" s="567"/>
      <c r="E13" s="645">
        <f>INDEX('[18]New I&amp;S model detail'!$O$90:$R$94,MATCH($B13,'[18]New I&amp;S model detail'!$S$90:$S$94,0),MATCH(E$12,'[18]New I&amp;S model detail'!$O$80:$R$80,0))</f>
        <v>0.20494664672805019</v>
      </c>
      <c r="F13" s="645">
        <f>INDEX('[18]New I&amp;S model detail'!$O$90:$R$94,MATCH($B13,'[18]New I&amp;S model detail'!$S$90:$S$94,0),MATCH(F$12,'[18]New I&amp;S model detail'!$O$80:$R$80,0))</f>
        <v>0.23508585948217525</v>
      </c>
      <c r="G13" s="645">
        <f>INDEX('[18]New I&amp;S model detail'!$O$90:$R$94,MATCH($B13,'[18]New I&amp;S model detail'!$S$90:$S$94,0),MATCH(G$12,'[18]New I&amp;S model detail'!$O$80:$R$80,0))</f>
        <v>0.13801851523202419</v>
      </c>
      <c r="H13" s="645">
        <f>INDEX('[18]New I&amp;S model detail'!$O$90:$R$94,MATCH($B13,'[18]New I&amp;S model detail'!$S$90:$S$94,0),MATCH(H$12,'[18]New I&amp;S model detail'!$O$80:$R$80,0))</f>
        <v>0.42194897855775038</v>
      </c>
      <c r="I13" s="625"/>
      <c r="J13" s="644">
        <f>INDEX('[18]New I&amp;S model detail'!$C$81:$C$85,MATCH(B13,'[18]New I&amp;S model detail'!$B$81:$B$85,0))</f>
        <v>4.9000000000000004</v>
      </c>
      <c r="K13" s="643">
        <f>INDEX('[18]New I&amp;S model detail'!$D$81:$D$85,MATCH(B13,'[18]New I&amp;S model detail'!$B$81:$B$85,0))</f>
        <v>3.3</v>
      </c>
      <c r="L13" s="113" t="s">
        <v>169</v>
      </c>
      <c r="O13" s="113" t="s">
        <v>169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6">
        <f>IF(T13&gt;0.85,T13,0.85)</f>
        <v>0.85</v>
      </c>
      <c r="V13" s="555">
        <f>IF(T13&lt;$V$10,T13,$V$10)</f>
        <v>0</v>
      </c>
      <c r="X13" s="560" t="s">
        <v>171</v>
      </c>
      <c r="Z13" s="625">
        <f>INDEX('I&amp;S SATIM input'!$C$57:$C$65,MATCH(X13,'I&amp;S SATIM input'!$B$57:$B$65,0))</f>
        <v>22.151676172353415</v>
      </c>
      <c r="AB13" s="560" t="s">
        <v>169</v>
      </c>
      <c r="AC13" s="565">
        <f>'[19]SATIM input'!C22</f>
        <v>0.6889960595189083</v>
      </c>
      <c r="AD13" s="642">
        <f>MAX(AC13,90%)</f>
        <v>0.9</v>
      </c>
      <c r="AF13" s="641">
        <f>'[19]SATIM input'!D22</f>
        <v>3.3</v>
      </c>
      <c r="AG13" s="641">
        <f>'[19]SATIM input'!E22</f>
        <v>3.3760806916426511</v>
      </c>
      <c r="AH13" s="641">
        <f>'[19]SATIM input'!F22</f>
        <v>3.0907780979827089</v>
      </c>
      <c r="AI13" s="641">
        <f>'[19]SATIM input'!G22</f>
        <v>3.1641891891891891</v>
      </c>
      <c r="AJ13" s="641">
        <f>'[19]SATIM input'!H22</f>
        <v>3.1641891891891891</v>
      </c>
      <c r="AK13" s="641">
        <f>'[19]SATIM input'!I22</f>
        <v>3.0330810810810807</v>
      </c>
      <c r="AL13" s="641">
        <f>'[19]SATIM input'!J22</f>
        <v>3.2032972972972971</v>
      </c>
      <c r="AM13" s="641">
        <f>'[19]SATIM input'!K22</f>
        <v>3.0300947810555652</v>
      </c>
      <c r="AN13" s="641">
        <f>'[19]SATIM input'!L22</f>
        <v>3.0300947810555652</v>
      </c>
    </row>
    <row r="14" spans="1:40" ht="15">
      <c r="B14" s="560" t="str">
        <f>'[18]New I&amp;S model detail'!B82</f>
        <v>Scrap-EAF</v>
      </c>
      <c r="C14" s="646">
        <f>'[18]New I&amp;S model detail'!S82</f>
        <v>10</v>
      </c>
      <c r="D14" s="567"/>
      <c r="E14" s="645">
        <f>INDEX('[18]New I&amp;S model detail'!$O$90:$R$94,MATCH($B14,'[18]New I&amp;S model detail'!$S$90:$S$94,0),MATCH(E$12,'[18]New I&amp;S model detail'!$O$80:$R$80,0))</f>
        <v>0.25</v>
      </c>
      <c r="F14" s="645">
        <f>INDEX('[18]New I&amp;S model detail'!$O$90:$R$94,MATCH($B14,'[18]New I&amp;S model detail'!$S$90:$S$94,0),MATCH(F$12,'[18]New I&amp;S model detail'!$O$80:$R$80,0))</f>
        <v>0</v>
      </c>
      <c r="G14" s="645">
        <f>INDEX('[18]New I&amp;S model detail'!$O$90:$R$94,MATCH($B14,'[18]New I&amp;S model detail'!$S$90:$S$94,0),MATCH(G$12,'[18]New I&amp;S model detail'!$O$80:$R$80,0))</f>
        <v>0.75</v>
      </c>
      <c r="H14" s="645">
        <f>INDEX('[18]New I&amp;S model detail'!$O$90:$R$94,MATCH($B14,'[18]New I&amp;S model detail'!$S$90:$S$94,0),MATCH(H$12,'[18]New I&amp;S model detail'!$O$80:$R$80,0))</f>
        <v>0</v>
      </c>
      <c r="I14" s="625"/>
      <c r="J14" s="644">
        <f>INDEX('[18]New I&amp;S model detail'!$C$81:$C$85,MATCH(B14,'[18]New I&amp;S model detail'!$B$81:$B$85,0))</f>
        <v>1.7200000000000002</v>
      </c>
      <c r="K14" s="643">
        <f>INDEX('[18]New I&amp;S model detail'!$D$81:$D$85,MATCH(B14,'[18]New I&amp;S model detail'!$B$81:$B$85,0))</f>
        <v>0.86</v>
      </c>
      <c r="L14" s="113" t="s">
        <v>180</v>
      </c>
      <c r="O14" s="113" t="s">
        <v>171</v>
      </c>
      <c r="P14" s="572" t="s">
        <v>172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6">
        <f>IF(T14&gt;0.85,T14,0.85)</f>
        <v>0.85</v>
      </c>
      <c r="V14" s="555">
        <f>IF(T14&lt;$V$10,T14,$V$10)</f>
        <v>0</v>
      </c>
      <c r="X14" s="560" t="s">
        <v>174</v>
      </c>
      <c r="Z14" s="625">
        <f>INDEX('I&amp;S SATIM input'!$C$57:$C$65,MATCH(X14,'I&amp;S SATIM input'!$B$57:$B$65,0))</f>
        <v>29.285529033072699</v>
      </c>
      <c r="AB14" s="560" t="s">
        <v>171</v>
      </c>
      <c r="AC14" s="565">
        <f>'[19]SATIM input'!C23</f>
        <v>0.99830343032443969</v>
      </c>
      <c r="AD14" s="642">
        <f>MAX(AC14,90%)</f>
        <v>0.99830343032443969</v>
      </c>
      <c r="AF14" s="641">
        <f>'[19]SATIM input'!D23</f>
        <v>1.21</v>
      </c>
      <c r="AG14" s="641">
        <f>'[19]SATIM input'!E23</f>
        <v>1.2378962536023055</v>
      </c>
      <c r="AH14" s="641">
        <f>'[19]SATIM input'!F23</f>
        <v>1.13328530259366</v>
      </c>
      <c r="AI14" s="641">
        <f>'[19]SATIM input'!G23</f>
        <v>0.96299999999999997</v>
      </c>
      <c r="AJ14" s="641">
        <f>'[19]SATIM input'!H23</f>
        <v>0.83199999999999996</v>
      </c>
      <c r="AK14" s="641">
        <f>'[19]SATIM input'!I23</f>
        <v>1.1180000000000001</v>
      </c>
      <c r="AL14" s="641">
        <f>'[19]SATIM input'!J23</f>
        <v>1.0860000000000001</v>
      </c>
      <c r="AM14" s="641">
        <f>'[19]SATIM input'!K23</f>
        <v>1.0860000000000001</v>
      </c>
      <c r="AN14" s="641">
        <f>'[19]SATIM input'!L23</f>
        <v>0</v>
      </c>
    </row>
    <row r="15" spans="1:40" ht="15">
      <c r="B15" s="560" t="str">
        <f>'[18]New I&amp;S model detail'!B83</f>
        <v>DRI-EAF</v>
      </c>
      <c r="C15" s="646">
        <f>'[18]New I&amp;S model detail'!S83</f>
        <v>31.247950199170173</v>
      </c>
      <c r="D15" s="567"/>
      <c r="E15" s="645">
        <f>INDEX('[18]New I&amp;S model detail'!$O$90:$R$94,MATCH($B15,'[18]New I&amp;S model detail'!$S$90:$S$94,0),MATCH(E$12,'[18]New I&amp;S model detail'!$O$80:$R$80,0))</f>
        <v>0.66708375644280071</v>
      </c>
      <c r="F15" s="645">
        <f>INDEX('[18]New I&amp;S model detail'!$O$90:$R$94,MATCH($B15,'[18]New I&amp;S model detail'!$S$90:$S$94,0),MATCH(F$12,'[18]New I&amp;S model detail'!$O$80:$R$80,0))</f>
        <v>1.2128795571687277E-2</v>
      </c>
      <c r="G15" s="645">
        <f>INDEX('[18]New I&amp;S model detail'!$O$90:$R$94,MATCH($B15,'[18]New I&amp;S model detail'!$S$90:$S$94,0),MATCH(G$12,'[18]New I&amp;S model detail'!$O$80:$R$80,0))</f>
        <v>0.32078744798551195</v>
      </c>
      <c r="H15" s="645">
        <f>INDEX('[18]New I&amp;S model detail'!$O$90:$R$94,MATCH($B15,'[18]New I&amp;S model detail'!$S$90:$S$94,0),MATCH(H$12,'[18]New I&amp;S model detail'!$O$80:$R$80,0))</f>
        <v>0</v>
      </c>
      <c r="I15" s="625"/>
      <c r="J15" s="644">
        <f>INDEX('[18]New I&amp;S model detail'!$C$81:$C$85,MATCH(B15,'[18]New I&amp;S model detail'!$B$81:$B$85,0))</f>
        <v>1.44</v>
      </c>
      <c r="K15" s="643">
        <f>INDEX('[18]New I&amp;S model detail'!$D$81:$D$85,MATCH(B15,'[18]New I&amp;S model detail'!$B$81:$B$85,0))</f>
        <v>0.95</v>
      </c>
      <c r="L15" s="113" t="s">
        <v>174</v>
      </c>
      <c r="O15" s="113" t="s">
        <v>174</v>
      </c>
      <c r="P15" s="572" t="s">
        <v>175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6">
        <f>IF(T15&gt;0.85,T15,0.85)</f>
        <v>0.85</v>
      </c>
      <c r="V15" s="555">
        <f>IF(T15&lt;$V$10,T15,$V$10)</f>
        <v>0</v>
      </c>
      <c r="X15" s="560" t="s">
        <v>539</v>
      </c>
      <c r="Z15" s="625">
        <f>INDEX('I&amp;S SATIM input'!$C$57:$C$65,MATCH(X15,'I&amp;S SATIM input'!$B$57:$B$65,0))</f>
        <v>29.285529033072699</v>
      </c>
      <c r="AB15" s="560" t="s">
        <v>174</v>
      </c>
      <c r="AC15" s="565">
        <f>'[19]SATIM input'!C24</f>
        <v>0.67493195645212933</v>
      </c>
      <c r="AD15" s="642">
        <f>MAX(AC15,90%)</f>
        <v>0.9</v>
      </c>
      <c r="AF15" s="641">
        <f>'[19]SATIM input'!D24</f>
        <v>0.95</v>
      </c>
      <c r="AG15" s="641">
        <f>'[19]SATIM input'!E24</f>
        <v>0.97190201729106618</v>
      </c>
      <c r="AH15" s="641">
        <f>'[19]SATIM input'!F24</f>
        <v>0.88976945244956762</v>
      </c>
      <c r="AI15" s="641">
        <f>'[19]SATIM input'!G24</f>
        <v>0.77481081081081082</v>
      </c>
      <c r="AJ15" s="641">
        <f>'[19]SATIM input'!H24</f>
        <v>0.77481081081081082</v>
      </c>
      <c r="AK15" s="641">
        <f>'[19]SATIM input'!I24</f>
        <v>0.75891891891891894</v>
      </c>
      <c r="AL15" s="641">
        <f>'[19]SATIM input'!J24</f>
        <v>0.80270270270270283</v>
      </c>
      <c r="AM15" s="641">
        <f>'[19]SATIM input'!K24</f>
        <v>0.80270270270270283</v>
      </c>
      <c r="AN15" s="641">
        <f>'[19]SATIM input'!L24</f>
        <v>0.76492845786963448</v>
      </c>
    </row>
    <row r="16" spans="1:40" ht="15">
      <c r="B16" s="560" t="str">
        <f>'[18]New I&amp;S model detail'!B84</f>
        <v>Corex-Conarc</v>
      </c>
      <c r="C16" s="646">
        <f>'[18]New I&amp;S model detail'!S84</f>
        <v>21.51458852713521</v>
      </c>
      <c r="D16" s="567"/>
      <c r="E16" s="645">
        <f>INDEX('[18]New I&amp;S model detail'!$O$90:$R$94,MATCH($B16,'[18]New I&amp;S model detail'!$S$90:$S$94,0),MATCH(E$12,'[18]New I&amp;S model detail'!$O$80:$R$80,0))</f>
        <v>0.53173222372211926</v>
      </c>
      <c r="F16" s="645">
        <f>INDEX('[18]New I&amp;S model detail'!$O$90:$R$94,MATCH($B16,'[18]New I&amp;S model detail'!$S$90:$S$94,0),MATCH(F$12,'[18]New I&amp;S model detail'!$O$80:$R$80,0))</f>
        <v>0</v>
      </c>
      <c r="G16" s="645">
        <f>INDEX('[18]New I&amp;S model detail'!$O$90:$R$94,MATCH($B16,'[18]New I&amp;S model detail'!$S$90:$S$94,0),MATCH(G$12,'[18]New I&amp;S model detail'!$O$80:$R$80,0))</f>
        <v>0.26282578074888002</v>
      </c>
      <c r="H16" s="645">
        <f>INDEX('[18]New I&amp;S model detail'!$O$90:$R$94,MATCH($B16,'[18]New I&amp;S model detail'!$S$90:$S$94,0),MATCH(H$12,'[18]New I&amp;S model detail'!$O$80:$R$80,0))</f>
        <v>0.20544199552900064</v>
      </c>
      <c r="I16" s="625"/>
      <c r="J16" s="644">
        <f>INDEX('[18]New I&amp;S model detail'!$C$81:$C$85,MATCH(B16,'[18]New I&amp;S model detail'!$B$81:$B$85,0))</f>
        <v>1.2400000000000002</v>
      </c>
      <c r="K16" s="643">
        <f>INDEX('[18]New I&amp;S model detail'!$D$81:$D$85,MATCH(B16,'[18]New I&amp;S model detail'!$B$81:$B$85,0))</f>
        <v>1.21</v>
      </c>
      <c r="L16" s="113" t="s">
        <v>171</v>
      </c>
      <c r="O16" s="113" t="s">
        <v>178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7">
        <f>IF(T16&gt;0.85,T16,0.85)</f>
        <v>0.97580645161290303</v>
      </c>
      <c r="V16" s="555">
        <f>IF(T16&lt;$V$10,T16,$V$10)</f>
        <v>0</v>
      </c>
      <c r="X16" s="560" t="s">
        <v>540</v>
      </c>
      <c r="Z16" s="625">
        <f>INDEX('I&amp;S SATIM input'!$C$57:$C$65,MATCH(X16,'I&amp;S SATIM input'!$B$57:$B$65,0))</f>
        <v>0</v>
      </c>
      <c r="AB16" s="560" t="s">
        <v>178</v>
      </c>
      <c r="AC16" s="565">
        <f>'[19]SATIM input'!C25</f>
        <v>0.63429394812680118</v>
      </c>
      <c r="AD16" s="642">
        <f>MAX(AC16,90%)</f>
        <v>0.9</v>
      </c>
      <c r="AF16" s="641">
        <f>'[19]SATIM input'!D25</f>
        <v>0.62</v>
      </c>
      <c r="AG16" s="641">
        <f>'[19]SATIM input'!E25</f>
        <v>0.63429394812680118</v>
      </c>
      <c r="AH16" s="641">
        <f>'[19]SATIM input'!F25</f>
        <v>0.5806916426512968</v>
      </c>
      <c r="AI16" s="641">
        <f>'[19]SATIM input'!G25</f>
        <v>0.1360000000000007</v>
      </c>
      <c r="AJ16" s="641">
        <f>'[19]SATIM input'!H25</f>
        <v>0</v>
      </c>
      <c r="AK16" s="641">
        <f>'[19]SATIM input'!I25</f>
        <v>0</v>
      </c>
      <c r="AL16" s="641">
        <f>'[19]SATIM input'!J25</f>
        <v>0</v>
      </c>
      <c r="AM16" s="641">
        <f>'[19]SATIM input'!K25</f>
        <v>0</v>
      </c>
      <c r="AN16" s="641">
        <f>'[19]SATIM input'!L25</f>
        <v>0</v>
      </c>
    </row>
    <row r="17" spans="1:67" ht="15">
      <c r="B17" s="560" t="str">
        <f>'[18]New I&amp;S model detail'!B85</f>
        <v>Other-EAF</v>
      </c>
      <c r="C17" s="646">
        <f>'[18]New I&amp;S model detail'!S85</f>
        <v>37.074375174722789</v>
      </c>
      <c r="D17" s="567"/>
      <c r="E17" s="645">
        <f>INDEX('[18]New I&amp;S model detail'!$O$90:$R$94,MATCH($B17,'[18]New I&amp;S model detail'!$S$90:$S$94,0),MATCH(E$12,'[18]New I&amp;S model detail'!$O$80:$R$80,0))</f>
        <v>0.55590957104118222</v>
      </c>
      <c r="F17" s="645">
        <f>INDEX('[18]New I&amp;S model detail'!$O$90:$R$94,MATCH($B17,'[18]New I&amp;S model detail'!$S$90:$S$94,0),MATCH(F$12,'[18]New I&amp;S model detail'!$O$80:$R$80,0))</f>
        <v>3.0883865057843445E-2</v>
      </c>
      <c r="G17" s="645">
        <f>INDEX('[18]New I&amp;S model detail'!$O$90:$R$94,MATCH($B17,'[18]New I&amp;S model detail'!$S$90:$S$94,0),MATCH(G$12,'[18]New I&amp;S model detail'!$O$80:$R$80,0))</f>
        <v>0.41320656390097438</v>
      </c>
      <c r="H17" s="645">
        <f>INDEX('[18]New I&amp;S model detail'!$O$90:$R$94,MATCH($B17,'[18]New I&amp;S model detail'!$S$90:$S$94,0),MATCH(H$12,'[18]New I&amp;S model detail'!$O$80:$R$80,0))</f>
        <v>0</v>
      </c>
      <c r="I17" s="625"/>
      <c r="J17" s="644">
        <f>INDEX('[18]New I&amp;S model detail'!$C$81:$C$85,MATCH(B17,'[18]New I&amp;S model detail'!$B$81:$B$85,0))</f>
        <v>1</v>
      </c>
      <c r="K17" s="643">
        <f>INDEX('[18]New I&amp;S model detail'!$D$81:$D$85,MATCH(B17,'[18]New I&amp;S model detail'!$B$81:$B$85,0))</f>
        <v>0.62</v>
      </c>
      <c r="L17" s="113" t="s">
        <v>178</v>
      </c>
      <c r="O17" s="113" t="s">
        <v>180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6">
        <f>IF(T17&gt;0.85,T17,0.85)</f>
        <v>0.85</v>
      </c>
      <c r="V17" s="555">
        <f>IF(T17&lt;$V$10,T17,$V$10)</f>
        <v>0</v>
      </c>
      <c r="X17" s="560" t="s">
        <v>178</v>
      </c>
      <c r="Z17" s="625">
        <f>INDEX('I&amp;S SATIM input'!$C$57:$C$65,MATCH(X17,'I&amp;S SATIM input'!$B$57:$B$65,0))</f>
        <v>44.655000000000001</v>
      </c>
      <c r="AB17" s="560" t="s">
        <v>180</v>
      </c>
      <c r="AC17" s="565">
        <f>'[19]SATIM input'!C26</f>
        <v>1</v>
      </c>
      <c r="AD17" s="642">
        <f>MAX(AC17,90%)</f>
        <v>1</v>
      </c>
      <c r="AF17" s="641">
        <f>'[19]SATIM input'!D26</f>
        <v>0.86</v>
      </c>
      <c r="AG17" s="641">
        <f>'[19]SATIM input'!E26</f>
        <v>0.87982708933717579</v>
      </c>
      <c r="AH17" s="641">
        <f>'[19]SATIM input'!F26</f>
        <v>0.8054755043227666</v>
      </c>
      <c r="AI17" s="641">
        <f>'[19]SATIM input'!G26</f>
        <v>1.3620000000000003</v>
      </c>
      <c r="AJ17" s="641">
        <f>'[19]SATIM input'!H26</f>
        <v>1.3200000000000003</v>
      </c>
      <c r="AK17" s="641">
        <f>'[19]SATIM input'!I26</f>
        <v>1.3200000000000003</v>
      </c>
      <c r="AL17" s="641">
        <f>'[19]SATIM input'!J26</f>
        <v>1.2079999999999993</v>
      </c>
      <c r="AM17" s="641">
        <f>'[19]SATIM input'!K26</f>
        <v>1.2079999999999993</v>
      </c>
      <c r="AN17" s="641">
        <f>'[19]SATIM input'!L26</f>
        <v>1.2079999999999993</v>
      </c>
    </row>
    <row r="18" spans="1:67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0">
        <f>SUM(K13:K17)</f>
        <v>6.94</v>
      </c>
      <c r="S18" s="631">
        <f>SUM(S13:S17)</f>
        <v>6.94</v>
      </c>
      <c r="X18" s="560" t="s">
        <v>180</v>
      </c>
      <c r="Z18" s="625">
        <f>INDEX('I&amp;S SATIM input'!$C$57:$C$65,MATCH(X18,'I&amp;S SATIM input'!$B$57:$B$65,0))</f>
        <v>5.4887322803632257</v>
      </c>
      <c r="AF18" s="639">
        <f t="shared" ref="AF18:AN18" si="0">SUM(AF13:AF17)</f>
        <v>6.94</v>
      </c>
      <c r="AG18" s="639">
        <f t="shared" si="0"/>
        <v>7.1000000000000005</v>
      </c>
      <c r="AH18" s="639">
        <f t="shared" si="0"/>
        <v>6.5</v>
      </c>
      <c r="AI18" s="639">
        <f t="shared" si="0"/>
        <v>6.4000000000000012</v>
      </c>
      <c r="AJ18" s="639">
        <f t="shared" si="0"/>
        <v>6.0910000000000002</v>
      </c>
      <c r="AK18" s="639">
        <f t="shared" si="0"/>
        <v>6.23</v>
      </c>
      <c r="AL18" s="639">
        <f t="shared" si="0"/>
        <v>6.3</v>
      </c>
      <c r="AM18" s="639">
        <f t="shared" si="0"/>
        <v>6.1267974837582679</v>
      </c>
      <c r="AN18" s="639">
        <f t="shared" si="0"/>
        <v>5.0030232389251985</v>
      </c>
    </row>
    <row r="19" spans="1:67" ht="15">
      <c r="N19" s="638">
        <f>K14/K18</f>
        <v>0.1239193083573487</v>
      </c>
      <c r="O19" s="113" t="s">
        <v>527</v>
      </c>
      <c r="X19" s="560" t="s">
        <v>541</v>
      </c>
      <c r="Z19" s="625">
        <f>INDEX('I&amp;S SATIM input'!$C$57:$C$65,MATCH(X19,'I&amp;S SATIM input'!$B$57:$B$65,0))</f>
        <v>5.4887322803632257</v>
      </c>
    </row>
    <row r="20" spans="1:67">
      <c r="R20" s="572" t="s">
        <v>1492</v>
      </c>
      <c r="S20" s="555">
        <v>6.4</v>
      </c>
      <c r="T20" s="572" t="s">
        <v>1491</v>
      </c>
      <c r="X20" s="560"/>
      <c r="AB20" s="559"/>
    </row>
    <row r="21" spans="1:67" ht="15">
      <c r="E21" s="113" t="s">
        <v>39</v>
      </c>
      <c r="F21" s="113" t="s">
        <v>590</v>
      </c>
      <c r="G21" s="113" t="s">
        <v>38</v>
      </c>
      <c r="H21" s="113" t="s">
        <v>42</v>
      </c>
      <c r="X21" s="563" t="s">
        <v>906</v>
      </c>
      <c r="AB21" s="559"/>
      <c r="AF21" s="572" t="s">
        <v>1490</v>
      </c>
    </row>
    <row r="22" spans="1:67">
      <c r="R22" s="572"/>
      <c r="S22" s="625"/>
      <c r="X22" s="563"/>
      <c r="Z22" s="572" t="s">
        <v>591</v>
      </c>
      <c r="AA22" s="572" t="s">
        <v>592</v>
      </c>
      <c r="AB22" s="559"/>
    </row>
    <row r="23" spans="1:67" ht="15">
      <c r="L23" s="567" t="s">
        <v>1489</v>
      </c>
      <c r="O23" s="637" t="s">
        <v>1488</v>
      </c>
      <c r="R23" s="567" t="s">
        <v>1487</v>
      </c>
      <c r="S23" s="625"/>
      <c r="X23" s="560" t="s">
        <v>169</v>
      </c>
      <c r="Y23" s="113" t="s">
        <v>39</v>
      </c>
      <c r="Z23" s="669">
        <f>SUMIFS('I&amp;S SATIM input'!$D$82:$D$106,'I&amp;S SATIM input'!$B$82:$B$106,$X23,'I&amp;S SATIM input'!$C$82:$C$106,$Y23)</f>
        <v>0.21945745439808531</v>
      </c>
      <c r="AA23" s="669">
        <f>SUMIFS('I&amp;S SATIM input'!$E$82:$E$106,'I&amp;S SATIM input'!$B$82:$B$106,$X23,'I&amp;S SATIM input'!$C$82:$C$106,$Y23)</f>
        <v>0.22165202894206618</v>
      </c>
      <c r="AB23" s="559"/>
      <c r="AD23" s="555" t="str">
        <f t="shared" ref="AD23:AD47" si="1">X23&amp;Y23</f>
        <v>IISBFBOF-EIISCOA</v>
      </c>
      <c r="AE23" s="560" t="s">
        <v>169</v>
      </c>
      <c r="AF23" s="555">
        <f>'[19]SATIM input'!D12</f>
        <v>4.9000000000000004</v>
      </c>
      <c r="AG23" s="555">
        <f>'[19]SATIM input'!E12</f>
        <v>4.9000000000000004</v>
      </c>
      <c r="AH23" s="555">
        <f>'[19]SATIM input'!F12</f>
        <v>4.9000000000000004</v>
      </c>
      <c r="AI23" s="555">
        <f>'[19]SATIM input'!G12</f>
        <v>4.9000000000000004</v>
      </c>
      <c r="AJ23" s="555">
        <f>'[19]SATIM input'!H12</f>
        <v>4.9000000000000004</v>
      </c>
      <c r="AK23" s="555">
        <f>'[19]SATIM input'!I12</f>
        <v>4.9000000000000004</v>
      </c>
      <c r="AL23" s="555">
        <f>'[19]SATIM input'!J12</f>
        <v>4.9000000000000004</v>
      </c>
      <c r="AM23" s="555">
        <f>'[19]SATIM input'!K12</f>
        <v>4.9000000000000004</v>
      </c>
      <c r="AN23" s="555">
        <f>'[19]SATIM input'!L12</f>
        <v>4.9000000000000004</v>
      </c>
      <c r="AO23" s="555">
        <f>'[19]SATIM input'!M12</f>
        <v>4.9000000000000004</v>
      </c>
      <c r="AP23" s="555">
        <f>'[19]SATIM input'!N12</f>
        <v>4.9000000000000004</v>
      </c>
      <c r="AQ23" s="555">
        <f>'[19]SATIM input'!O12</f>
        <v>4.9000000000000004</v>
      </c>
      <c r="AR23" s="555">
        <f>'[19]SATIM input'!P12</f>
        <v>4.9000000000000004</v>
      </c>
      <c r="AS23" s="555">
        <f>'[19]SATIM input'!Q12</f>
        <v>4.9000000000000004</v>
      </c>
      <c r="AT23" s="555">
        <f>'[19]SATIM input'!R12</f>
        <v>4.9000000000000004</v>
      </c>
      <c r="AU23" s="555">
        <f>'[19]SATIM input'!S12</f>
        <v>4.9000000000000004</v>
      </c>
      <c r="AV23" s="555">
        <f>'[19]SATIM input'!T12</f>
        <v>4.9000000000000004</v>
      </c>
      <c r="AW23" s="555">
        <f>'[19]SATIM input'!U12</f>
        <v>4.9000000000000004</v>
      </c>
      <c r="AX23" s="555">
        <f>'[19]SATIM input'!V12</f>
        <v>4.9000000000000004</v>
      </c>
      <c r="AY23" s="555">
        <f>'[19]SATIM input'!W12</f>
        <v>4.9000000000000004</v>
      </c>
      <c r="AZ23" s="555">
        <f>'[19]SATIM input'!X12</f>
        <v>4.9000000000000004</v>
      </c>
      <c r="BA23" s="555">
        <f>'[19]SATIM input'!Y12</f>
        <v>4.9000000000000004</v>
      </c>
      <c r="BB23" s="555">
        <f>'[19]SATIM input'!Z12</f>
        <v>4.9000000000000004</v>
      </c>
      <c r="BC23" s="555">
        <f>'[19]SATIM input'!AA12</f>
        <v>4.9000000000000004</v>
      </c>
      <c r="BD23" s="555">
        <f>'[19]SATIM input'!AB12</f>
        <v>4.9000000000000004</v>
      </c>
      <c r="BE23" s="555">
        <f>'[19]SATIM input'!AC12</f>
        <v>0</v>
      </c>
      <c r="BF23" s="555">
        <f>'[19]SATIM input'!AD12</f>
        <v>0</v>
      </c>
      <c r="BG23" s="555">
        <f>'[19]SATIM input'!AE12</f>
        <v>0</v>
      </c>
      <c r="BH23" s="555">
        <f>'[19]SATIM input'!AF12</f>
        <v>0</v>
      </c>
      <c r="BI23" s="555">
        <f>'[19]SATIM input'!AG12</f>
        <v>0</v>
      </c>
      <c r="BJ23" s="555">
        <f>'[19]SATIM input'!AH12</f>
        <v>0</v>
      </c>
      <c r="BK23" s="555">
        <f>'[19]SATIM input'!AI12</f>
        <v>0</v>
      </c>
      <c r="BL23" s="555">
        <f>'[19]SATIM input'!AJ12</f>
        <v>0</v>
      </c>
      <c r="BM23" s="555">
        <f>'[19]SATIM input'!AK12</f>
        <v>0</v>
      </c>
      <c r="BN23" s="555">
        <f>'[19]SATIM input'!AL12</f>
        <v>0</v>
      </c>
      <c r="BO23" s="555">
        <f>'[19]SATIM input'!AM12</f>
        <v>0</v>
      </c>
    </row>
    <row r="24" spans="1:67" ht="15">
      <c r="A24" s="567" t="s">
        <v>1486</v>
      </c>
      <c r="L24" s="572" t="s">
        <v>1485</v>
      </c>
      <c r="M24" s="572" t="s">
        <v>1484</v>
      </c>
      <c r="O24" s="636"/>
      <c r="S24" s="625"/>
      <c r="X24" s="560" t="s">
        <v>174</v>
      </c>
      <c r="Y24" s="113" t="s">
        <v>39</v>
      </c>
      <c r="Z24" s="669">
        <f>SUMIFS('I&amp;S SATIM input'!$D$82:$D$106,'I&amp;S SATIM input'!$B$82:$B$106,$X24,'I&amp;S SATIM input'!$C$82:$C$106,$Y24)</f>
        <v>0.70330244376593443</v>
      </c>
      <c r="AA24" s="669">
        <f>SUMIFS('I&amp;S SATIM input'!$E$82:$E$106,'I&amp;S SATIM input'!$B$82:$B$106,$X24,'I&amp;S SATIM input'!$C$82:$C$106,$Y24)</f>
        <v>0.71033546820359372</v>
      </c>
      <c r="AB24" s="559"/>
      <c r="AD24" s="555" t="str">
        <f t="shared" si="1"/>
        <v>IISDRIEAF-EIISCOA</v>
      </c>
      <c r="AE24" s="560" t="s">
        <v>171</v>
      </c>
      <c r="AF24" s="555">
        <f>'[19]SATIM input'!D13</f>
        <v>1.2400000000000002</v>
      </c>
      <c r="AG24" s="555">
        <f>'[19]SATIM input'!E13</f>
        <v>1.2400000000000002</v>
      </c>
      <c r="AH24" s="555">
        <f>'[19]SATIM input'!F13</f>
        <v>1.2400000000000002</v>
      </c>
      <c r="AI24" s="555">
        <f>'[19]SATIM input'!G13</f>
        <v>1.2400000000000002</v>
      </c>
      <c r="AJ24" s="555">
        <f>'[19]SATIM input'!H13</f>
        <v>1.2400000000000002</v>
      </c>
      <c r="AK24" s="555">
        <f>'[19]SATIM input'!I13</f>
        <v>1.2400000000000002</v>
      </c>
      <c r="AL24" s="555">
        <f>'[19]SATIM input'!J13</f>
        <v>1.2400000000000002</v>
      </c>
      <c r="AM24" s="555">
        <f>'[19]SATIM input'!K13</f>
        <v>1.2400000000000002</v>
      </c>
      <c r="AN24" s="555">
        <f>'[19]SATIM input'!L13</f>
        <v>1.2400000000000002</v>
      </c>
      <c r="AO24" s="555">
        <f>'[19]SATIM input'!M13</f>
        <v>1.2400000000000002</v>
      </c>
      <c r="AP24" s="555">
        <f>'[19]SATIM input'!N13</f>
        <v>1.2400000000000002</v>
      </c>
      <c r="AQ24" s="555">
        <f>'[19]SATIM input'!O13</f>
        <v>1.2400000000000002</v>
      </c>
      <c r="AR24" s="555">
        <f>'[19]SATIM input'!P13</f>
        <v>1.2400000000000002</v>
      </c>
      <c r="AS24" s="555">
        <f>'[19]SATIM input'!Q13</f>
        <v>1.2400000000000002</v>
      </c>
      <c r="AT24" s="555">
        <f>'[19]SATIM input'!R13</f>
        <v>1.2400000000000002</v>
      </c>
      <c r="AU24" s="555">
        <f>'[19]SATIM input'!S13</f>
        <v>1.2400000000000002</v>
      </c>
      <c r="AV24" s="555">
        <f>'[19]SATIM input'!T13</f>
        <v>1.2400000000000002</v>
      </c>
      <c r="AW24" s="555">
        <f>'[19]SATIM input'!U13</f>
        <v>1.2400000000000002</v>
      </c>
      <c r="AX24" s="555">
        <f>'[19]SATIM input'!V13</f>
        <v>1.2400000000000002</v>
      </c>
      <c r="AY24" s="555">
        <f>'[19]SATIM input'!W13</f>
        <v>1.2400000000000002</v>
      </c>
      <c r="AZ24" s="555">
        <f>'[19]SATIM input'!X13</f>
        <v>1.2400000000000002</v>
      </c>
      <c r="BA24" s="555">
        <f>'[19]SATIM input'!Y13</f>
        <v>1.2400000000000002</v>
      </c>
      <c r="BB24" s="555">
        <f>'[19]SATIM input'!Z13</f>
        <v>1.2400000000000002</v>
      </c>
      <c r="BC24" s="555">
        <f>'[19]SATIM input'!AA13</f>
        <v>1.2400000000000002</v>
      </c>
      <c r="BD24" s="555">
        <f>'[19]SATIM input'!AB13</f>
        <v>1.2400000000000002</v>
      </c>
      <c r="BE24" s="555">
        <f>'[19]SATIM input'!AC13</f>
        <v>1.2400000000000002</v>
      </c>
      <c r="BF24" s="555">
        <f>'[19]SATIM input'!AD13</f>
        <v>1.2400000000000002</v>
      </c>
      <c r="BG24" s="555">
        <f>'[19]SATIM input'!AE13</f>
        <v>1.2400000000000002</v>
      </c>
      <c r="BH24" s="555">
        <f>'[19]SATIM input'!AF13</f>
        <v>1.2400000000000002</v>
      </c>
      <c r="BI24" s="555">
        <f>'[19]SATIM input'!AG13</f>
        <v>1.2400000000000002</v>
      </c>
      <c r="BJ24" s="555">
        <f>'[19]SATIM input'!AH13</f>
        <v>1.2400000000000002</v>
      </c>
      <c r="BK24" s="555">
        <f>'[19]SATIM input'!AI13</f>
        <v>1.2400000000000002</v>
      </c>
      <c r="BL24" s="555">
        <f>'[19]SATIM input'!AJ13</f>
        <v>1.2400000000000002</v>
      </c>
      <c r="BM24" s="555">
        <f>'[19]SATIM input'!AK13</f>
        <v>1.2400000000000002</v>
      </c>
      <c r="BN24" s="555">
        <f>'[19]SATIM input'!AL13</f>
        <v>1.2400000000000002</v>
      </c>
      <c r="BO24" s="555">
        <f>'[19]SATIM input'!AM13</f>
        <v>0</v>
      </c>
    </row>
    <row r="25" spans="1:67" ht="15">
      <c r="A25" s="570"/>
      <c r="B25" s="635" t="s">
        <v>169</v>
      </c>
      <c r="C25" s="569"/>
      <c r="D25" s="635" t="s">
        <v>42</v>
      </c>
      <c r="E25" s="635" t="s">
        <v>1390</v>
      </c>
      <c r="F25" s="635" t="s">
        <v>705</v>
      </c>
      <c r="G25" s="635" t="s">
        <v>1099</v>
      </c>
      <c r="H25" s="635" t="s">
        <v>591</v>
      </c>
      <c r="I25" s="635">
        <v>3</v>
      </c>
      <c r="J25" s="635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0.44982892124067309</v>
      </c>
      <c r="S25" s="625"/>
      <c r="X25" s="560" t="s">
        <v>180</v>
      </c>
      <c r="Y25" s="113" t="s">
        <v>39</v>
      </c>
      <c r="Z25" s="669">
        <f>SUMIFS('I&amp;S SATIM input'!$D$82:$D$106,'I&amp;S SATIM input'!$B$82:$B$106,$X25,'I&amp;S SATIM input'!$C$82:$C$106,$Y25)</f>
        <v>0</v>
      </c>
      <c r="AA25" s="669">
        <f>SUMIFS('I&amp;S SATIM input'!$E$82:$E$106,'I&amp;S SATIM input'!$B$82:$B$106,$X25,'I&amp;S SATIM input'!$C$82:$C$106,$Y25)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174</v>
      </c>
      <c r="AF25" s="555">
        <f>'[19]SATIM input'!D14</f>
        <v>1.44</v>
      </c>
      <c r="AG25" s="555">
        <f>'[19]SATIM input'!E14</f>
        <v>1.44</v>
      </c>
      <c r="AH25" s="555">
        <f>'[19]SATIM input'!F14</f>
        <v>1.44</v>
      </c>
      <c r="AI25" s="555">
        <f>'[19]SATIM input'!G14</f>
        <v>1.44</v>
      </c>
      <c r="AJ25" s="555">
        <f>'[19]SATIM input'!H14</f>
        <v>1.44</v>
      </c>
      <c r="AK25" s="555">
        <f>'[19]SATIM input'!I14</f>
        <v>1.44</v>
      </c>
      <c r="AL25" s="555">
        <f>'[19]SATIM input'!J14</f>
        <v>1.44</v>
      </c>
      <c r="AM25" s="555">
        <f>'[19]SATIM input'!K14</f>
        <v>1.44</v>
      </c>
      <c r="AN25" s="555">
        <f>'[19]SATIM input'!L14</f>
        <v>1.44</v>
      </c>
      <c r="AO25" s="555">
        <f>'[19]SATIM input'!M14</f>
        <v>1.44</v>
      </c>
      <c r="AP25" s="555">
        <f>'[19]SATIM input'!N14</f>
        <v>1.44</v>
      </c>
      <c r="AQ25" s="555">
        <f>'[19]SATIM input'!O14</f>
        <v>1.44</v>
      </c>
      <c r="AR25" s="555">
        <f>'[19]SATIM input'!P14</f>
        <v>1.44</v>
      </c>
      <c r="AS25" s="555">
        <f>'[19]SATIM input'!Q14</f>
        <v>1.44</v>
      </c>
      <c r="AT25" s="555">
        <f>'[19]SATIM input'!R14</f>
        <v>1.44</v>
      </c>
      <c r="AU25" s="555">
        <f>'[19]SATIM input'!S14</f>
        <v>1.44</v>
      </c>
      <c r="AV25" s="555">
        <f>'[19]SATIM input'!T14</f>
        <v>1.44</v>
      </c>
      <c r="AW25" s="555">
        <f>'[19]SATIM input'!U14</f>
        <v>1.44</v>
      </c>
      <c r="AX25" s="555">
        <f>'[19]SATIM input'!V14</f>
        <v>1.44</v>
      </c>
      <c r="AY25" s="555">
        <f>'[19]SATIM input'!W14</f>
        <v>1.44</v>
      </c>
      <c r="AZ25" s="555">
        <f>'[19]SATIM input'!X14</f>
        <v>1.44</v>
      </c>
      <c r="BA25" s="555">
        <f>'[19]SATIM input'!Y14</f>
        <v>1.44</v>
      </c>
      <c r="BB25" s="555">
        <f>'[19]SATIM input'!Z14</f>
        <v>1.44</v>
      </c>
      <c r="BC25" s="555">
        <f>'[19]SATIM input'!AA14</f>
        <v>1.44</v>
      </c>
      <c r="BD25" s="555">
        <f>'[19]SATIM input'!AB14</f>
        <v>1.44</v>
      </c>
      <c r="BE25" s="555">
        <f>'[19]SATIM input'!AC14</f>
        <v>0</v>
      </c>
      <c r="BF25" s="555">
        <f>'[19]SATIM input'!AD14</f>
        <v>0</v>
      </c>
      <c r="BG25" s="555">
        <f>'[19]SATIM input'!AE14</f>
        <v>0</v>
      </c>
      <c r="BH25" s="555">
        <f>'[19]SATIM input'!AF14</f>
        <v>0</v>
      </c>
      <c r="BI25" s="555">
        <f>'[19]SATIM input'!AG14</f>
        <v>0</v>
      </c>
      <c r="BJ25" s="555">
        <f>'[19]SATIM input'!AH14</f>
        <v>0</v>
      </c>
      <c r="BK25" s="555">
        <f>'[19]SATIM input'!AI14</f>
        <v>0</v>
      </c>
      <c r="BL25" s="555">
        <f>'[19]SATIM input'!AJ14</f>
        <v>0</v>
      </c>
      <c r="BM25" s="555">
        <f>'[19]SATIM input'!AK14</f>
        <v>0</v>
      </c>
      <c r="BN25" s="555">
        <f>'[19]SATIM input'!AL14</f>
        <v>0</v>
      </c>
      <c r="BO25" s="555">
        <f>'[19]SATIM input'!AM14</f>
        <v>0</v>
      </c>
    </row>
    <row r="26" spans="1:67" ht="15">
      <c r="A26" s="560"/>
      <c r="B26" s="113" t="s">
        <v>169</v>
      </c>
      <c r="D26" s="113" t="s">
        <v>42</v>
      </c>
      <c r="E26" s="113" t="s">
        <v>1390</v>
      </c>
      <c r="F26" s="113" t="s">
        <v>705</v>
      </c>
      <c r="G26" s="113" t="s">
        <v>1099</v>
      </c>
      <c r="H26" s="113" t="s">
        <v>592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0.45432721045307983</v>
      </c>
      <c r="S26" s="625"/>
      <c r="X26" s="560" t="s">
        <v>171</v>
      </c>
      <c r="Y26" s="113" t="s">
        <v>39</v>
      </c>
      <c r="Z26" s="669">
        <f>SUMIFS('I&amp;S SATIM input'!$D$82:$D$106,'I&amp;S SATIM input'!$B$82:$B$106,$X26,'I&amp;S SATIM input'!$C$82:$C$106,$Y26)</f>
        <v>0.77646494405992639</v>
      </c>
      <c r="AA26" s="669">
        <f>SUMIFS('I&amp;S SATIM input'!$E$82:$E$106,'I&amp;S SATIM input'!$B$82:$B$106,$X26,'I&amp;S SATIM input'!$C$82:$C$106,$Y26)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178</v>
      </c>
      <c r="AF26" s="555">
        <f>'[19]SATIM input'!D15</f>
        <v>1</v>
      </c>
      <c r="AG26" s="555">
        <f>'[19]SATIM input'!E15</f>
        <v>1</v>
      </c>
      <c r="AH26" s="555">
        <f>'[19]SATIM input'!F15</f>
        <v>1</v>
      </c>
      <c r="AI26" s="555">
        <f>'[19]SATIM input'!G15</f>
        <v>1</v>
      </c>
      <c r="AJ26" s="555">
        <f>'[19]SATIM input'!H15</f>
        <v>1</v>
      </c>
      <c r="AK26" s="555">
        <f>'[19]SATIM input'!I15</f>
        <v>1</v>
      </c>
      <c r="AL26" s="555">
        <f>'[19]SATIM input'!J15</f>
        <v>1</v>
      </c>
      <c r="AM26" s="555">
        <f>'[19]SATIM input'!K15</f>
        <v>1</v>
      </c>
      <c r="AN26" s="555">
        <f>'[19]SATIM input'!L15</f>
        <v>1</v>
      </c>
      <c r="AO26" s="555">
        <f>'[19]SATIM input'!M15</f>
        <v>1</v>
      </c>
      <c r="AP26" s="555">
        <f>'[19]SATIM input'!N15</f>
        <v>1</v>
      </c>
      <c r="AQ26" s="555">
        <f>'[19]SATIM input'!O15</f>
        <v>1</v>
      </c>
      <c r="AR26" s="555">
        <f>'[19]SATIM input'!P15</f>
        <v>1</v>
      </c>
      <c r="AS26" s="555">
        <f>'[19]SATIM input'!Q15</f>
        <v>1</v>
      </c>
      <c r="AT26" s="555">
        <f>'[19]SATIM input'!R15</f>
        <v>1</v>
      </c>
      <c r="AU26" s="555">
        <f>'[19]SATIM input'!S15</f>
        <v>1</v>
      </c>
      <c r="AV26" s="555">
        <f>'[19]SATIM input'!T15</f>
        <v>1</v>
      </c>
      <c r="AW26" s="555">
        <f>'[19]SATIM input'!U15</f>
        <v>1</v>
      </c>
      <c r="AX26" s="555">
        <f>'[19]SATIM input'!V15</f>
        <v>1</v>
      </c>
      <c r="AY26" s="555">
        <f>'[19]SATIM input'!W15</f>
        <v>1</v>
      </c>
      <c r="AZ26" s="555">
        <f>'[19]SATIM input'!X15</f>
        <v>1</v>
      </c>
      <c r="BA26" s="555">
        <f>'[19]SATIM input'!Y15</f>
        <v>1</v>
      </c>
      <c r="BB26" s="555">
        <f>'[19]SATIM input'!Z15</f>
        <v>1</v>
      </c>
      <c r="BC26" s="555">
        <f>'[19]SATIM input'!AA15</f>
        <v>1</v>
      </c>
      <c r="BD26" s="555">
        <f>'[19]SATIM input'!AB15</f>
        <v>1</v>
      </c>
      <c r="BE26" s="555">
        <f>'[19]SATIM input'!AC15</f>
        <v>0</v>
      </c>
      <c r="BF26" s="555">
        <f>'[19]SATIM input'!AD15</f>
        <v>0</v>
      </c>
      <c r="BG26" s="555">
        <f>'[19]SATIM input'!AE15</f>
        <v>0</v>
      </c>
      <c r="BH26" s="555">
        <f>'[19]SATIM input'!AF15</f>
        <v>0</v>
      </c>
      <c r="BI26" s="555">
        <f>'[19]SATIM input'!AG15</f>
        <v>0</v>
      </c>
      <c r="BJ26" s="555">
        <f>'[19]SATIM input'!AH15</f>
        <v>0</v>
      </c>
      <c r="BK26" s="555">
        <f>'[19]SATIM input'!AI15</f>
        <v>0</v>
      </c>
      <c r="BL26" s="555">
        <f>'[19]SATIM input'!AJ15</f>
        <v>0</v>
      </c>
      <c r="BM26" s="555">
        <f>'[19]SATIM input'!AK15</f>
        <v>0</v>
      </c>
      <c r="BN26" s="555">
        <f>'[19]SATIM input'!AL15</f>
        <v>0</v>
      </c>
      <c r="BO26" s="555">
        <f>'[19]SATIM input'!AM15</f>
        <v>0</v>
      </c>
    </row>
    <row r="27" spans="1:67" ht="15">
      <c r="A27" s="560"/>
      <c r="B27" s="113" t="s">
        <v>169</v>
      </c>
      <c r="D27" s="113" t="s">
        <v>39</v>
      </c>
      <c r="E27" s="113" t="s">
        <v>1390</v>
      </c>
      <c r="F27" s="113" t="s">
        <v>705</v>
      </c>
      <c r="G27" s="113" t="s">
        <v>1099</v>
      </c>
      <c r="H27" s="113" t="s">
        <v>591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0.21945745439808531</v>
      </c>
      <c r="X27" s="560" t="s">
        <v>178</v>
      </c>
      <c r="Y27" s="113" t="s">
        <v>39</v>
      </c>
      <c r="Z27" s="669">
        <f>SUMIFS('I&amp;S SATIM input'!$D$82:$D$106,'I&amp;S SATIM input'!$B$82:$B$106,$X27,'I&amp;S SATIM input'!$C$82:$C$106,$Y27)</f>
        <v>0.46153846153846151</v>
      </c>
      <c r="AA27" s="669">
        <f>SUMIFS('I&amp;S SATIM input'!$E$82:$E$106,'I&amp;S SATIM input'!$B$82:$B$106,$X27,'I&amp;S SATIM input'!$C$82:$C$106,$Y27)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180</v>
      </c>
      <c r="AF27" s="555">
        <f>'[19]SATIM input'!D16</f>
        <v>1.7200000000000002</v>
      </c>
      <c r="AG27" s="555">
        <f>'[19]SATIM input'!E16</f>
        <v>1.7200000000000002</v>
      </c>
      <c r="AH27" s="555">
        <f>'[19]SATIM input'!F16</f>
        <v>1.7200000000000002</v>
      </c>
      <c r="AI27" s="555">
        <f>'[19]SATIM input'!G16</f>
        <v>1.7200000000000002</v>
      </c>
      <c r="AJ27" s="555">
        <f>'[19]SATIM input'!H16</f>
        <v>1.3200000000000003</v>
      </c>
      <c r="AK27" s="555">
        <f>'[19]SATIM input'!I16</f>
        <v>1.3200000000000003</v>
      </c>
      <c r="AL27" s="555">
        <f>'[19]SATIM input'!J16</f>
        <v>1.3200000000000003</v>
      </c>
      <c r="AM27" s="555">
        <f>'[19]SATIM input'!K16</f>
        <v>1.3200000000000003</v>
      </c>
      <c r="AN27" s="555">
        <f>'[19]SATIM input'!L16</f>
        <v>1.3200000000000003</v>
      </c>
      <c r="AO27" s="555">
        <f>'[19]SATIM input'!M16</f>
        <v>1.3200000000000003</v>
      </c>
      <c r="AP27" s="555">
        <f>'[19]SATIM input'!N16</f>
        <v>1.3200000000000003</v>
      </c>
      <c r="AQ27" s="555">
        <f>'[19]SATIM input'!O16</f>
        <v>1.3200000000000003</v>
      </c>
      <c r="AR27" s="555">
        <f>'[19]SATIM input'!P16</f>
        <v>1.3200000000000003</v>
      </c>
      <c r="AS27" s="555">
        <f>'[19]SATIM input'!Q16</f>
        <v>1.3200000000000003</v>
      </c>
      <c r="AT27" s="555">
        <f>'[19]SATIM input'!R16</f>
        <v>1.3200000000000003</v>
      </c>
      <c r="AU27" s="555">
        <f>'[19]SATIM input'!S16</f>
        <v>1.3200000000000003</v>
      </c>
      <c r="AV27" s="555">
        <f>'[19]SATIM input'!T16</f>
        <v>1.3200000000000003</v>
      </c>
      <c r="AW27" s="555">
        <f>'[19]SATIM input'!U16</f>
        <v>1.3200000000000003</v>
      </c>
      <c r="AX27" s="555">
        <f>'[19]SATIM input'!V16</f>
        <v>1.3200000000000003</v>
      </c>
      <c r="AY27" s="555">
        <f>'[19]SATIM input'!W16</f>
        <v>1.3200000000000003</v>
      </c>
      <c r="AZ27" s="555">
        <f>'[19]SATIM input'!X16</f>
        <v>1.3200000000000003</v>
      </c>
      <c r="BA27" s="555">
        <f>'[19]SATIM input'!Y16</f>
        <v>1.3200000000000003</v>
      </c>
      <c r="BB27" s="555">
        <f>'[19]SATIM input'!Z16</f>
        <v>1.3200000000000003</v>
      </c>
      <c r="BC27" s="555">
        <f>'[19]SATIM input'!AA16</f>
        <v>1.3200000000000003</v>
      </c>
      <c r="BD27" s="555">
        <f>'[19]SATIM input'!AB16</f>
        <v>1.3200000000000003</v>
      </c>
      <c r="BE27" s="555">
        <f>'[19]SATIM input'!AC16</f>
        <v>0</v>
      </c>
      <c r="BF27" s="555">
        <f>'[19]SATIM input'!AD16</f>
        <v>0</v>
      </c>
      <c r="BG27" s="555">
        <f>'[19]SATIM input'!AE16</f>
        <v>0</v>
      </c>
      <c r="BH27" s="555">
        <f>'[19]SATIM input'!AF16</f>
        <v>0</v>
      </c>
      <c r="BI27" s="555">
        <f>'[19]SATIM input'!AG16</f>
        <v>0</v>
      </c>
      <c r="BJ27" s="555">
        <f>'[19]SATIM input'!AH16</f>
        <v>0</v>
      </c>
      <c r="BK27" s="555">
        <f>'[19]SATIM input'!AI16</f>
        <v>0</v>
      </c>
      <c r="BL27" s="555">
        <f>'[19]SATIM input'!AJ16</f>
        <v>0</v>
      </c>
      <c r="BM27" s="555">
        <f>'[19]SATIM input'!AK16</f>
        <v>0</v>
      </c>
      <c r="BN27" s="555">
        <f>'[19]SATIM input'!AL16</f>
        <v>0</v>
      </c>
      <c r="BO27" s="555">
        <f>'[19]SATIM input'!AM16</f>
        <v>0</v>
      </c>
    </row>
    <row r="28" spans="1:67" ht="15">
      <c r="A28" s="560"/>
      <c r="B28" s="113" t="s">
        <v>169</v>
      </c>
      <c r="D28" s="113" t="s">
        <v>39</v>
      </c>
      <c r="E28" s="113" t="s">
        <v>1390</v>
      </c>
      <c r="F28" s="113" t="s">
        <v>705</v>
      </c>
      <c r="G28" s="113" t="s">
        <v>1099</v>
      </c>
      <c r="H28" s="113" t="s">
        <v>592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0.22165202894206618</v>
      </c>
      <c r="X28" s="560" t="s">
        <v>169</v>
      </c>
      <c r="Y28" s="113" t="s">
        <v>38</v>
      </c>
      <c r="Z28" s="669">
        <f>SUMIFS('I&amp;S SATIM input'!$D$82:$D$106,'I&amp;S SATIM input'!$B$82:$B$106,$X28,'I&amp;S SATIM input'!$C$82:$C$106,$Y28)</f>
        <v>0.10641268732607105</v>
      </c>
      <c r="AA28" s="669">
        <f>SUMIFS('I&amp;S SATIM input'!$E$82:$E$106,'I&amp;S SATIM input'!$B$82:$B$106,$X28,'I&amp;S SATIM input'!$C$82:$C$106,$Y28)</f>
        <v>0.10747681419933176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>
      <c r="A29" s="560"/>
      <c r="B29" s="113" t="s">
        <v>169</v>
      </c>
      <c r="D29" s="113" t="s">
        <v>38</v>
      </c>
      <c r="E29" s="113" t="s">
        <v>1390</v>
      </c>
      <c r="F29" s="113" t="s">
        <v>705</v>
      </c>
      <c r="G29" s="113" t="s">
        <v>1099</v>
      </c>
      <c r="H29" s="113" t="s">
        <v>591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0.10641268732607105</v>
      </c>
      <c r="X29" s="560" t="s">
        <v>174</v>
      </c>
      <c r="Y29" s="113" t="s">
        <v>38</v>
      </c>
      <c r="Z29" s="669">
        <f>SUMIFS('I&amp;S SATIM input'!$D$82:$D$106,'I&amp;S SATIM input'!$B$82:$B$106,$X29,'I&amp;S SATIM input'!$C$82:$C$106,$Y29)</f>
        <v>0.16586669339471435</v>
      </c>
      <c r="AA29" s="669">
        <f>SUMIFS('I&amp;S SATIM input'!$E$82:$E$106,'I&amp;S SATIM input'!$B$82:$B$106,$X29,'I&amp;S SATIM input'!$C$82:$C$106,$Y29)</f>
        <v>0.1675253603286615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>
      <c r="A30" s="560"/>
      <c r="B30" s="113" t="s">
        <v>169</v>
      </c>
      <c r="D30" s="113" t="s">
        <v>590</v>
      </c>
      <c r="E30" s="113" t="s">
        <v>1390</v>
      </c>
      <c r="F30" s="113" t="s">
        <v>705</v>
      </c>
      <c r="G30" s="113" t="s">
        <v>1099</v>
      </c>
      <c r="H30" s="113" t="s">
        <v>591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0.19417975468905843</v>
      </c>
      <c r="X30" s="560" t="s">
        <v>180</v>
      </c>
      <c r="Y30" s="113" t="s">
        <v>38</v>
      </c>
      <c r="Z30" s="669">
        <f>SUMIFS('I&amp;S SATIM input'!$D$82:$D$106,'I&amp;S SATIM input'!$B$82:$B$106,$X30,'I&amp;S SATIM input'!$C$82:$C$106,$Y30)</f>
        <v>0.74487768236857965</v>
      </c>
      <c r="AA30" s="669">
        <f>SUMIFS('I&amp;S SATIM input'!$E$82:$E$106,'I&amp;S SATIM input'!$B$82:$B$106,$X30,'I&amp;S SATIM input'!$C$82:$C$106,$Y30)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529</v>
      </c>
    </row>
    <row r="31" spans="1:67" ht="15">
      <c r="A31" s="560"/>
      <c r="B31" s="113" t="s">
        <v>169</v>
      </c>
      <c r="D31" s="113" t="s">
        <v>590</v>
      </c>
      <c r="E31" s="113" t="s">
        <v>1390</v>
      </c>
      <c r="F31" s="113" t="s">
        <v>705</v>
      </c>
      <c r="G31" s="113" t="s">
        <v>1099</v>
      </c>
      <c r="H31" s="113" t="s">
        <v>592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0.19612155223594901</v>
      </c>
      <c r="X31" s="560" t="s">
        <v>171</v>
      </c>
      <c r="Y31" s="113" t="s">
        <v>38</v>
      </c>
      <c r="Z31" s="669">
        <f>SUMIFS('I&amp;S SATIM input'!$D$82:$D$106,'I&amp;S SATIM input'!$B$82:$B$106,$X31,'I&amp;S SATIM input'!$C$82:$C$106,$Y31)</f>
        <v>7.8007640891601907E-2</v>
      </c>
      <c r="AA31" s="669">
        <f>SUMIFS('I&amp;S SATIM input'!$E$82:$E$106,'I&amp;S SATIM input'!$B$82:$B$106,$X31,'I&amp;S SATIM input'!$C$82:$C$106,$Y31)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533</v>
      </c>
      <c r="AF31" s="555" t="str">
        <f>'[19]SATIM input'!D29</f>
        <v>-0.126</v>
      </c>
      <c r="AG31" s="555" t="str">
        <f>'[19]SATIM input'!E29</f>
        <v>-0.126</v>
      </c>
      <c r="AH31" s="555" t="str">
        <f>'[19]SATIM input'!F29</f>
        <v>-0.126</v>
      </c>
      <c r="AI31" s="555" t="str">
        <f>'[19]SATIM input'!G29</f>
        <v>-0.217</v>
      </c>
      <c r="AJ31" s="555" t="str">
        <f>'[19]SATIM input'!H29</f>
        <v>-0.221</v>
      </c>
      <c r="AK31" s="555" t="str">
        <f>'[19]SATIM input'!I29</f>
        <v>-0.216</v>
      </c>
      <c r="AL31" s="555" t="str">
        <f>'[19]SATIM input'!J29</f>
        <v>-0.196</v>
      </c>
      <c r="AM31" s="555" t="str">
        <f>'[19]SATIM input'!K29</f>
        <v>-0.201</v>
      </c>
      <c r="AN31" s="555" t="str">
        <f>'[19]SATIM input'!L29</f>
        <v>-0.246</v>
      </c>
    </row>
    <row r="32" spans="1:67" ht="15">
      <c r="A32" s="560"/>
      <c r="B32" s="113" t="s">
        <v>169</v>
      </c>
      <c r="D32" s="113" t="s">
        <v>1335</v>
      </c>
      <c r="E32" s="113" t="s">
        <v>1390</v>
      </c>
      <c r="F32" s="113" t="s">
        <v>705</v>
      </c>
      <c r="G32" s="113" t="s">
        <v>1099</v>
      </c>
      <c r="H32" s="113" t="s">
        <v>591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178</v>
      </c>
      <c r="Y32" s="113" t="s">
        <v>38</v>
      </c>
      <c r="Z32" s="669">
        <f>SUMIFS('I&amp;S SATIM input'!$D$82:$D$106,'I&amp;S SATIM input'!$B$82:$B$106,$X32,'I&amp;S SATIM input'!$C$82:$C$106,$Y32)</f>
        <v>0.46153846153846151</v>
      </c>
      <c r="AA32" s="669">
        <f>SUMIFS('I&amp;S SATIM input'!$E$82:$E$106,'I&amp;S SATIM input'!$B$82:$B$106,$X32,'I&amp;S SATIM input'!$C$82:$C$106,$Y32)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790</v>
      </c>
      <c r="AF32" s="555" t="str">
        <f>'[19]SATIM input'!D30</f>
        <v>-0.121</v>
      </c>
      <c r="AG32" s="555" t="str">
        <f>'[19]SATIM input'!E30</f>
        <v>-0.121</v>
      </c>
      <c r="AH32" s="555" t="str">
        <f>'[19]SATIM input'!F30</f>
        <v>-0.121</v>
      </c>
      <c r="AI32" s="555" t="str">
        <f>'[19]SATIM input'!G30</f>
        <v>-0.209</v>
      </c>
      <c r="AJ32" s="555" t="str">
        <f>'[19]SATIM input'!H30</f>
        <v>-0.212</v>
      </c>
      <c r="AK32" s="555" t="str">
        <f>'[19]SATIM input'!I30</f>
        <v>-0.208</v>
      </c>
      <c r="AL32" s="555" t="str">
        <f>'[19]SATIM input'!J30</f>
        <v>-0.188</v>
      </c>
      <c r="AM32" s="555" t="str">
        <f>'[19]SATIM input'!K30</f>
        <v>-0.193</v>
      </c>
      <c r="AN32" s="555" t="str">
        <f>'[19]SATIM input'!L30</f>
        <v>-0.237</v>
      </c>
    </row>
    <row r="33" spans="1:30" ht="15">
      <c r="A33" s="560"/>
      <c r="B33" s="449" t="s">
        <v>169</v>
      </c>
      <c r="C33" s="557"/>
      <c r="D33" s="449" t="s">
        <v>1335</v>
      </c>
      <c r="E33" s="449" t="s">
        <v>1390</v>
      </c>
      <c r="F33" s="449" t="s">
        <v>705</v>
      </c>
      <c r="G33" s="449" t="s">
        <v>1099</v>
      </c>
      <c r="H33" s="449" t="s">
        <v>592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169</v>
      </c>
      <c r="Y33" s="113" t="s">
        <v>42</v>
      </c>
      <c r="Z33" s="669">
        <f>SUMIFS('I&amp;S SATIM input'!$D$82:$D$106,'I&amp;S SATIM input'!$B$82:$B$106,$X33,'I&amp;S SATIM input'!$C$82:$C$106,$Y33)</f>
        <v>0.44982892124067309</v>
      </c>
      <c r="AA33" s="669">
        <f>SUMIFS('I&amp;S SATIM input'!$E$82:$E$106,'I&amp;S SATIM input'!$B$82:$B$106,$X33,'I&amp;S SATIM input'!$C$82:$C$106,$Y33)</f>
        <v>0.45432721045307983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>
      <c r="A34" s="560"/>
      <c r="B34" s="113" t="s">
        <v>538</v>
      </c>
      <c r="D34" s="113" t="s">
        <v>42</v>
      </c>
      <c r="E34" s="113" t="s">
        <v>1386</v>
      </c>
      <c r="F34" s="113" t="s">
        <v>705</v>
      </c>
      <c r="G34" s="113" t="s">
        <v>1099</v>
      </c>
      <c r="H34" s="113" t="s">
        <v>591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0.44982892124067309</v>
      </c>
      <c r="X34" s="560" t="s">
        <v>174</v>
      </c>
      <c r="Y34" s="113" t="s">
        <v>42</v>
      </c>
      <c r="Z34" s="669">
        <f>SUMIFS('I&amp;S SATIM input'!$D$82:$D$106,'I&amp;S SATIM input'!$B$82:$B$106,$X34,'I&amp;S SATIM input'!$C$82:$C$106,$Y34)</f>
        <v>0</v>
      </c>
      <c r="AA34" s="669">
        <f>SUMIFS('I&amp;S SATIM input'!$E$82:$E$106,'I&amp;S SATIM input'!$B$82:$B$106,$X34,'I&amp;S SATIM input'!$C$82:$C$106,$Y34)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>
      <c r="A35" s="560"/>
      <c r="B35" s="113" t="s">
        <v>538</v>
      </c>
      <c r="D35" s="113" t="s">
        <v>42</v>
      </c>
      <c r="E35" s="113" t="s">
        <v>1386</v>
      </c>
      <c r="F35" s="113" t="s">
        <v>705</v>
      </c>
      <c r="G35" s="113" t="s">
        <v>1099</v>
      </c>
      <c r="H35" s="113" t="s">
        <v>592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0.45432721045307983</v>
      </c>
      <c r="X35" s="560" t="s">
        <v>180</v>
      </c>
      <c r="Y35" s="113" t="s">
        <v>42</v>
      </c>
      <c r="Z35" s="669">
        <f>SUMIFS('I&amp;S SATIM input'!$D$82:$D$106,'I&amp;S SATIM input'!$B$82:$B$106,$X35,'I&amp;S SATIM input'!$C$82:$C$106,$Y35)</f>
        <v>0</v>
      </c>
      <c r="AA35" s="669">
        <f>SUMIFS('I&amp;S SATIM input'!$E$82:$E$106,'I&amp;S SATIM input'!$B$82:$B$106,$X35,'I&amp;S SATIM input'!$C$82:$C$106,$Y35)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>
      <c r="A36" s="560"/>
      <c r="B36" s="113" t="s">
        <v>538</v>
      </c>
      <c r="D36" s="113" t="s">
        <v>39</v>
      </c>
      <c r="E36" s="113" t="s">
        <v>1386</v>
      </c>
      <c r="F36" s="113" t="s">
        <v>705</v>
      </c>
      <c r="G36" s="113" t="s">
        <v>1099</v>
      </c>
      <c r="H36" s="113" t="s">
        <v>591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0.21945745439808531</v>
      </c>
      <c r="X36" s="560" t="s">
        <v>171</v>
      </c>
      <c r="Y36" s="113" t="s">
        <v>42</v>
      </c>
      <c r="Z36" s="669">
        <f>SUMIFS('I&amp;S SATIM input'!$D$82:$D$106,'I&amp;S SATIM input'!$B$82:$B$106,$X36,'I&amp;S SATIM input'!$C$82:$C$106,$Y36)</f>
        <v>0.11737260782301213</v>
      </c>
      <c r="AA36" s="669">
        <f>SUMIFS('I&amp;S SATIM input'!$E$82:$E$106,'I&amp;S SATIM input'!$B$82:$B$106,$X36,'I&amp;S SATIM input'!$C$82:$C$106,$Y36)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>
      <c r="A37" s="560"/>
      <c r="B37" s="113" t="s">
        <v>538</v>
      </c>
      <c r="D37" s="113" t="s">
        <v>39</v>
      </c>
      <c r="E37" s="113" t="s">
        <v>1386</v>
      </c>
      <c r="F37" s="113" t="s">
        <v>705</v>
      </c>
      <c r="G37" s="113" t="s">
        <v>1099</v>
      </c>
      <c r="H37" s="113" t="s">
        <v>592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0.22165202894206618</v>
      </c>
      <c r="X37" s="560" t="s">
        <v>178</v>
      </c>
      <c r="Y37" s="113" t="s">
        <v>42</v>
      </c>
      <c r="Z37" s="669">
        <f>SUMIFS('I&amp;S SATIM input'!$D$82:$D$106,'I&amp;S SATIM input'!$B$82:$B$106,$X37,'I&amp;S SATIM input'!$C$82:$C$106,$Y37)</f>
        <v>0</v>
      </c>
      <c r="AA37" s="669">
        <f>SUMIFS('I&amp;S SATIM input'!$E$82:$E$106,'I&amp;S SATIM input'!$B$82:$B$106,$X37,'I&amp;S SATIM input'!$C$82:$C$106,$Y37)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>
      <c r="A38" s="560"/>
      <c r="B38" s="113" t="s">
        <v>538</v>
      </c>
      <c r="D38" s="113" t="s">
        <v>38</v>
      </c>
      <c r="E38" s="113" t="s">
        <v>1386</v>
      </c>
      <c r="F38" s="113" t="s">
        <v>705</v>
      </c>
      <c r="G38" s="113" t="s">
        <v>1099</v>
      </c>
      <c r="H38" s="113" t="s">
        <v>1100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0.10641268732607105</v>
      </c>
      <c r="X38" s="560" t="s">
        <v>169</v>
      </c>
      <c r="Y38" s="555" t="s">
        <v>593</v>
      </c>
      <c r="Z38" s="669">
        <f>SUMIFS('I&amp;S SATIM input'!$D$82:$D$106,'I&amp;S SATIM input'!$B$82:$B$106,$X38,'I&amp;S SATIM input'!$C$82:$C$106,$Y38)</f>
        <v>3.0121182346112101E-2</v>
      </c>
      <c r="AA38" s="669">
        <f>SUMIFS('I&amp;S SATIM input'!$E$82:$E$106,'I&amp;S SATIM input'!$B$82:$B$106,$X38,'I&amp;S SATIM input'!$C$82:$C$106,$Y38)</f>
        <v>3.0422394169573222E-2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>
      <c r="A39" s="560"/>
      <c r="B39" s="113" t="s">
        <v>538</v>
      </c>
      <c r="D39" s="113" t="s">
        <v>590</v>
      </c>
      <c r="E39" s="113" t="s">
        <v>1386</v>
      </c>
      <c r="F39" s="113" t="s">
        <v>705</v>
      </c>
      <c r="G39" s="113" t="s">
        <v>1099</v>
      </c>
      <c r="H39" s="113" t="s">
        <v>591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0.19417975468905843</v>
      </c>
      <c r="X39" s="560" t="s">
        <v>174</v>
      </c>
      <c r="Y39" s="555" t="s">
        <v>593</v>
      </c>
      <c r="Z39" s="669">
        <f>SUMIFS('I&amp;S SATIM input'!$D$82:$D$106,'I&amp;S SATIM input'!$B$82:$B$106,$X39,'I&amp;S SATIM input'!$C$82:$C$106,$Y39)</f>
        <v>0</v>
      </c>
      <c r="AA39" s="669">
        <f>SUMIFS('I&amp;S SATIM input'!$E$82:$E$106,'I&amp;S SATIM input'!$B$82:$B$106,$X39,'I&amp;S SATIM input'!$C$82:$C$106,$Y39)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>
      <c r="A40" s="560"/>
      <c r="B40" s="113" t="s">
        <v>538</v>
      </c>
      <c r="D40" s="113" t="s">
        <v>590</v>
      </c>
      <c r="E40" s="113" t="s">
        <v>1386</v>
      </c>
      <c r="F40" s="113" t="s">
        <v>705</v>
      </c>
      <c r="G40" s="113" t="s">
        <v>1099</v>
      </c>
      <c r="H40" s="113" t="s">
        <v>592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0.19612155223594901</v>
      </c>
      <c r="X40" s="560" t="s">
        <v>180</v>
      </c>
      <c r="Y40" s="555" t="s">
        <v>593</v>
      </c>
      <c r="Z40" s="669">
        <f>SUMIFS('I&amp;S SATIM input'!$D$82:$D$106,'I&amp;S SATIM input'!$B$82:$B$106,$X40,'I&amp;S SATIM input'!$C$82:$C$106,$Y40)</f>
        <v>0.12863089961074112</v>
      </c>
      <c r="AA40" s="669">
        <f>SUMIFS('I&amp;S SATIM input'!$E$82:$E$106,'I&amp;S SATIM input'!$B$82:$B$106,$X40,'I&amp;S SATIM input'!$C$82:$C$106,$Y40)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>
      <c r="A41" s="560"/>
      <c r="B41" s="113" t="s">
        <v>538</v>
      </c>
      <c r="D41" s="113" t="s">
        <v>1335</v>
      </c>
      <c r="E41" s="113" t="s">
        <v>1386</v>
      </c>
      <c r="F41" s="113" t="s">
        <v>705</v>
      </c>
      <c r="G41" s="113" t="s">
        <v>1099</v>
      </c>
      <c r="H41" s="113" t="s">
        <v>591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171</v>
      </c>
      <c r="Y41" s="555" t="s">
        <v>593</v>
      </c>
      <c r="Z41" s="669">
        <f>SUMIFS('I&amp;S SATIM input'!$D$82:$D$106,'I&amp;S SATIM input'!$B$82:$B$106,$X41,'I&amp;S SATIM input'!$C$82:$C$106,$Y41)</f>
        <v>9.794992575659793E-3</v>
      </c>
      <c r="AA41" s="669">
        <f>SUMIFS('I&amp;S SATIM input'!$E$82:$E$106,'I&amp;S SATIM input'!$B$82:$B$106,$X41,'I&amp;S SATIM input'!$C$82:$C$106,$Y41)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>
      <c r="A42" s="560"/>
      <c r="B42" s="449" t="s">
        <v>538</v>
      </c>
      <c r="C42" s="557"/>
      <c r="D42" s="449" t="s">
        <v>1335</v>
      </c>
      <c r="E42" s="449" t="s">
        <v>1386</v>
      </c>
      <c r="F42" s="449" t="s">
        <v>705</v>
      </c>
      <c r="G42" s="449" t="s">
        <v>1099</v>
      </c>
      <c r="H42" s="449" t="s">
        <v>592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178</v>
      </c>
      <c r="Y42" s="555" t="s">
        <v>593</v>
      </c>
      <c r="Z42" s="669">
        <f>SUMIFS('I&amp;S SATIM input'!$D$82:$D$106,'I&amp;S SATIM input'!$B$82:$B$106,$X42,'I&amp;S SATIM input'!$C$82:$C$106,$Y42)</f>
        <v>0</v>
      </c>
      <c r="AA42" s="669">
        <f>SUMIFS('I&amp;S SATIM input'!$E$82:$E$106,'I&amp;S SATIM input'!$B$82:$B$106,$X42,'I&amp;S SATIM input'!$C$82:$C$106,$Y42)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>
      <c r="A43" s="560"/>
      <c r="B43" s="113" t="s">
        <v>171</v>
      </c>
      <c r="D43" s="113" t="s">
        <v>42</v>
      </c>
      <c r="E43" s="113" t="s">
        <v>1382</v>
      </c>
      <c r="F43" s="113" t="s">
        <v>705</v>
      </c>
      <c r="G43" s="113" t="s">
        <v>1099</v>
      </c>
      <c r="H43" s="113" t="s">
        <v>1100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169</v>
      </c>
      <c r="Y43" s="113" t="s">
        <v>590</v>
      </c>
      <c r="Z43" s="669">
        <f>SUMIFS('I&amp;S SATIM input'!$D$82:$D$106,'I&amp;S SATIM input'!$B$82:$B$106,$X43,'I&amp;S SATIM input'!$C$82:$C$106,$Y43)</f>
        <v>0.19417975468905843</v>
      </c>
      <c r="AA43" s="669">
        <f>SUMIFS('I&amp;S SATIM input'!$E$82:$E$106,'I&amp;S SATIM input'!$B$82:$B$106,$X43,'I&amp;S SATIM input'!$C$82:$C$106,$Y43)</f>
        <v>0.19612155223594901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>
      <c r="A44" s="560"/>
      <c r="B44" s="113" t="s">
        <v>171</v>
      </c>
      <c r="D44" s="113" t="s">
        <v>39</v>
      </c>
      <c r="E44" s="113" t="s">
        <v>1382</v>
      </c>
      <c r="F44" s="113" t="s">
        <v>705</v>
      </c>
      <c r="G44" s="113" t="s">
        <v>1099</v>
      </c>
      <c r="H44" s="113" t="s">
        <v>1100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174</v>
      </c>
      <c r="Y44" s="113" t="s">
        <v>590</v>
      </c>
      <c r="Z44" s="669">
        <f>SUMIFS('I&amp;S SATIM input'!$D$82:$D$106,'I&amp;S SATIM input'!$B$82:$B$106,$X44,'I&amp;S SATIM input'!$C$82:$C$106,$Y44)</f>
        <v>0.13083086283935119</v>
      </c>
      <c r="AA44" s="669">
        <f>SUMIFS('I&amp;S SATIM input'!$E$82:$E$106,'I&amp;S SATIM input'!$B$82:$B$106,$X44,'I&amp;S SATIM input'!$C$82:$C$106,$Y44)</f>
        <v>0.1321391714677447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>
      <c r="A45" s="560"/>
      <c r="B45" s="113" t="s">
        <v>171</v>
      </c>
      <c r="D45" s="113" t="s">
        <v>38</v>
      </c>
      <c r="E45" s="113" t="s">
        <v>1382</v>
      </c>
      <c r="F45" s="113" t="s">
        <v>705</v>
      </c>
      <c r="G45" s="113" t="s">
        <v>1099</v>
      </c>
      <c r="H45" s="113" t="s">
        <v>1100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180</v>
      </c>
      <c r="Y45" s="113" t="s">
        <v>590</v>
      </c>
      <c r="Z45" s="669">
        <f>SUMIFS('I&amp;S SATIM input'!$D$82:$D$106,'I&amp;S SATIM input'!$B$82:$B$106,$X45,'I&amp;S SATIM input'!$C$82:$C$106,$Y45)</f>
        <v>0.12649141802067926</v>
      </c>
      <c r="AA45" s="669">
        <f>SUMIFS('I&amp;S SATIM input'!$E$82:$E$106,'I&amp;S SATIM input'!$B$82:$B$106,$X45,'I&amp;S SATIM input'!$C$82:$C$106,$Y45)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>
      <c r="A46" s="560"/>
      <c r="B46" s="113" t="s">
        <v>171</v>
      </c>
      <c r="D46" s="113" t="s">
        <v>590</v>
      </c>
      <c r="E46" s="113" t="s">
        <v>1382</v>
      </c>
      <c r="F46" s="113" t="s">
        <v>705</v>
      </c>
      <c r="G46" s="113" t="s">
        <v>1099</v>
      </c>
      <c r="H46" s="113" t="s">
        <v>1100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171</v>
      </c>
      <c r="Y46" s="113" t="s">
        <v>590</v>
      </c>
      <c r="Z46" s="669">
        <f>SUMIFS('I&amp;S SATIM input'!$D$82:$D$106,'I&amp;S SATIM input'!$B$82:$B$106,$X46,'I&amp;S SATIM input'!$C$82:$C$106,$Y46)</f>
        <v>1.8359814649799511E-2</v>
      </c>
      <c r="AA46" s="669">
        <f>SUMIFS('I&amp;S SATIM input'!$E$82:$E$106,'I&amp;S SATIM input'!$B$82:$B$106,$X46,'I&amp;S SATIM input'!$C$82:$C$106,$Y46)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>
      <c r="A47" s="560"/>
      <c r="B47" s="449" t="s">
        <v>171</v>
      </c>
      <c r="C47" s="557"/>
      <c r="D47" s="449" t="s">
        <v>593</v>
      </c>
      <c r="E47" s="449" t="s">
        <v>1382</v>
      </c>
      <c r="F47" s="449" t="s">
        <v>705</v>
      </c>
      <c r="G47" s="449" t="s">
        <v>1099</v>
      </c>
      <c r="H47" s="449" t="s">
        <v>1100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178</v>
      </c>
      <c r="Y47" s="113" t="s">
        <v>590</v>
      </c>
      <c r="Z47" s="669">
        <f>SUMIFS('I&amp;S SATIM input'!$D$82:$D$106,'I&amp;S SATIM input'!$B$82:$B$106,$X47,'I&amp;S SATIM input'!$C$82:$C$106,$Y47)</f>
        <v>7.6923076923076913E-2</v>
      </c>
      <c r="AA47" s="669">
        <f>SUMIFS('I&amp;S SATIM input'!$E$82:$E$106,'I&amp;S SATIM input'!$B$82:$B$106,$X47,'I&amp;S SATIM input'!$C$82:$C$106,$Y47)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>
      <c r="A48" s="560"/>
      <c r="B48" s="113" t="s">
        <v>174</v>
      </c>
      <c r="D48" s="113" t="s">
        <v>39</v>
      </c>
      <c r="E48" s="113" t="s">
        <v>1378</v>
      </c>
      <c r="F48" s="113" t="s">
        <v>705</v>
      </c>
      <c r="G48" s="113" t="s">
        <v>1099</v>
      </c>
      <c r="H48" s="113" t="s">
        <v>591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0.70330244376593443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>
      <c r="A49" s="560"/>
      <c r="B49" s="113" t="s">
        <v>174</v>
      </c>
      <c r="D49" s="113" t="s">
        <v>39</v>
      </c>
      <c r="E49" s="113" t="s">
        <v>1378</v>
      </c>
      <c r="F49" s="113" t="s">
        <v>705</v>
      </c>
      <c r="G49" s="113" t="s">
        <v>1099</v>
      </c>
      <c r="H49" s="113" t="s">
        <v>592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0.71033546820359372</v>
      </c>
      <c r="AC49" s="555" t="str">
        <f t="shared" si="5"/>
        <v>IISDRIEAF-EIISCOA</v>
      </c>
    </row>
    <row r="50" spans="1:29" ht="15">
      <c r="A50" s="560"/>
      <c r="B50" s="113" t="s">
        <v>174</v>
      </c>
      <c r="D50" s="113" t="s">
        <v>38</v>
      </c>
      <c r="E50" s="113" t="s">
        <v>1378</v>
      </c>
      <c r="F50" s="113" t="s">
        <v>705</v>
      </c>
      <c r="G50" s="113" t="s">
        <v>1099</v>
      </c>
      <c r="H50" s="113" t="s">
        <v>1100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0.1675253603286615</v>
      </c>
      <c r="AC50" s="555" t="str">
        <f t="shared" si="5"/>
        <v>IISDRIEAF-EIISELC</v>
      </c>
    </row>
    <row r="51" spans="1:29" ht="15">
      <c r="A51" s="560"/>
      <c r="B51" s="113" t="s">
        <v>174</v>
      </c>
      <c r="D51" s="113" t="s">
        <v>590</v>
      </c>
      <c r="E51" s="113" t="s">
        <v>1378</v>
      </c>
      <c r="F51" s="113" t="s">
        <v>705</v>
      </c>
      <c r="G51" s="113" t="s">
        <v>1099</v>
      </c>
      <c r="H51" s="113" t="s">
        <v>591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0.13083086283935119</v>
      </c>
      <c r="AC51" s="555" t="str">
        <f t="shared" si="5"/>
        <v>IISDRIEAF-EIISGAS</v>
      </c>
    </row>
    <row r="52" spans="1:29" ht="15">
      <c r="A52" s="560"/>
      <c r="B52" s="113" t="s">
        <v>174</v>
      </c>
      <c r="D52" s="113" t="s">
        <v>590</v>
      </c>
      <c r="E52" s="113" t="s">
        <v>1378</v>
      </c>
      <c r="F52" s="113" t="s">
        <v>705</v>
      </c>
      <c r="G52" s="113" t="s">
        <v>1099</v>
      </c>
      <c r="H52" s="113" t="s">
        <v>592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0.1321391714677447</v>
      </c>
      <c r="AC52" s="555" t="str">
        <f t="shared" si="5"/>
        <v>IISDRIEAF-EIISGAS</v>
      </c>
    </row>
    <row r="53" spans="1:29" ht="15">
      <c r="A53" s="560"/>
      <c r="B53" s="113" t="s">
        <v>174</v>
      </c>
      <c r="D53" s="113" t="s">
        <v>1335</v>
      </c>
      <c r="E53" s="113" t="s">
        <v>1378</v>
      </c>
      <c r="F53" s="113" t="s">
        <v>705</v>
      </c>
      <c r="G53" s="113" t="s">
        <v>1099</v>
      </c>
      <c r="H53" s="113" t="s">
        <v>591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>
      <c r="A54" s="560"/>
      <c r="B54" s="449" t="s">
        <v>174</v>
      </c>
      <c r="C54" s="557"/>
      <c r="D54" s="449" t="s">
        <v>1335</v>
      </c>
      <c r="E54" s="449" t="s">
        <v>1378</v>
      </c>
      <c r="F54" s="449" t="s">
        <v>705</v>
      </c>
      <c r="G54" s="449" t="s">
        <v>1099</v>
      </c>
      <c r="H54" s="449" t="s">
        <v>592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>
      <c r="A55" s="560"/>
      <c r="B55" s="113" t="s">
        <v>539</v>
      </c>
      <c r="D55" s="113" t="s">
        <v>39</v>
      </c>
      <c r="E55" s="113" t="s">
        <v>1370</v>
      </c>
      <c r="F55" s="113" t="s">
        <v>705</v>
      </c>
      <c r="G55" s="113" t="s">
        <v>1099</v>
      </c>
      <c r="H55" s="113" t="s">
        <v>591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0.70330244376593443</v>
      </c>
      <c r="AC55" s="555" t="str">
        <f t="shared" si="5"/>
        <v>IISDRIEAF-NCIISCOA</v>
      </c>
    </row>
    <row r="56" spans="1:29" ht="15">
      <c r="A56" s="560"/>
      <c r="B56" s="113" t="s">
        <v>539</v>
      </c>
      <c r="D56" s="113" t="s">
        <v>39</v>
      </c>
      <c r="E56" s="113" t="s">
        <v>1370</v>
      </c>
      <c r="F56" s="113" t="s">
        <v>705</v>
      </c>
      <c r="G56" s="113" t="s">
        <v>1099</v>
      </c>
      <c r="H56" s="113" t="s">
        <v>592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0.71033546820359372</v>
      </c>
      <c r="AC56" s="555" t="str">
        <f t="shared" si="5"/>
        <v>IISDRIEAF-NCIISCOA</v>
      </c>
    </row>
    <row r="57" spans="1:29" ht="15">
      <c r="A57" s="560"/>
      <c r="B57" s="113" t="s">
        <v>539</v>
      </c>
      <c r="D57" s="113" t="s">
        <v>38</v>
      </c>
      <c r="E57" s="113" t="s">
        <v>1370</v>
      </c>
      <c r="F57" s="113" t="s">
        <v>705</v>
      </c>
      <c r="G57" s="113" t="s">
        <v>1099</v>
      </c>
      <c r="H57" s="113" t="s">
        <v>1100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3" si="9">SUM(L57:N57)</f>
        <v>0.38</v>
      </c>
      <c r="R57" s="631">
        <f t="shared" si="8"/>
        <v>0.1675253603286615</v>
      </c>
      <c r="AC57" s="555" t="str">
        <f t="shared" ref="AC57:AC83" si="10">B57&amp;D57</f>
        <v>IISDRIEAF-NCIISELC</v>
      </c>
    </row>
    <row r="58" spans="1:29" ht="15">
      <c r="A58" s="560"/>
      <c r="B58" s="113" t="s">
        <v>539</v>
      </c>
      <c r="D58" s="113" t="s">
        <v>590</v>
      </c>
      <c r="E58" s="113" t="s">
        <v>1370</v>
      </c>
      <c r="F58" s="113" t="s">
        <v>705</v>
      </c>
      <c r="G58" s="113" t="s">
        <v>1099</v>
      </c>
      <c r="H58" s="113" t="s">
        <v>591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0.13083086283935119</v>
      </c>
      <c r="AC58" s="555" t="str">
        <f t="shared" si="10"/>
        <v>IISDRIEAF-NCIISGAS</v>
      </c>
    </row>
    <row r="59" spans="1:29" ht="15">
      <c r="A59" s="560"/>
      <c r="B59" s="113" t="s">
        <v>539</v>
      </c>
      <c r="D59" s="113" t="s">
        <v>590</v>
      </c>
      <c r="E59" s="113" t="s">
        <v>1370</v>
      </c>
      <c r="F59" s="113" t="s">
        <v>705</v>
      </c>
      <c r="G59" s="113" t="s">
        <v>1099</v>
      </c>
      <c r="H59" s="113" t="s">
        <v>592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0.1321391714677447</v>
      </c>
      <c r="AC59" s="555" t="str">
        <f t="shared" si="10"/>
        <v>IISDRIEAF-NCIISGAS</v>
      </c>
    </row>
    <row r="60" spans="1:29" ht="15">
      <c r="A60" s="560"/>
      <c r="B60" s="113" t="s">
        <v>539</v>
      </c>
      <c r="D60" s="113" t="s">
        <v>1335</v>
      </c>
      <c r="E60" s="113" t="s">
        <v>1370</v>
      </c>
      <c r="F60" s="113" t="s">
        <v>705</v>
      </c>
      <c r="G60" s="113" t="s">
        <v>1099</v>
      </c>
      <c r="H60" s="113" t="s">
        <v>591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>
      <c r="A61" s="560"/>
      <c r="B61" s="449" t="s">
        <v>539</v>
      </c>
      <c r="C61" s="557"/>
      <c r="D61" s="449" t="s">
        <v>1335</v>
      </c>
      <c r="E61" s="449" t="s">
        <v>1370</v>
      </c>
      <c r="F61" s="449" t="s">
        <v>705</v>
      </c>
      <c r="G61" s="449" t="s">
        <v>1099</v>
      </c>
      <c r="H61" s="449" t="s">
        <v>592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>
      <c r="A62" s="560"/>
      <c r="B62" s="113" t="s">
        <v>540</v>
      </c>
      <c r="D62" s="113" t="s">
        <v>38</v>
      </c>
      <c r="E62" s="113" t="s">
        <v>1374</v>
      </c>
      <c r="F62" s="113" t="s">
        <v>705</v>
      </c>
      <c r="G62" s="113" t="s">
        <v>1099</v>
      </c>
      <c r="H62" s="113" t="s">
        <v>1100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>
      <c r="A63" s="560"/>
      <c r="B63" s="113" t="s">
        <v>540</v>
      </c>
      <c r="D63" s="113" t="s">
        <v>590</v>
      </c>
      <c r="E63" s="113" t="s">
        <v>1374</v>
      </c>
      <c r="F63" s="113" t="s">
        <v>705</v>
      </c>
      <c r="G63" s="113" t="s">
        <v>1099</v>
      </c>
      <c r="H63" s="113" t="s">
        <v>1100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>
      <c r="A64" s="560"/>
      <c r="B64" s="449" t="s">
        <v>540</v>
      </c>
      <c r="C64" s="557"/>
      <c r="D64" s="449" t="s">
        <v>1335</v>
      </c>
      <c r="E64" s="449" t="s">
        <v>1374</v>
      </c>
      <c r="F64" s="449" t="s">
        <v>705</v>
      </c>
      <c r="G64" s="449" t="s">
        <v>1099</v>
      </c>
      <c r="H64" s="449" t="s">
        <v>1100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>
      <c r="A65" s="560"/>
      <c r="B65" s="113" t="s">
        <v>178</v>
      </c>
      <c r="D65" s="113" t="s">
        <v>1346</v>
      </c>
      <c r="E65" s="113" t="s">
        <v>1366</v>
      </c>
      <c r="F65" s="113" t="s">
        <v>705</v>
      </c>
      <c r="G65" s="113" t="s">
        <v>1099</v>
      </c>
      <c r="H65" s="113" t="s">
        <v>1100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>
      <c r="A66" s="560"/>
      <c r="B66" s="113" t="s">
        <v>178</v>
      </c>
      <c r="D66" s="113" t="s">
        <v>39</v>
      </c>
      <c r="E66" s="113" t="s">
        <v>1366</v>
      </c>
      <c r="F66" s="113" t="s">
        <v>705</v>
      </c>
      <c r="G66" s="113" t="s">
        <v>1099</v>
      </c>
      <c r="H66" s="113" t="s">
        <v>1100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>
      <c r="A67" s="560"/>
      <c r="B67" s="113" t="s">
        <v>178</v>
      </c>
      <c r="D67" s="113" t="s">
        <v>38</v>
      </c>
      <c r="E67" s="113" t="s">
        <v>1366</v>
      </c>
      <c r="F67" s="113" t="s">
        <v>705</v>
      </c>
      <c r="G67" s="113" t="s">
        <v>1099</v>
      </c>
      <c r="H67" s="113" t="s">
        <v>1100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>
      <c r="A68" s="560"/>
      <c r="B68" s="113" t="s">
        <v>178</v>
      </c>
      <c r="D68" s="113" t="s">
        <v>590</v>
      </c>
      <c r="E68" s="113" t="s">
        <v>1366</v>
      </c>
      <c r="F68" s="113" t="s">
        <v>705</v>
      </c>
      <c r="G68" s="113" t="s">
        <v>1099</v>
      </c>
      <c r="H68" s="113" t="s">
        <v>1100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>
      <c r="A69" s="560"/>
      <c r="B69" s="449" t="s">
        <v>178</v>
      </c>
      <c r="C69" s="557"/>
      <c r="D69" s="449" t="s">
        <v>1335</v>
      </c>
      <c r="E69" s="449" t="s">
        <v>1366</v>
      </c>
      <c r="F69" s="449" t="s">
        <v>705</v>
      </c>
      <c r="G69" s="449" t="s">
        <v>1099</v>
      </c>
      <c r="H69" s="449" t="s">
        <v>1100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>
      <c r="A70" s="560"/>
      <c r="B70" s="113" t="s">
        <v>180</v>
      </c>
      <c r="D70" s="113" t="s">
        <v>39</v>
      </c>
      <c r="E70" s="113" t="s">
        <v>1358</v>
      </c>
      <c r="F70" s="113" t="s">
        <v>705</v>
      </c>
      <c r="G70" s="113" t="s">
        <v>1099</v>
      </c>
      <c r="H70" s="113" t="s">
        <v>591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>
      <c r="A71" s="560"/>
      <c r="B71" s="113" t="s">
        <v>180</v>
      </c>
      <c r="D71" s="113" t="s">
        <v>39</v>
      </c>
      <c r="E71" s="113" t="s">
        <v>1358</v>
      </c>
      <c r="F71" s="113" t="s">
        <v>705</v>
      </c>
      <c r="G71" s="113" t="s">
        <v>1099</v>
      </c>
      <c r="H71" s="113" t="s">
        <v>592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>
      <c r="A72" s="560"/>
      <c r="B72" s="113" t="s">
        <v>180</v>
      </c>
      <c r="D72" s="113" t="s">
        <v>38</v>
      </c>
      <c r="E72" s="113" t="s">
        <v>1358</v>
      </c>
      <c r="F72" s="113" t="s">
        <v>705</v>
      </c>
      <c r="G72" s="113" t="s">
        <v>1099</v>
      </c>
      <c r="H72" s="113" t="s">
        <v>1100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>
      <c r="A73" s="560"/>
      <c r="B73" s="113" t="s">
        <v>180</v>
      </c>
      <c r="D73" s="113" t="s">
        <v>590</v>
      </c>
      <c r="E73" s="113" t="s">
        <v>1358</v>
      </c>
      <c r="F73" s="113" t="s">
        <v>705</v>
      </c>
      <c r="G73" s="113" t="s">
        <v>1099</v>
      </c>
      <c r="H73" s="113" t="s">
        <v>591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>
      <c r="A74" s="560"/>
      <c r="B74" s="113" t="s">
        <v>180</v>
      </c>
      <c r="D74" s="113" t="s">
        <v>590</v>
      </c>
      <c r="E74" s="113" t="s">
        <v>1358</v>
      </c>
      <c r="F74" s="113" t="s">
        <v>705</v>
      </c>
      <c r="G74" s="113" t="s">
        <v>1099</v>
      </c>
      <c r="H74" s="113" t="s">
        <v>592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>
      <c r="A75" s="560"/>
      <c r="B75" s="113" t="s">
        <v>180</v>
      </c>
      <c r="D75" s="113" t="s">
        <v>1335</v>
      </c>
      <c r="E75" s="113" t="s">
        <v>1358</v>
      </c>
      <c r="F75" s="113" t="s">
        <v>705</v>
      </c>
      <c r="G75" s="113" t="s">
        <v>1099</v>
      </c>
      <c r="H75" s="113" t="s">
        <v>591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>
      <c r="A76" s="560"/>
      <c r="B76" s="449" t="s">
        <v>180</v>
      </c>
      <c r="C76" s="557"/>
      <c r="D76" s="449" t="s">
        <v>1335</v>
      </c>
      <c r="E76" s="449" t="s">
        <v>1358</v>
      </c>
      <c r="F76" s="449" t="s">
        <v>705</v>
      </c>
      <c r="G76" s="449" t="s">
        <v>1099</v>
      </c>
      <c r="H76" s="449" t="s">
        <v>592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>
      <c r="A77" s="560"/>
      <c r="B77" s="113" t="s">
        <v>541</v>
      </c>
      <c r="D77" s="113" t="s">
        <v>39</v>
      </c>
      <c r="E77" s="113" t="s">
        <v>1354</v>
      </c>
      <c r="F77" s="113" t="s">
        <v>705</v>
      </c>
      <c r="G77" s="113" t="s">
        <v>1099</v>
      </c>
      <c r="H77" s="113" t="s">
        <v>591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>
      <c r="A78" s="560"/>
      <c r="B78" s="113" t="s">
        <v>541</v>
      </c>
      <c r="D78" s="113" t="s">
        <v>39</v>
      </c>
      <c r="E78" s="113" t="s">
        <v>1354</v>
      </c>
      <c r="F78" s="113" t="s">
        <v>705</v>
      </c>
      <c r="G78" s="113" t="s">
        <v>1099</v>
      </c>
      <c r="H78" s="113" t="s">
        <v>592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>
      <c r="A79" s="560"/>
      <c r="B79" s="113" t="s">
        <v>541</v>
      </c>
      <c r="D79" s="113" t="s">
        <v>38</v>
      </c>
      <c r="E79" s="113" t="s">
        <v>1354</v>
      </c>
      <c r="F79" s="113" t="s">
        <v>705</v>
      </c>
      <c r="G79" s="113" t="s">
        <v>1099</v>
      </c>
      <c r="H79" s="113" t="s">
        <v>1100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>
      <c r="A80" s="560"/>
      <c r="B80" s="113" t="s">
        <v>541</v>
      </c>
      <c r="D80" s="113" t="s">
        <v>590</v>
      </c>
      <c r="E80" s="113" t="s">
        <v>1354</v>
      </c>
      <c r="F80" s="113" t="s">
        <v>705</v>
      </c>
      <c r="G80" s="113" t="s">
        <v>1099</v>
      </c>
      <c r="H80" s="113" t="s">
        <v>591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>
      <c r="A81" s="560"/>
      <c r="B81" s="113" t="s">
        <v>541</v>
      </c>
      <c r="D81" s="113" t="s">
        <v>590</v>
      </c>
      <c r="E81" s="113" t="s">
        <v>1354</v>
      </c>
      <c r="F81" s="113" t="s">
        <v>705</v>
      </c>
      <c r="G81" s="113" t="s">
        <v>1099</v>
      </c>
      <c r="H81" s="113" t="s">
        <v>592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>
      <c r="A82" s="560"/>
      <c r="B82" s="113" t="s">
        <v>541</v>
      </c>
      <c r="D82" s="113" t="s">
        <v>1335</v>
      </c>
      <c r="E82" s="113" t="s">
        <v>1354</v>
      </c>
      <c r="F82" s="113" t="s">
        <v>705</v>
      </c>
      <c r="G82" s="113" t="s">
        <v>1099</v>
      </c>
      <c r="H82" s="113" t="s">
        <v>591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>
      <c r="A83" s="560"/>
      <c r="B83" s="113" t="s">
        <v>541</v>
      </c>
      <c r="D83" s="113" t="s">
        <v>1335</v>
      </c>
      <c r="E83" s="113" t="s">
        <v>1354</v>
      </c>
      <c r="F83" s="113" t="s">
        <v>705</v>
      </c>
      <c r="G83" s="113" t="s">
        <v>1099</v>
      </c>
      <c r="H83" s="113" t="s">
        <v>592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>
      <c r="B87" s="572" t="s">
        <v>1483</v>
      </c>
    </row>
    <row r="88" spans="1:29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>
      <c r="A89" s="560"/>
      <c r="B89" s="113" t="s">
        <v>915</v>
      </c>
      <c r="C89" s="113" t="s">
        <v>169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1482</v>
      </c>
    </row>
    <row r="90" spans="1:29" ht="15">
      <c r="A90" s="560"/>
      <c r="B90" s="113" t="s">
        <v>915</v>
      </c>
      <c r="C90" s="113" t="s">
        <v>1304</v>
      </c>
      <c r="D90" s="113">
        <v>2414</v>
      </c>
      <c r="K90" s="559"/>
      <c r="O90" s="555">
        <f t="shared" si="13"/>
        <v>3160.9164837865528</v>
      </c>
    </row>
    <row r="91" spans="1:29" ht="15">
      <c r="A91" s="560"/>
      <c r="B91" s="113" t="s">
        <v>915</v>
      </c>
      <c r="C91" s="113" t="s">
        <v>1302</v>
      </c>
      <c r="D91" s="113">
        <v>2414</v>
      </c>
      <c r="K91" s="559"/>
      <c r="O91" s="555">
        <f t="shared" si="13"/>
        <v>3160.9164837865528</v>
      </c>
    </row>
    <row r="92" spans="1:29" ht="15">
      <c r="A92" s="560"/>
      <c r="B92" s="113" t="s">
        <v>915</v>
      </c>
      <c r="C92" s="113" t="s">
        <v>538</v>
      </c>
      <c r="D92" s="113">
        <v>2414</v>
      </c>
      <c r="K92" s="559"/>
      <c r="O92" s="555">
        <f t="shared" si="13"/>
        <v>3160.9164837865528</v>
      </c>
    </row>
    <row r="93" spans="1:29" ht="15">
      <c r="A93" s="560"/>
      <c r="B93" s="113" t="s">
        <v>915</v>
      </c>
      <c r="C93" s="113" t="s">
        <v>171</v>
      </c>
      <c r="D93" s="113">
        <v>3078</v>
      </c>
      <c r="K93" s="559"/>
      <c r="O93" s="555">
        <f t="shared" si="13"/>
        <v>4030.364928374072</v>
      </c>
    </row>
    <row r="94" spans="1:29" ht="15">
      <c r="A94" s="560"/>
      <c r="B94" s="113" t="s">
        <v>915</v>
      </c>
      <c r="C94" s="113" t="s">
        <v>1298</v>
      </c>
      <c r="D94" s="113">
        <v>3078</v>
      </c>
      <c r="K94" s="559"/>
      <c r="O94" s="555">
        <f t="shared" si="13"/>
        <v>4030.364928374072</v>
      </c>
    </row>
    <row r="95" spans="1:29" ht="15">
      <c r="A95" s="560"/>
      <c r="B95" s="113" t="s">
        <v>915</v>
      </c>
      <c r="C95" s="113" t="s">
        <v>1296</v>
      </c>
      <c r="D95" s="113">
        <v>3078</v>
      </c>
      <c r="K95" s="559"/>
      <c r="O95" s="555">
        <f t="shared" si="13"/>
        <v>4030.364928374072</v>
      </c>
    </row>
    <row r="96" spans="1:29" ht="15">
      <c r="A96" s="560"/>
      <c r="B96" s="113" t="s">
        <v>915</v>
      </c>
      <c r="C96" s="113" t="s">
        <v>1294</v>
      </c>
      <c r="D96" s="113">
        <v>46.875</v>
      </c>
      <c r="K96" s="559"/>
      <c r="O96" s="625">
        <f t="shared" si="13"/>
        <v>61.378608192831265</v>
      </c>
    </row>
    <row r="97" spans="1:19" ht="15">
      <c r="A97" s="560"/>
      <c r="B97" s="113" t="s">
        <v>915</v>
      </c>
      <c r="C97" s="113" t="s">
        <v>174</v>
      </c>
      <c r="D97" s="113">
        <v>3078</v>
      </c>
      <c r="K97" s="559"/>
      <c r="O97" s="555">
        <f t="shared" si="13"/>
        <v>4030.364928374072</v>
      </c>
    </row>
    <row r="98" spans="1:19" ht="15">
      <c r="A98" s="560"/>
      <c r="B98" s="113" t="s">
        <v>915</v>
      </c>
      <c r="C98" s="113" t="s">
        <v>1291</v>
      </c>
      <c r="D98" s="113">
        <v>3078</v>
      </c>
      <c r="K98" s="559"/>
      <c r="O98" s="555">
        <f t="shared" si="13"/>
        <v>4030.364928374072</v>
      </c>
    </row>
    <row r="99" spans="1:19" ht="15">
      <c r="A99" s="560"/>
      <c r="B99" s="113" t="s">
        <v>915</v>
      </c>
      <c r="C99" s="113" t="s">
        <v>1289</v>
      </c>
      <c r="D99" s="113">
        <v>3078</v>
      </c>
      <c r="K99" s="559"/>
      <c r="O99" s="555">
        <f t="shared" si="13"/>
        <v>4030.364928374072</v>
      </c>
    </row>
    <row r="100" spans="1:19" ht="15">
      <c r="A100" s="560"/>
      <c r="B100" s="113" t="s">
        <v>915</v>
      </c>
      <c r="C100" s="113" t="s">
        <v>539</v>
      </c>
      <c r="D100" s="113">
        <v>3078</v>
      </c>
      <c r="K100" s="559"/>
      <c r="O100" s="555">
        <f t="shared" si="13"/>
        <v>4030.364928374072</v>
      </c>
    </row>
    <row r="101" spans="1:19" ht="15">
      <c r="A101" s="560"/>
      <c r="B101" s="113" t="s">
        <v>915</v>
      </c>
      <c r="C101" s="113" t="s">
        <v>540</v>
      </c>
      <c r="D101" s="113">
        <v>3613</v>
      </c>
      <c r="K101" s="559"/>
      <c r="O101" s="555">
        <f t="shared" si="13"/>
        <v>4730.8994432149193</v>
      </c>
    </row>
    <row r="102" spans="1:19" ht="15">
      <c r="A102" s="560"/>
      <c r="B102" s="113" t="s">
        <v>915</v>
      </c>
      <c r="C102" s="113" t="s">
        <v>178</v>
      </c>
      <c r="D102" s="113">
        <v>3078</v>
      </c>
      <c r="K102" s="559"/>
      <c r="O102" s="555">
        <f t="shared" si="13"/>
        <v>4030.364928374072</v>
      </c>
    </row>
    <row r="103" spans="1:19" ht="15">
      <c r="A103" s="560"/>
      <c r="B103" s="113" t="s">
        <v>915</v>
      </c>
      <c r="C103" s="113" t="s">
        <v>1284</v>
      </c>
      <c r="D103" s="113">
        <v>3078</v>
      </c>
      <c r="K103" s="559"/>
      <c r="O103" s="555">
        <f t="shared" si="13"/>
        <v>4030.364928374072</v>
      </c>
    </row>
    <row r="104" spans="1:19" ht="15">
      <c r="A104" s="560"/>
      <c r="B104" s="113" t="s">
        <v>915</v>
      </c>
      <c r="C104" s="113" t="s">
        <v>1282</v>
      </c>
      <c r="D104" s="113">
        <v>3078</v>
      </c>
      <c r="K104" s="559"/>
      <c r="O104" s="555">
        <f t="shared" si="13"/>
        <v>4030.364928374072</v>
      </c>
    </row>
    <row r="105" spans="1:19" ht="15">
      <c r="A105" s="560"/>
      <c r="B105" s="113" t="s">
        <v>915</v>
      </c>
      <c r="C105" s="113" t="s">
        <v>180</v>
      </c>
      <c r="D105" s="113">
        <v>3324</v>
      </c>
      <c r="K105" s="559"/>
      <c r="O105" s="555">
        <f t="shared" si="13"/>
        <v>4352.4798641700509</v>
      </c>
    </row>
    <row r="106" spans="1:19" ht="15">
      <c r="A106" s="560"/>
      <c r="B106" s="113" t="s">
        <v>915</v>
      </c>
      <c r="C106" s="113" t="s">
        <v>1279</v>
      </c>
      <c r="D106" s="113">
        <v>3324</v>
      </c>
      <c r="K106" s="559"/>
      <c r="O106" s="555">
        <f t="shared" si="13"/>
        <v>4352.4798641700509</v>
      </c>
    </row>
    <row r="107" spans="1:19" ht="15">
      <c r="A107" s="560"/>
      <c r="B107" s="113" t="s">
        <v>915</v>
      </c>
      <c r="C107" s="113" t="s">
        <v>1277</v>
      </c>
      <c r="D107" s="113">
        <v>3324</v>
      </c>
      <c r="K107" s="559"/>
      <c r="O107" s="555">
        <f t="shared" si="13"/>
        <v>4352.4798641700509</v>
      </c>
    </row>
    <row r="108" spans="1:19" ht="15">
      <c r="A108" s="560"/>
      <c r="B108" s="113" t="s">
        <v>915</v>
      </c>
      <c r="C108" s="113" t="s">
        <v>541</v>
      </c>
      <c r="D108" s="113">
        <v>3324</v>
      </c>
      <c r="K108" s="559"/>
      <c r="O108" s="555">
        <f t="shared" si="13"/>
        <v>4352.4798641700509</v>
      </c>
    </row>
    <row r="109" spans="1:19" ht="15">
      <c r="A109" s="560"/>
      <c r="B109" s="113" t="s">
        <v>915</v>
      </c>
      <c r="C109" s="113" t="s">
        <v>1262</v>
      </c>
      <c r="D109" s="113">
        <v>0</v>
      </c>
      <c r="K109" s="559"/>
      <c r="O109" s="555">
        <f t="shared" si="13"/>
        <v>0</v>
      </c>
      <c r="R109" s="555" t="s">
        <v>1481</v>
      </c>
    </row>
    <row r="110" spans="1:19">
      <c r="A110" s="560"/>
      <c r="K110" s="559"/>
      <c r="R110" s="555">
        <v>15000</v>
      </c>
      <c r="S110" s="555" t="s">
        <v>1480</v>
      </c>
    </row>
    <row r="111" spans="1:19">
      <c r="A111" s="560"/>
      <c r="K111" s="559"/>
    </row>
    <row r="112" spans="1:19" ht="15">
      <c r="A112" s="560"/>
      <c r="B112" s="113" t="s">
        <v>1086</v>
      </c>
      <c r="C112" s="113" t="s">
        <v>1304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>
      <c r="A113" s="560"/>
      <c r="B113" s="113" t="s">
        <v>1086</v>
      </c>
      <c r="C113" s="113" t="s">
        <v>1302</v>
      </c>
      <c r="D113" s="113">
        <v>395</v>
      </c>
      <c r="K113" s="559"/>
      <c r="O113" s="555">
        <f t="shared" si="14"/>
        <v>517.21707170492482</v>
      </c>
    </row>
    <row r="114" spans="1:15" ht="15">
      <c r="A114" s="560"/>
      <c r="B114" s="113" t="s">
        <v>1086</v>
      </c>
      <c r="C114" s="113" t="s">
        <v>538</v>
      </c>
      <c r="D114" s="113">
        <v>2261</v>
      </c>
      <c r="K114" s="559"/>
      <c r="O114" s="555">
        <f t="shared" si="14"/>
        <v>2960.5767066451517</v>
      </c>
    </row>
    <row r="115" spans="1:15" ht="15">
      <c r="A115" s="560"/>
      <c r="B115" s="113" t="s">
        <v>1086</v>
      </c>
      <c r="C115" s="113" t="s">
        <v>1298</v>
      </c>
      <c r="D115" s="113">
        <v>18</v>
      </c>
      <c r="K115" s="559"/>
      <c r="O115" s="555">
        <f t="shared" si="14"/>
        <v>23.569385546047204</v>
      </c>
    </row>
    <row r="116" spans="1:15" ht="15">
      <c r="A116" s="560"/>
      <c r="B116" s="113" t="s">
        <v>1086</v>
      </c>
      <c r="C116" s="113" t="s">
        <v>1296</v>
      </c>
      <c r="D116" s="113">
        <v>134</v>
      </c>
      <c r="K116" s="559"/>
      <c r="O116" s="555">
        <f t="shared" si="14"/>
        <v>175.46098128724032</v>
      </c>
    </row>
    <row r="117" spans="1:15" ht="15">
      <c r="A117" s="560"/>
      <c r="B117" s="113" t="s">
        <v>1086</v>
      </c>
      <c r="C117" s="113" t="s">
        <v>1291</v>
      </c>
      <c r="D117" s="113">
        <v>31</v>
      </c>
      <c r="K117" s="559"/>
      <c r="O117" s="555">
        <f t="shared" si="14"/>
        <v>40.591719551525742</v>
      </c>
    </row>
    <row r="118" spans="1:15" ht="15">
      <c r="A118" s="560"/>
      <c r="B118" s="113" t="s">
        <v>1086</v>
      </c>
      <c r="C118" s="113" t="s">
        <v>1289</v>
      </c>
      <c r="D118" s="113">
        <v>134</v>
      </c>
      <c r="K118" s="559"/>
      <c r="O118" s="555">
        <f t="shared" si="14"/>
        <v>175.46098128724032</v>
      </c>
    </row>
    <row r="119" spans="1:15" ht="15">
      <c r="A119" s="560"/>
      <c r="B119" s="113" t="s">
        <v>1086</v>
      </c>
      <c r="C119" s="113" t="s">
        <v>539</v>
      </c>
      <c r="D119" s="113">
        <v>2254</v>
      </c>
      <c r="K119" s="559"/>
      <c r="O119" s="555">
        <f t="shared" si="14"/>
        <v>2951.4108344883557</v>
      </c>
    </row>
    <row r="120" spans="1:15" ht="15">
      <c r="A120" s="560"/>
      <c r="B120" s="113" t="s">
        <v>1086</v>
      </c>
      <c r="C120" s="113" t="s">
        <v>540</v>
      </c>
      <c r="D120" s="113">
        <v>1878</v>
      </c>
      <c r="K120" s="559"/>
      <c r="O120" s="555">
        <f t="shared" si="14"/>
        <v>2459.0725586375916</v>
      </c>
    </row>
    <row r="121" spans="1:15" ht="15">
      <c r="A121" s="560"/>
      <c r="B121" s="113" t="s">
        <v>1086</v>
      </c>
      <c r="C121" s="113" t="s">
        <v>1284</v>
      </c>
      <c r="D121" s="113">
        <v>18</v>
      </c>
      <c r="K121" s="559"/>
      <c r="O121" s="555">
        <f t="shared" si="14"/>
        <v>23.569385546047204</v>
      </c>
    </row>
    <row r="122" spans="1:15" ht="15">
      <c r="A122" s="560"/>
      <c r="B122" s="113" t="s">
        <v>1086</v>
      </c>
      <c r="C122" s="113" t="s">
        <v>1282</v>
      </c>
      <c r="D122" s="113">
        <v>134</v>
      </c>
      <c r="K122" s="559"/>
      <c r="O122" s="555">
        <f t="shared" si="14"/>
        <v>175.46098128724032</v>
      </c>
    </row>
    <row r="123" spans="1:15" ht="15">
      <c r="A123" s="560"/>
      <c r="B123" s="113" t="s">
        <v>1086</v>
      </c>
      <c r="C123" s="113" t="s">
        <v>1279</v>
      </c>
      <c r="D123" s="113">
        <v>18</v>
      </c>
      <c r="K123" s="559"/>
      <c r="O123" s="555">
        <f t="shared" si="14"/>
        <v>23.569385546047204</v>
      </c>
    </row>
    <row r="124" spans="1:15" ht="15">
      <c r="A124" s="560"/>
      <c r="B124" s="113" t="s">
        <v>1086</v>
      </c>
      <c r="C124" s="113" t="s">
        <v>1277</v>
      </c>
      <c r="D124" s="113">
        <v>134</v>
      </c>
      <c r="K124" s="559"/>
      <c r="O124" s="555">
        <f t="shared" si="14"/>
        <v>175.46098128724032</v>
      </c>
    </row>
    <row r="125" spans="1:15" ht="15">
      <c r="A125" s="560"/>
      <c r="B125" s="113" t="s">
        <v>1086</v>
      </c>
      <c r="C125" s="113" t="s">
        <v>541</v>
      </c>
      <c r="D125" s="113">
        <v>1384</v>
      </c>
      <c r="K125" s="559"/>
      <c r="O125" s="555">
        <f t="shared" si="14"/>
        <v>1812.2238664294073</v>
      </c>
    </row>
    <row r="126" spans="1:15" ht="15">
      <c r="A126" s="560"/>
      <c r="B126" s="113" t="s">
        <v>1086</v>
      </c>
      <c r="C126" s="113" t="s">
        <v>1274</v>
      </c>
      <c r="D126" s="113">
        <v>1E-4</v>
      </c>
      <c r="K126" s="559"/>
      <c r="O126" s="555">
        <f>D126</f>
        <v>1E-4</v>
      </c>
    </row>
    <row r="127" spans="1:15" ht="15">
      <c r="A127" s="560"/>
      <c r="B127" s="113" t="s">
        <v>1086</v>
      </c>
      <c r="C127" s="113" t="s">
        <v>1268</v>
      </c>
      <c r="D127" s="113">
        <v>1E-4</v>
      </c>
      <c r="K127" s="559"/>
      <c r="O127" s="555">
        <f>D127</f>
        <v>1E-4</v>
      </c>
    </row>
    <row r="128" spans="1:15" ht="15">
      <c r="A128" s="560"/>
      <c r="B128" s="113" t="s">
        <v>1086</v>
      </c>
      <c r="C128" s="113" t="s">
        <v>1266</v>
      </c>
      <c r="D128" s="113">
        <v>1E-4</v>
      </c>
      <c r="K128" s="559"/>
      <c r="O128" s="555">
        <f>D128</f>
        <v>1E-4</v>
      </c>
    </row>
    <row r="129" spans="1:15" ht="15">
      <c r="A129" s="560"/>
      <c r="B129" s="113" t="s">
        <v>1086</v>
      </c>
      <c r="C129" s="113" t="s">
        <v>1264</v>
      </c>
      <c r="D129" s="113">
        <v>1E-4</v>
      </c>
      <c r="K129" s="559"/>
      <c r="O129" s="555">
        <f>D129</f>
        <v>1E-4</v>
      </c>
    </row>
    <row r="130" spans="1:15" ht="15">
      <c r="A130" s="560"/>
      <c r="B130" s="113" t="s">
        <v>1086</v>
      </c>
      <c r="C130" s="113" t="s">
        <v>1260</v>
      </c>
      <c r="D130" s="113">
        <v>1E-4</v>
      </c>
      <c r="K130" s="559"/>
      <c r="O130" s="555">
        <f>D130</f>
        <v>1E-4</v>
      </c>
    </row>
    <row r="131" spans="1:15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>
      <c r="B135" s="555" t="s">
        <v>1479</v>
      </c>
    </row>
    <row r="136" spans="1:15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>
      <c r="B137" s="630" t="s">
        <v>904</v>
      </c>
      <c r="C137" s="113" t="s">
        <v>538</v>
      </c>
      <c r="D137" s="113" t="s">
        <v>705</v>
      </c>
      <c r="E137" s="113" t="s">
        <v>1384</v>
      </c>
      <c r="F137" s="113" t="s">
        <v>1386</v>
      </c>
      <c r="G137" s="113" t="s">
        <v>1099</v>
      </c>
      <c r="H137" s="113" t="s">
        <v>705</v>
      </c>
      <c r="I137" s="113">
        <v>0</v>
      </c>
      <c r="J137" s="113">
        <v>19.7</v>
      </c>
      <c r="K137" s="559"/>
    </row>
    <row r="138" spans="1:15" ht="15">
      <c r="B138" s="630" t="s">
        <v>904</v>
      </c>
      <c r="C138" s="113" t="s">
        <v>539</v>
      </c>
      <c r="D138" s="113" t="s">
        <v>705</v>
      </c>
      <c r="E138" s="113" t="s">
        <v>1368</v>
      </c>
      <c r="F138" s="113" t="s">
        <v>1370</v>
      </c>
      <c r="G138" s="113" t="s">
        <v>1099</v>
      </c>
      <c r="H138" s="113" t="s">
        <v>705</v>
      </c>
      <c r="I138" s="113">
        <v>0</v>
      </c>
      <c r="J138" s="113">
        <v>20.3</v>
      </c>
      <c r="K138" s="559"/>
    </row>
    <row r="139" spans="1:15" ht="15">
      <c r="B139" s="630" t="s">
        <v>904</v>
      </c>
      <c r="C139" s="113" t="s">
        <v>540</v>
      </c>
      <c r="D139" s="113" t="s">
        <v>705</v>
      </c>
      <c r="E139" s="113" t="s">
        <v>1372</v>
      </c>
      <c r="F139" s="113" t="s">
        <v>1374</v>
      </c>
      <c r="G139" s="113" t="s">
        <v>1099</v>
      </c>
      <c r="H139" s="113" t="s">
        <v>705</v>
      </c>
      <c r="I139" s="113">
        <v>0</v>
      </c>
      <c r="J139" s="113">
        <v>14.6</v>
      </c>
      <c r="K139" s="559"/>
    </row>
    <row r="140" spans="1:15" ht="15">
      <c r="B140" s="630" t="s">
        <v>904</v>
      </c>
      <c r="C140" s="113" t="s">
        <v>541</v>
      </c>
      <c r="D140" s="113" t="s">
        <v>705</v>
      </c>
      <c r="E140" s="113" t="s">
        <v>1352</v>
      </c>
      <c r="F140" s="113" t="s">
        <v>1354</v>
      </c>
      <c r="G140" s="113" t="s">
        <v>1099</v>
      </c>
      <c r="H140" s="113" t="s">
        <v>705</v>
      </c>
      <c r="I140" s="113">
        <v>0</v>
      </c>
      <c r="J140" s="113">
        <v>6.6</v>
      </c>
      <c r="K140" s="559"/>
    </row>
    <row r="141" spans="1:15">
      <c r="B141" s="560"/>
      <c r="K141" s="559"/>
    </row>
    <row r="142" spans="1:15">
      <c r="B142" s="560"/>
      <c r="K142" s="559"/>
    </row>
    <row r="143" spans="1:15">
      <c r="B143" s="560"/>
      <c r="K143" s="559"/>
    </row>
    <row r="144" spans="1:15">
      <c r="B144" s="560"/>
      <c r="K144" s="559"/>
    </row>
    <row r="145" spans="2:11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>
      <c r="B150" s="555" t="s">
        <v>1478</v>
      </c>
      <c r="D150" s="555">
        <v>-0.3</v>
      </c>
      <c r="E150" s="572" t="s">
        <v>1477</v>
      </c>
    </row>
    <row r="151" spans="2:11">
      <c r="E151" s="572"/>
    </row>
    <row r="154" spans="2:11" ht="15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>
      <c r="D155" s="627" t="s">
        <v>1476</v>
      </c>
      <c r="E155" s="628" t="s">
        <v>1468</v>
      </c>
      <c r="F155" s="627" t="s">
        <v>1475</v>
      </c>
      <c r="G155" s="627" t="s">
        <v>1474</v>
      </c>
      <c r="H155" s="627" t="s">
        <v>1473</v>
      </c>
      <c r="I155" s="627" t="s">
        <v>1472</v>
      </c>
      <c r="J155" s="627" t="s">
        <v>1471</v>
      </c>
      <c r="K155" s="627" t="s">
        <v>1470</v>
      </c>
    </row>
    <row r="156" spans="2:11" ht="15">
      <c r="D156" s="627" t="s">
        <v>1469</v>
      </c>
      <c r="E156" s="628" t="s">
        <v>1468</v>
      </c>
      <c r="F156" s="627" t="s">
        <v>1467</v>
      </c>
      <c r="G156" s="627" t="s">
        <v>1466</v>
      </c>
      <c r="H156" s="627" t="s">
        <v>1465</v>
      </c>
      <c r="I156" s="627" t="s">
        <v>1464</v>
      </c>
      <c r="J156" s="627" t="s">
        <v>1463</v>
      </c>
      <c r="K156" s="627" t="s">
        <v>1462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tabSelected="1" zoomScaleNormal="100" workbookViewId="0">
      <selection activeCell="I41" sqref="I41"/>
    </sheetView>
  </sheetViews>
  <sheetFormatPr defaultRowHeight="15"/>
  <cols>
    <col min="1" max="1" width="16.42578125" customWidth="1"/>
    <col min="2" max="2" width="13.7109375" customWidth="1"/>
    <col min="3" max="3" width="12.85546875" customWidth="1"/>
  </cols>
  <sheetData>
    <row r="1" spans="1:52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>
      <c r="A4" s="136" t="s">
        <v>524</v>
      </c>
    </row>
    <row r="5" spans="1:52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>
      <c r="B6" s="136" t="s">
        <v>172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>
      <c r="B10" s="136" t="s">
        <v>503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>
      <c r="A11" s="136" t="s">
        <v>525</v>
      </c>
      <c r="B11" s="136"/>
      <c r="C11" s="413" t="s">
        <v>761</v>
      </c>
      <c r="M11" s="136" t="s">
        <v>526</v>
      </c>
    </row>
    <row r="12" spans="1:52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>
      <c r="B13" s="136" t="s">
        <v>172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>IF(M$1&lt;$C13,L13,0)</f>
        <v>1.2400000000000002</v>
      </c>
      <c r="N13">
        <f t="shared" ref="N13:AB13" si="4">IF(N$1&lt;$C13,M13,0)</f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>IF(M$1&lt;$C14,L14,0)</f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>IF(M$1&lt;$C15,L15,0)</f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>IF(M$1&lt;$C16,L16,0)</f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>
      <c r="B17" s="136"/>
      <c r="C17" s="350"/>
    </row>
    <row r="18" spans="1:12">
      <c r="A18" s="136" t="s">
        <v>768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>
      <c r="B19" s="136"/>
      <c r="C19" s="350"/>
    </row>
    <row r="21" spans="1:12">
      <c r="A21" s="136" t="s">
        <v>528</v>
      </c>
      <c r="D21" s="349"/>
      <c r="E21" s="349"/>
    </row>
    <row r="22" spans="1:12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>
      <c r="B23" s="136" t="s">
        <v>172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>
      <c r="B27" s="350" t="s">
        <v>529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>
      <c r="A29" s="136" t="s">
        <v>529</v>
      </c>
      <c r="B29" s="136" t="s">
        <v>531</v>
      </c>
      <c r="C29" t="s">
        <v>533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>
      <c r="C30" t="s">
        <v>532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9">
      <c r="A34" s="136" t="s">
        <v>537</v>
      </c>
    </row>
    <row r="35" spans="1:9">
      <c r="C35" t="s">
        <v>535</v>
      </c>
      <c r="E35" t="s">
        <v>769</v>
      </c>
      <c r="I35" t="s">
        <v>1588</v>
      </c>
    </row>
    <row r="36" spans="1:9">
      <c r="B36" s="136" t="s">
        <v>7</v>
      </c>
      <c r="C36">
        <f>'2017GHG inv Emissions factors'!D30</f>
        <v>1.46</v>
      </c>
      <c r="I36" s="349">
        <f>I22*C36</f>
        <v>4.4282983783783774</v>
      </c>
    </row>
    <row r="37" spans="1:9">
      <c r="B37" s="136" t="s">
        <v>172</v>
      </c>
      <c r="C37" s="355">
        <f>'2017GHG inv Emissions factors'!M33</f>
        <v>1.8483209986471636</v>
      </c>
      <c r="I37" s="349">
        <f>I23*C37</f>
        <v>2.066422876487529</v>
      </c>
    </row>
    <row r="38" spans="1:9">
      <c r="B38" s="136" t="s">
        <v>9</v>
      </c>
      <c r="C38" s="355">
        <f>'2017GHG inv Emissions factors'!M31</f>
        <v>0.77999999999999992</v>
      </c>
      <c r="I38" s="349">
        <f>I24*C38</f>
        <v>0.59195675675675674</v>
      </c>
    </row>
    <row r="39" spans="1:9">
      <c r="B39" s="136" t="s">
        <v>10</v>
      </c>
      <c r="C39">
        <f>SUMIFS('Energy and Emissions'!$C$91:$C$96,'Energy and Emissions'!$B$91:$B$96,B39)</f>
        <v>1.54</v>
      </c>
      <c r="I39" s="349">
        <f>I25*C39</f>
        <v>0</v>
      </c>
    </row>
    <row r="40" spans="1:9">
      <c r="B40" s="136" t="s">
        <v>8</v>
      </c>
      <c r="C40">
        <f>'2017GHG inv Emissions factors'!M32</f>
        <v>0.08</v>
      </c>
      <c r="I40" s="349">
        <f>I26*C40</f>
        <v>0.10560000000000003</v>
      </c>
    </row>
    <row r="41" spans="1:9">
      <c r="I41">
        <f>SUM(I36:I40)</f>
        <v>7.1922780116226628</v>
      </c>
    </row>
    <row r="43" spans="1:9">
      <c r="B43" s="136" t="s">
        <v>586</v>
      </c>
    </row>
    <row r="44" spans="1:9">
      <c r="B44" t="s">
        <v>169</v>
      </c>
      <c r="C44">
        <f>C36</f>
        <v>1.46</v>
      </c>
    </row>
    <row r="45" spans="1:9">
      <c r="B45" t="s">
        <v>538</v>
      </c>
      <c r="C45">
        <f>C44</f>
        <v>1.46</v>
      </c>
    </row>
    <row r="46" spans="1:9">
      <c r="B46" t="s">
        <v>171</v>
      </c>
      <c r="C46" s="355">
        <f>C37</f>
        <v>1.8483209986471636</v>
      </c>
    </row>
    <row r="47" spans="1:9">
      <c r="B47" t="s">
        <v>174</v>
      </c>
      <c r="C47" s="355">
        <f>C38</f>
        <v>0.77999999999999992</v>
      </c>
    </row>
    <row r="48" spans="1:9">
      <c r="B48" t="s">
        <v>539</v>
      </c>
      <c r="C48" s="355">
        <f>C47</f>
        <v>0.77999999999999992</v>
      </c>
    </row>
    <row r="49" spans="1:15">
      <c r="B49" t="s">
        <v>540</v>
      </c>
      <c r="C49" s="355">
        <f>C48</f>
        <v>0.77999999999999992</v>
      </c>
    </row>
    <row r="50" spans="1:15">
      <c r="B50" t="s">
        <v>178</v>
      </c>
      <c r="C50">
        <f>C39</f>
        <v>1.54</v>
      </c>
    </row>
    <row r="51" spans="1:15">
      <c r="B51" t="s">
        <v>180</v>
      </c>
      <c r="C51">
        <f>C40</f>
        <v>0.08</v>
      </c>
      <c r="H51" s="113"/>
      <c r="J51" s="113"/>
      <c r="M51" s="113"/>
      <c r="O51" s="449"/>
    </row>
    <row r="52" spans="1:15">
      <c r="B52" t="s">
        <v>541</v>
      </c>
      <c r="C52">
        <f>C51</f>
        <v>0.08</v>
      </c>
    </row>
    <row r="55" spans="1:15">
      <c r="A55" s="136" t="s">
        <v>587</v>
      </c>
    </row>
    <row r="57" spans="1:15">
      <c r="B57" t="s">
        <v>169</v>
      </c>
      <c r="C57" s="355">
        <f>'Energy Intensity'!L99</f>
        <v>19.731464993552517</v>
      </c>
    </row>
    <row r="58" spans="1:15">
      <c r="B58" t="s">
        <v>538</v>
      </c>
      <c r="C58" s="355">
        <f>C57</f>
        <v>19.731464993552517</v>
      </c>
    </row>
    <row r="59" spans="1:15">
      <c r="B59" t="s">
        <v>171</v>
      </c>
      <c r="C59" s="355">
        <f>'Energy Intensity'!L102</f>
        <v>22.151676172353415</v>
      </c>
    </row>
    <row r="60" spans="1:15">
      <c r="B60" t="s">
        <v>174</v>
      </c>
      <c r="C60" s="355">
        <f>'Energy Intensity'!L100</f>
        <v>29.285529033072699</v>
      </c>
    </row>
    <row r="61" spans="1:15">
      <c r="B61" t="s">
        <v>539</v>
      </c>
      <c r="C61" s="355">
        <f>C60</f>
        <v>29.285529033072699</v>
      </c>
    </row>
    <row r="62" spans="1:15">
      <c r="B62" t="s">
        <v>540</v>
      </c>
      <c r="C62" s="355"/>
    </row>
    <row r="63" spans="1:15">
      <c r="B63" t="s">
        <v>178</v>
      </c>
      <c r="C63" s="355">
        <f>'Energy Intensity'!L103</f>
        <v>44.655000000000001</v>
      </c>
    </row>
    <row r="64" spans="1:15">
      <c r="B64" t="s">
        <v>180</v>
      </c>
      <c r="C64" s="355">
        <f>'Energy Intensity'!L101</f>
        <v>5.4887322803632257</v>
      </c>
    </row>
    <row r="65" spans="1:10">
      <c r="B65" t="s">
        <v>541</v>
      </c>
      <c r="C65" s="355">
        <f>C64</f>
        <v>5.4887322803632257</v>
      </c>
    </row>
    <row r="69" spans="1:10">
      <c r="A69" s="136" t="s">
        <v>588</v>
      </c>
    </row>
    <row r="70" spans="1:10">
      <c r="D70" t="s">
        <v>39</v>
      </c>
      <c r="E70" t="s">
        <v>38</v>
      </c>
      <c r="F70" t="s">
        <v>42</v>
      </c>
      <c r="H70" t="s">
        <v>593</v>
      </c>
      <c r="I70" t="s">
        <v>590</v>
      </c>
    </row>
    <row r="71" spans="1:10">
      <c r="D71" t="s">
        <v>453</v>
      </c>
      <c r="E71" t="s">
        <v>14</v>
      </c>
      <c r="F71" t="s">
        <v>11</v>
      </c>
      <c r="G71" t="s">
        <v>454</v>
      </c>
      <c r="H71" t="s">
        <v>153</v>
      </c>
      <c r="I71" t="s">
        <v>455</v>
      </c>
      <c r="J71" t="s">
        <v>324</v>
      </c>
    </row>
    <row r="72" spans="1:10">
      <c r="B72" t="s">
        <v>169</v>
      </c>
      <c r="C72" t="str">
        <f>'Energy Intensity'!D118</f>
        <v>BF-BOF</v>
      </c>
      <c r="D72" s="412">
        <f>'Energy Intensity'!E118</f>
        <v>0.21945745439808531</v>
      </c>
      <c r="E72" s="412">
        <f>'Energy Intensity'!F118</f>
        <v>0.10641268732607105</v>
      </c>
      <c r="F72" s="412">
        <f>'Energy Intensity'!G118</f>
        <v>0.44982892124067309</v>
      </c>
      <c r="G72" s="412">
        <f>'Energy Intensity'!H118</f>
        <v>0</v>
      </c>
      <c r="H72" s="412">
        <f>'Energy Intensity'!I118</f>
        <v>3.0121182346112101E-2</v>
      </c>
      <c r="I72" s="412">
        <f>'Energy Intensity'!J118</f>
        <v>0.19417975468905843</v>
      </c>
      <c r="J72" s="412">
        <f>'Energy Intensity'!K118</f>
        <v>0</v>
      </c>
    </row>
    <row r="73" spans="1:10">
      <c r="B73" t="s">
        <v>174</v>
      </c>
      <c r="C73" t="str">
        <f>'Energy Intensity'!D119</f>
        <v>DR-EAF</v>
      </c>
      <c r="D73" s="412">
        <f>'Energy Intensity'!E119</f>
        <v>0.70330244376593443</v>
      </c>
      <c r="E73" s="412">
        <f>'Energy Intensity'!F119</f>
        <v>0.16586669339471435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0.13083086283935119</v>
      </c>
      <c r="J73" s="412">
        <f>'Energy Intensity'!K119</f>
        <v>0</v>
      </c>
    </row>
    <row r="74" spans="1:10">
      <c r="B74" t="s">
        <v>180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>
      <c r="B75" t="s">
        <v>171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>
      <c r="B76" t="s">
        <v>178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>
      <c r="D81" t="s">
        <v>591</v>
      </c>
      <c r="E81" t="s">
        <v>592</v>
      </c>
    </row>
    <row r="82" spans="2:5">
      <c r="B82" t="s">
        <v>169</v>
      </c>
      <c r="C82" s="113" t="s">
        <v>39</v>
      </c>
      <c r="D82" s="357">
        <f>INDEX($D$72:$J$76,MATCH(B82,$B$72:$B$76,0),MATCH($C82,$D$70:$J$70,0))</f>
        <v>0.21945745439808531</v>
      </c>
      <c r="E82" s="357">
        <f>D82*101%</f>
        <v>0.22165202894206618</v>
      </c>
    </row>
    <row r="83" spans="2:5">
      <c r="B83" t="s">
        <v>174</v>
      </c>
      <c r="C83" s="113" t="s">
        <v>39</v>
      </c>
      <c r="D83" s="357">
        <f t="shared" ref="D83:D106" si="11">INDEX($D$72:$J$76,MATCH(B83,$B$72:$B$76,0),MATCH($C83,$D$70:$J$70,0))</f>
        <v>0.70330244376593443</v>
      </c>
      <c r="E83" s="357">
        <f t="shared" ref="E83:E106" si="12">D83*101%</f>
        <v>0.71033546820359372</v>
      </c>
    </row>
    <row r="84" spans="2:5">
      <c r="B84" t="s">
        <v>180</v>
      </c>
      <c r="C84" s="113" t="s">
        <v>39</v>
      </c>
      <c r="D84" s="357">
        <f t="shared" si="11"/>
        <v>0</v>
      </c>
      <c r="E84" s="357">
        <f t="shared" si="12"/>
        <v>0</v>
      </c>
    </row>
    <row r="85" spans="2:5">
      <c r="B85" t="s">
        <v>171</v>
      </c>
      <c r="C85" s="113" t="s">
        <v>39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>
      <c r="B86" t="s">
        <v>178</v>
      </c>
      <c r="C86" s="113" t="s">
        <v>39</v>
      </c>
      <c r="D86" s="357">
        <f t="shared" si="11"/>
        <v>0.46153846153846151</v>
      </c>
      <c r="E86" s="357">
        <f t="shared" si="12"/>
        <v>0.46615384615384614</v>
      </c>
    </row>
    <row r="87" spans="2:5">
      <c r="B87" t="s">
        <v>169</v>
      </c>
      <c r="C87" s="113" t="s">
        <v>38</v>
      </c>
      <c r="D87" s="357">
        <f t="shared" si="11"/>
        <v>0.10641268732607105</v>
      </c>
      <c r="E87" s="357">
        <f>D87*101%</f>
        <v>0.10747681419933176</v>
      </c>
    </row>
    <row r="88" spans="2:5">
      <c r="B88" t="s">
        <v>174</v>
      </c>
      <c r="C88" s="113" t="s">
        <v>38</v>
      </c>
      <c r="D88" s="357">
        <f t="shared" si="11"/>
        <v>0.16586669339471435</v>
      </c>
      <c r="E88" s="357">
        <f t="shared" si="12"/>
        <v>0.1675253603286615</v>
      </c>
    </row>
    <row r="89" spans="2:5">
      <c r="B89" t="s">
        <v>180</v>
      </c>
      <c r="C89" s="113" t="s">
        <v>38</v>
      </c>
      <c r="D89" s="357">
        <f t="shared" si="11"/>
        <v>0.74487768236857965</v>
      </c>
      <c r="E89" s="357">
        <f t="shared" si="12"/>
        <v>0.75232645919226548</v>
      </c>
    </row>
    <row r="90" spans="2:5">
      <c r="B90" t="s">
        <v>171</v>
      </c>
      <c r="C90" s="113" t="s">
        <v>38</v>
      </c>
      <c r="D90" s="357">
        <f t="shared" si="11"/>
        <v>7.8007640891601907E-2</v>
      </c>
      <c r="E90" s="357">
        <f t="shared" si="12"/>
        <v>7.8787717300517923E-2</v>
      </c>
    </row>
    <row r="91" spans="2:5">
      <c r="B91" t="s">
        <v>178</v>
      </c>
      <c r="C91" s="113" t="s">
        <v>38</v>
      </c>
      <c r="D91" s="357">
        <f t="shared" si="11"/>
        <v>0.46153846153846151</v>
      </c>
      <c r="E91" s="357">
        <f t="shared" si="12"/>
        <v>0.46615384615384614</v>
      </c>
    </row>
    <row r="92" spans="2:5">
      <c r="B92" t="s">
        <v>169</v>
      </c>
      <c r="C92" s="113" t="s">
        <v>42</v>
      </c>
      <c r="D92" s="357">
        <f t="shared" si="11"/>
        <v>0.44982892124067309</v>
      </c>
      <c r="E92" s="357">
        <f t="shared" si="12"/>
        <v>0.45432721045307983</v>
      </c>
    </row>
    <row r="93" spans="2:5">
      <c r="B93" t="s">
        <v>174</v>
      </c>
      <c r="C93" s="113" t="s">
        <v>42</v>
      </c>
      <c r="D93" s="357">
        <f t="shared" si="11"/>
        <v>0</v>
      </c>
      <c r="E93" s="357">
        <f t="shared" si="12"/>
        <v>0</v>
      </c>
    </row>
    <row r="94" spans="2:5">
      <c r="B94" t="s">
        <v>180</v>
      </c>
      <c r="C94" s="113" t="s">
        <v>42</v>
      </c>
      <c r="D94" s="357">
        <f t="shared" si="11"/>
        <v>0</v>
      </c>
      <c r="E94" s="357">
        <f t="shared" si="12"/>
        <v>0</v>
      </c>
    </row>
    <row r="95" spans="2:5">
      <c r="B95" t="s">
        <v>171</v>
      </c>
      <c r="C95" s="113" t="s">
        <v>42</v>
      </c>
      <c r="D95" s="357">
        <f t="shared" si="11"/>
        <v>0.11737260782301213</v>
      </c>
      <c r="E95" s="357">
        <f t="shared" si="12"/>
        <v>0.11854633390124225</v>
      </c>
    </row>
    <row r="96" spans="2:5">
      <c r="B96" t="s">
        <v>178</v>
      </c>
      <c r="C96" s="113" t="s">
        <v>42</v>
      </c>
      <c r="D96" s="357">
        <f t="shared" si="11"/>
        <v>0</v>
      </c>
      <c r="E96" s="357">
        <f t="shared" si="12"/>
        <v>0</v>
      </c>
    </row>
    <row r="97" spans="1:8">
      <c r="B97" t="s">
        <v>169</v>
      </c>
      <c r="C97" t="s">
        <v>593</v>
      </c>
      <c r="D97" s="357">
        <f t="shared" si="11"/>
        <v>3.0121182346112101E-2</v>
      </c>
      <c r="E97" s="357">
        <f t="shared" si="12"/>
        <v>3.0422394169573222E-2</v>
      </c>
    </row>
    <row r="98" spans="1:8">
      <c r="B98" t="s">
        <v>174</v>
      </c>
      <c r="C98" t="s">
        <v>593</v>
      </c>
      <c r="D98" s="357">
        <f t="shared" si="11"/>
        <v>0</v>
      </c>
      <c r="E98" s="357">
        <f t="shared" si="12"/>
        <v>0</v>
      </c>
    </row>
    <row r="99" spans="1:8">
      <c r="B99" t="s">
        <v>180</v>
      </c>
      <c r="C99" t="s">
        <v>593</v>
      </c>
      <c r="D99" s="357">
        <f t="shared" si="11"/>
        <v>0.12863089961074112</v>
      </c>
      <c r="E99" s="357">
        <f t="shared" si="12"/>
        <v>0.12991720860684852</v>
      </c>
    </row>
    <row r="100" spans="1:8">
      <c r="B100" t="s">
        <v>171</v>
      </c>
      <c r="C100" t="s">
        <v>593</v>
      </c>
      <c r="D100" s="357">
        <f t="shared" si="11"/>
        <v>9.794992575659793E-3</v>
      </c>
      <c r="E100" s="357">
        <f t="shared" si="12"/>
        <v>9.8929425014163911E-3</v>
      </c>
    </row>
    <row r="101" spans="1:8">
      <c r="B101" t="s">
        <v>178</v>
      </c>
      <c r="C101" t="s">
        <v>593</v>
      </c>
      <c r="D101" s="357">
        <f t="shared" si="11"/>
        <v>0</v>
      </c>
      <c r="E101" s="357">
        <f t="shared" si="12"/>
        <v>0</v>
      </c>
    </row>
    <row r="102" spans="1:8">
      <c r="B102" t="s">
        <v>169</v>
      </c>
      <c r="C102" s="113" t="s">
        <v>590</v>
      </c>
      <c r="D102" s="357">
        <f t="shared" si="11"/>
        <v>0.19417975468905843</v>
      </c>
      <c r="E102" s="357">
        <f t="shared" si="12"/>
        <v>0.19612155223594901</v>
      </c>
    </row>
    <row r="103" spans="1:8">
      <c r="B103" t="s">
        <v>174</v>
      </c>
      <c r="C103" s="113" t="s">
        <v>590</v>
      </c>
      <c r="D103" s="357">
        <f t="shared" si="11"/>
        <v>0.13083086283935119</v>
      </c>
      <c r="E103" s="357">
        <f t="shared" si="12"/>
        <v>0.1321391714677447</v>
      </c>
    </row>
    <row r="104" spans="1:8">
      <c r="B104" t="s">
        <v>180</v>
      </c>
      <c r="C104" s="113" t="s">
        <v>590</v>
      </c>
      <c r="D104" s="357">
        <f t="shared" si="11"/>
        <v>0.12649141802067926</v>
      </c>
      <c r="E104" s="357">
        <f t="shared" si="12"/>
        <v>0.12775633220088606</v>
      </c>
    </row>
    <row r="105" spans="1:8">
      <c r="B105" t="s">
        <v>171</v>
      </c>
      <c r="C105" s="113" t="s">
        <v>590</v>
      </c>
      <c r="D105" s="357">
        <f t="shared" si="11"/>
        <v>1.8359814649799511E-2</v>
      </c>
      <c r="E105" s="357">
        <f t="shared" si="12"/>
        <v>1.8543412796297506E-2</v>
      </c>
    </row>
    <row r="106" spans="1:8">
      <c r="B106" t="s">
        <v>178</v>
      </c>
      <c r="C106" s="113" t="s">
        <v>590</v>
      </c>
      <c r="D106" s="357">
        <f t="shared" si="11"/>
        <v>7.6923076923076913E-2</v>
      </c>
      <c r="E106" s="357">
        <f t="shared" si="12"/>
        <v>7.7692307692307686E-2</v>
      </c>
    </row>
    <row r="110" spans="1:8">
      <c r="A110" s="136" t="s">
        <v>740</v>
      </c>
    </row>
    <row r="111" spans="1:8">
      <c r="C111" s="136" t="s">
        <v>742</v>
      </c>
    </row>
    <row r="112" spans="1:8">
      <c r="A112" t="s">
        <v>741</v>
      </c>
      <c r="B112" t="s">
        <v>169</v>
      </c>
      <c r="C112" s="488">
        <f>'TNapp - Opex sheet'!C122*G112</f>
        <v>2915.8170285641577</v>
      </c>
      <c r="G112">
        <v>1.3</v>
      </c>
      <c r="H112" t="s">
        <v>1250</v>
      </c>
    </row>
    <row r="113" spans="1:5">
      <c r="B113" t="s">
        <v>538</v>
      </c>
      <c r="C113" s="488">
        <f>C112</f>
        <v>2915.8170285641577</v>
      </c>
    </row>
    <row r="114" spans="1:5">
      <c r="B114" t="s">
        <v>174</v>
      </c>
      <c r="C114" s="488">
        <f>'TNapp - Opex sheet'!D123*G112</f>
        <v>3179.6250364582365</v>
      </c>
    </row>
    <row r="115" spans="1:5">
      <c r="B115" t="s">
        <v>539</v>
      </c>
      <c r="C115" s="488">
        <f>C114</f>
        <v>3179.6250364582365</v>
      </c>
    </row>
    <row r="116" spans="1:5">
      <c r="B116" s="611" t="s">
        <v>541</v>
      </c>
      <c r="C116" s="613">
        <f>'TNapp - Opex sheet'!E122*G112</f>
        <v>4353.2059835000982</v>
      </c>
    </row>
    <row r="117" spans="1:5">
      <c r="B117" s="611" t="s">
        <v>171</v>
      </c>
      <c r="C117" s="613">
        <f>'TNapp - Opex sheet'!F122*G112</f>
        <v>2764.6499224930358</v>
      </c>
    </row>
    <row r="118" spans="1:5">
      <c r="A118" t="s">
        <v>775</v>
      </c>
    </row>
    <row r="119" spans="1:5">
      <c r="B119" t="s">
        <v>538</v>
      </c>
      <c r="C119" s="598">
        <f>'TNapp - Capex sheet'!C74*$G$112</f>
        <v>2939.453542317674</v>
      </c>
    </row>
    <row r="120" spans="1:5">
      <c r="B120" t="s">
        <v>539</v>
      </c>
      <c r="C120" s="598">
        <f>'TNapp - Capex sheet'!C75*$G$112</f>
        <v>2930.111097751032</v>
      </c>
    </row>
    <row r="121" spans="1:5">
      <c r="B121" s="611" t="s">
        <v>540</v>
      </c>
      <c r="C121" s="598">
        <f>'TNapp - Capex sheet'!C73*$G$112</f>
        <v>2441.7592481258603</v>
      </c>
    </row>
    <row r="122" spans="1:5">
      <c r="B122" s="611" t="s">
        <v>541</v>
      </c>
      <c r="C122" s="598">
        <f>'TNapp - Capex sheet'!C72*$G$112</f>
        <v>1799.4696669090256</v>
      </c>
    </row>
    <row r="124" spans="1:5">
      <c r="A124" s="136" t="s">
        <v>743</v>
      </c>
    </row>
    <row r="125" spans="1:5">
      <c r="B125" t="s">
        <v>0</v>
      </c>
      <c r="C125">
        <v>20</v>
      </c>
      <c r="D125" t="s">
        <v>745</v>
      </c>
      <c r="E125" t="s">
        <v>744</v>
      </c>
    </row>
    <row r="126" spans="1:5">
      <c r="C126">
        <v>15</v>
      </c>
      <c r="D126" t="s">
        <v>747</v>
      </c>
      <c r="E126" t="s">
        <v>746</v>
      </c>
    </row>
    <row r="127" spans="1:5">
      <c r="C127" s="489" t="s">
        <v>756</v>
      </c>
      <c r="D127" t="s">
        <v>757</v>
      </c>
      <c r="E127" t="s">
        <v>758</v>
      </c>
    </row>
    <row r="129" spans="1:13">
      <c r="C129" s="385">
        <f>C125</f>
        <v>20</v>
      </c>
      <c r="D129" s="385" t="s">
        <v>759</v>
      </c>
      <c r="E129" s="385" t="s">
        <v>760</v>
      </c>
    </row>
    <row r="131" spans="1:13">
      <c r="C131">
        <v>2007</v>
      </c>
      <c r="D131" t="s">
        <v>762</v>
      </c>
    </row>
    <row r="132" spans="1:13">
      <c r="C132">
        <v>2014</v>
      </c>
      <c r="D132" t="s">
        <v>764</v>
      </c>
    </row>
    <row r="133" spans="1:13">
      <c r="C133" s="136">
        <f>C129+C132</f>
        <v>2034</v>
      </c>
      <c r="D133" s="136" t="s">
        <v>763</v>
      </c>
      <c r="E133" s="136"/>
    </row>
    <row r="135" spans="1:13">
      <c r="B135" t="s">
        <v>1</v>
      </c>
      <c r="C135">
        <v>20</v>
      </c>
      <c r="D135" t="s">
        <v>766</v>
      </c>
      <c r="E135" t="s">
        <v>765</v>
      </c>
    </row>
    <row r="136" spans="1:13">
      <c r="C136" s="136">
        <v>2030</v>
      </c>
      <c r="D136" s="136" t="s">
        <v>767</v>
      </c>
      <c r="E136" s="136"/>
      <c r="F136" s="136"/>
    </row>
    <row r="143" spans="1:13">
      <c r="D143" s="682" t="s">
        <v>1157</v>
      </c>
      <c r="E143" s="682"/>
      <c r="F143" s="682"/>
      <c r="G143" s="682"/>
      <c r="H143" s="682" t="s">
        <v>1158</v>
      </c>
      <c r="I143" s="682"/>
      <c r="J143" s="682"/>
      <c r="K143" s="682"/>
      <c r="L143" s="682"/>
      <c r="M143" s="682"/>
    </row>
    <row r="144" spans="1:13" ht="110.25">
      <c r="A144" s="94"/>
      <c r="B144" s="94"/>
      <c r="C144" s="94" t="s">
        <v>675</v>
      </c>
      <c r="D144" s="592" t="s">
        <v>1159</v>
      </c>
      <c r="E144" s="592" t="s">
        <v>1160</v>
      </c>
      <c r="F144" s="592" t="s">
        <v>1161</v>
      </c>
      <c r="G144" s="592" t="s">
        <v>1176</v>
      </c>
      <c r="H144" s="592" t="s">
        <v>1162</v>
      </c>
      <c r="I144" s="592" t="s">
        <v>1163</v>
      </c>
      <c r="J144" s="592" t="s">
        <v>1164</v>
      </c>
      <c r="K144" s="592" t="s">
        <v>1165</v>
      </c>
      <c r="L144" s="593"/>
    </row>
    <row r="145" spans="1:24" ht="31.5">
      <c r="A145" s="91"/>
      <c r="B145" s="91"/>
      <c r="C145" s="94"/>
      <c r="D145" s="592" t="s">
        <v>7</v>
      </c>
      <c r="E145" s="592" t="s">
        <v>9</v>
      </c>
      <c r="F145" s="592" t="s">
        <v>462</v>
      </c>
      <c r="G145" s="592" t="s">
        <v>172</v>
      </c>
      <c r="H145" s="592" t="s">
        <v>1166</v>
      </c>
      <c r="I145" s="592" t="s">
        <v>1167</v>
      </c>
      <c r="J145" s="592" t="s">
        <v>1168</v>
      </c>
      <c r="K145" s="592" t="s">
        <v>1169</v>
      </c>
      <c r="L145" s="593"/>
    </row>
    <row r="146" spans="1:24">
      <c r="A146" s="691" t="s">
        <v>1174</v>
      </c>
      <c r="B146" s="594" t="s">
        <v>1175</v>
      </c>
      <c r="C146" s="594" t="s">
        <v>189</v>
      </c>
      <c r="D146" s="594">
        <f>SUMIFS($L$5:$L$9,$B$5:$B$9,D$145)</f>
        <v>4.9000000000000004</v>
      </c>
      <c r="E146" s="594">
        <f>SUMIFS($L$5:$L$9,$B$5:$B$9,E$145)</f>
        <v>1.44</v>
      </c>
      <c r="F146" s="594">
        <f>SUMIFS($L$5:$L$9,$B$5:$B$9,F$145)</f>
        <v>1.7200000000000002</v>
      </c>
      <c r="G146" s="594">
        <f>SUMIFS($L$5:$L$9,$B$5:$B$9,G$145)</f>
        <v>1.2400000000000002</v>
      </c>
      <c r="H146" s="594"/>
      <c r="I146" s="594"/>
      <c r="J146" s="594"/>
      <c r="K146" s="594"/>
      <c r="L146" s="595"/>
    </row>
    <row r="147" spans="1:24">
      <c r="A147" s="692"/>
      <c r="B147" s="594" t="s">
        <v>930</v>
      </c>
      <c r="C147" s="596" t="s">
        <v>264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>
      <c r="A148" s="692"/>
      <c r="B148" s="594" t="s">
        <v>1171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>
      <c r="A149" s="692"/>
      <c r="B149" s="594" t="s">
        <v>910</v>
      </c>
      <c r="C149" s="594" t="s">
        <v>1173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>
      <c r="A150" s="692"/>
      <c r="B150" s="594" t="s">
        <v>1172</v>
      </c>
      <c r="C150" s="594" t="s">
        <v>944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>
      <c r="A151" s="693"/>
      <c r="B151" s="594" t="s">
        <v>743</v>
      </c>
      <c r="C151" s="594" t="s">
        <v>745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1177</v>
      </c>
    </row>
    <row r="152" spans="1:24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>
      <c r="A153" s="691" t="s">
        <v>232</v>
      </c>
      <c r="B153" s="594" t="s">
        <v>13</v>
      </c>
      <c r="C153" s="596" t="s">
        <v>148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 t="shared" ref="H153:I157" si="13">D153</f>
        <v>4.3302170790299686</v>
      </c>
      <c r="I153" s="597">
        <f t="shared" si="13"/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454</v>
      </c>
      <c r="V153" s="150" t="s">
        <v>153</v>
      </c>
      <c r="W153" s="150" t="s">
        <v>200</v>
      </c>
      <c r="X153" s="150" t="s">
        <v>324</v>
      </c>
    </row>
    <row r="154" spans="1:24">
      <c r="A154" s="692"/>
      <c r="B154" s="594" t="s">
        <v>11</v>
      </c>
      <c r="C154" s="596" t="s">
        <v>148</v>
      </c>
      <c r="D154" s="597">
        <f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si="13"/>
        <v>8.8757836125478331</v>
      </c>
      <c r="I154" s="597">
        <f t="shared" si="13"/>
        <v>0</v>
      </c>
      <c r="J154" s="597"/>
      <c r="K154" s="597">
        <f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3.8314510321037716</v>
      </c>
      <c r="X154" s="439">
        <f>'Energy Intensity'!K99</f>
        <v>0</v>
      </c>
    </row>
    <row r="155" spans="1:24">
      <c r="A155" s="692"/>
      <c r="B155" s="20" t="s">
        <v>200</v>
      </c>
      <c r="C155" s="596" t="s">
        <v>148</v>
      </c>
      <c r="D155" s="597">
        <f>SUMIFS($R$154:$X$154,$R$153:$X$153,$B155)</f>
        <v>3.8314510321037716</v>
      </c>
      <c r="E155" s="597">
        <f>SUMIFS($R$155:$X$155,$R$153:$X$153,$B155)</f>
        <v>3.8314510321037716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3"/>
        <v>3.8314510321037716</v>
      </c>
      <c r="I155" s="597">
        <f t="shared" si="13"/>
        <v>3.8314510321037716</v>
      </c>
      <c r="J155" s="597">
        <v>16</v>
      </c>
      <c r="K155" s="597">
        <f>F155</f>
        <v>0.69427752927902087</v>
      </c>
      <c r="L155" s="595"/>
      <c r="Q155" s="131" t="s">
        <v>175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3.8314510321037716</v>
      </c>
      <c r="X155" s="439">
        <f>'Energy Intensity'!K100</f>
        <v>0</v>
      </c>
    </row>
    <row r="156" spans="1:24">
      <c r="A156" s="692"/>
      <c r="B156" s="20" t="s">
        <v>153</v>
      </c>
      <c r="C156" s="596" t="s">
        <v>148</v>
      </c>
      <c r="D156" s="597">
        <f>SUMIFS($R$154:$X$154,$R$153:$X$153,$B156)</f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3"/>
        <v>0.59433505502672301</v>
      </c>
      <c r="I156" s="597">
        <f t="shared" si="13"/>
        <v>0</v>
      </c>
      <c r="J156" s="597"/>
      <c r="K156" s="597">
        <f>F156</f>
        <v>0.70602057094563631</v>
      </c>
      <c r="L156" s="595"/>
      <c r="Q156" s="131" t="s">
        <v>462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>
      <c r="A157" s="692"/>
      <c r="B157" s="594" t="s">
        <v>14</v>
      </c>
      <c r="C157" s="596" t="s">
        <v>148</v>
      </c>
      <c r="D157" s="597">
        <f>SUMIFS($R$154:$X$154,$R$153:$X$153,$B157)</f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3"/>
        <v>2.0996782148442206</v>
      </c>
      <c r="I157" s="597">
        <f t="shared" si="13"/>
        <v>4.8574938650306745</v>
      </c>
      <c r="J157" s="597">
        <f>E157</f>
        <v>4.8574938650306745</v>
      </c>
      <c r="K157" s="597">
        <f>F157</f>
        <v>4.0884341801385684</v>
      </c>
      <c r="L157" s="595"/>
      <c r="Q157" s="131" t="s">
        <v>97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>
      <c r="A158" s="693"/>
      <c r="B158" s="604" t="s">
        <v>1170</v>
      </c>
      <c r="C158" s="605" t="s">
        <v>148</v>
      </c>
      <c r="D158" s="603">
        <f t="shared" ref="D158:K158" si="14">SUM(D153:D157)</f>
        <v>19.731464993552517</v>
      </c>
      <c r="E158" s="603">
        <f t="shared" si="14"/>
        <v>29.285529033072699</v>
      </c>
      <c r="F158" s="603">
        <f t="shared" si="14"/>
        <v>5.4887322803632257</v>
      </c>
      <c r="G158" s="603">
        <f t="shared" si="14"/>
        <v>22.151676172353415</v>
      </c>
      <c r="H158" s="603">
        <f t="shared" si="14"/>
        <v>19.731464993552517</v>
      </c>
      <c r="I158" s="603">
        <f t="shared" si="14"/>
        <v>29.285529033072699</v>
      </c>
      <c r="J158" s="603">
        <f t="shared" si="14"/>
        <v>20.857493865030676</v>
      </c>
      <c r="K158" s="603">
        <f t="shared" si="14"/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>
      <c r="A160" s="615" t="s">
        <v>393</v>
      </c>
      <c r="B160" s="594" t="s">
        <v>1178</v>
      </c>
      <c r="C160" s="594" t="s">
        <v>1179</v>
      </c>
      <c r="D160" s="594">
        <f>C36</f>
        <v>1.46</v>
      </c>
      <c r="E160" s="594">
        <f>C38</f>
        <v>0.77999999999999992</v>
      </c>
      <c r="F160" s="594">
        <f>C40</f>
        <v>0.08</v>
      </c>
      <c r="G160" s="594">
        <f>C37</f>
        <v>1.8483209986471636</v>
      </c>
      <c r="H160" s="594">
        <f>D160</f>
        <v>1.46</v>
      </c>
      <c r="I160" s="594">
        <f>E160</f>
        <v>0.77999999999999992</v>
      </c>
      <c r="J160" s="594">
        <f>E160</f>
        <v>0.77999999999999992</v>
      </c>
      <c r="K160" s="594">
        <f>F160</f>
        <v>0.08</v>
      </c>
      <c r="L160" s="594"/>
    </row>
    <row r="162" spans="4:20">
      <c r="R162" t="s">
        <v>1253</v>
      </c>
    </row>
    <row r="163" spans="4:20">
      <c r="D163" s="594"/>
      <c r="R163" t="s">
        <v>9</v>
      </c>
    </row>
    <row r="164" spans="4:20">
      <c r="R164" t="s">
        <v>1254</v>
      </c>
      <c r="T164">
        <v>16.899999999999999</v>
      </c>
    </row>
    <row r="165" spans="4:20">
      <c r="R165" t="s">
        <v>14</v>
      </c>
      <c r="T165">
        <v>0.9</v>
      </c>
    </row>
    <row r="166" spans="4:20">
      <c r="R166" t="s">
        <v>1255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88" workbookViewId="0">
      <selection activeCell="Q115" sqref="P115:Q115"/>
    </sheetView>
  </sheetViews>
  <sheetFormatPr defaultRowHeight="1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>
      <c r="P2" t="s">
        <v>456</v>
      </c>
    </row>
    <row r="3" spans="2:24">
      <c r="B3" t="s">
        <v>415</v>
      </c>
      <c r="P3" t="s">
        <v>457</v>
      </c>
    </row>
    <row r="4" spans="2:24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452</v>
      </c>
      <c r="Q4" s="16"/>
      <c r="R4" s="16"/>
      <c r="S4" s="16"/>
      <c r="T4" s="16"/>
      <c r="U4" s="16"/>
      <c r="V4" s="16"/>
      <c r="W4" s="16"/>
      <c r="X4" s="3"/>
    </row>
    <row r="5" spans="2:24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453</v>
      </c>
      <c r="R5" s="12" t="s">
        <v>14</v>
      </c>
      <c r="S5" s="12" t="s">
        <v>12</v>
      </c>
      <c r="T5" s="12" t="s">
        <v>454</v>
      </c>
      <c r="U5" s="12" t="s">
        <v>153</v>
      </c>
      <c r="V5" s="12" t="s">
        <v>455</v>
      </c>
      <c r="W5" s="12" t="s">
        <v>324</v>
      </c>
      <c r="X5" s="5" t="s">
        <v>3</v>
      </c>
    </row>
    <row r="6" spans="2:24" ht="15.7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138</v>
      </c>
      <c r="I6" s="26" t="s">
        <v>10</v>
      </c>
      <c r="J6" s="12"/>
      <c r="K6" s="12"/>
      <c r="L6" s="5"/>
      <c r="P6" s="4" t="s">
        <v>458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>
      <c r="B7" s="371" t="s">
        <v>139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459</v>
      </c>
      <c r="Q8" s="12"/>
      <c r="R8" s="12"/>
      <c r="S8" s="12"/>
      <c r="T8" s="12"/>
      <c r="U8" s="12"/>
      <c r="V8" s="12"/>
      <c r="W8" s="12"/>
      <c r="X8" s="5"/>
    </row>
    <row r="9" spans="2:24" ht="15.7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>
      <c r="B10" s="370"/>
      <c r="C10" s="28" t="s">
        <v>132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453</v>
      </c>
      <c r="R10" s="12" t="s">
        <v>14</v>
      </c>
      <c r="S10" s="12" t="s">
        <v>12</v>
      </c>
      <c r="T10" s="12" t="s">
        <v>454</v>
      </c>
      <c r="U10" s="12" t="s">
        <v>153</v>
      </c>
      <c r="V10" s="12" t="s">
        <v>455</v>
      </c>
      <c r="W10" s="12" t="s">
        <v>324</v>
      </c>
      <c r="X10" s="5" t="s">
        <v>3</v>
      </c>
    </row>
    <row r="11" spans="2:24" ht="15.75">
      <c r="B11" s="370"/>
      <c r="C11" s="28" t="s">
        <v>140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458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460</v>
      </c>
      <c r="Q14" s="12"/>
      <c r="R14" s="12"/>
      <c r="S14" s="12"/>
      <c r="T14" s="12"/>
      <c r="U14" s="12"/>
      <c r="V14" s="12"/>
      <c r="W14" s="12"/>
      <c r="X14" s="5"/>
    </row>
    <row r="15" spans="2:24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453</v>
      </c>
      <c r="R15" s="12" t="s">
        <v>14</v>
      </c>
      <c r="S15" s="12" t="s">
        <v>12</v>
      </c>
      <c r="T15" s="12" t="s">
        <v>454</v>
      </c>
      <c r="U15" s="12" t="s">
        <v>153</v>
      </c>
      <c r="V15" s="12" t="s">
        <v>455</v>
      </c>
      <c r="W15" s="12" t="s">
        <v>324</v>
      </c>
      <c r="X15" s="5" t="s">
        <v>3</v>
      </c>
    </row>
    <row r="16" spans="2:24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458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97</v>
      </c>
      <c r="Q18" s="12"/>
      <c r="R18" s="12"/>
      <c r="S18" s="12"/>
      <c r="T18" s="12"/>
      <c r="U18" s="12"/>
      <c r="V18" s="12"/>
      <c r="W18" s="12"/>
      <c r="X18" s="5"/>
    </row>
    <row r="19" spans="2:28" ht="15.75">
      <c r="B19" s="374" t="s">
        <v>117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453</v>
      </c>
      <c r="R19" s="12" t="s">
        <v>14</v>
      </c>
      <c r="S19" s="12" t="s">
        <v>12</v>
      </c>
      <c r="T19" s="12" t="s">
        <v>454</v>
      </c>
      <c r="U19" s="12" t="s">
        <v>153</v>
      </c>
      <c r="V19" s="12" t="s">
        <v>455</v>
      </c>
      <c r="W19" s="12" t="s">
        <v>324</v>
      </c>
      <c r="X19" s="5" t="s">
        <v>3</v>
      </c>
    </row>
    <row r="20" spans="2:28" ht="15.75">
      <c r="B20" s="375" t="s">
        <v>124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458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461</v>
      </c>
      <c r="Q23" s="12"/>
      <c r="R23" s="12"/>
      <c r="S23" s="12"/>
      <c r="T23" s="12"/>
      <c r="U23" s="12"/>
      <c r="V23" s="12"/>
      <c r="W23" s="12"/>
      <c r="X23" s="5"/>
    </row>
    <row r="24" spans="2:28" ht="15.75">
      <c r="B24" s="376" t="s">
        <v>132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148</v>
      </c>
      <c r="Q24" s="12"/>
      <c r="R24" s="12"/>
      <c r="S24" s="12"/>
      <c r="T24" s="12"/>
      <c r="U24" s="12"/>
      <c r="V24" s="12"/>
      <c r="W24" s="12"/>
      <c r="X24" s="5"/>
      <c r="Z24" t="s">
        <v>543</v>
      </c>
    </row>
    <row r="25" spans="2:28" ht="15.75">
      <c r="B25" s="376" t="s">
        <v>133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453</v>
      </c>
      <c r="R25" s="150" t="s">
        <v>14</v>
      </c>
      <c r="S25" s="150" t="s">
        <v>12</v>
      </c>
      <c r="T25" s="150" t="s">
        <v>454</v>
      </c>
      <c r="U25" s="150" t="s">
        <v>153</v>
      </c>
      <c r="V25" s="150" t="s">
        <v>455</v>
      </c>
      <c r="W25" s="150" t="s">
        <v>324</v>
      </c>
      <c r="X25" s="131" t="s">
        <v>3</v>
      </c>
      <c r="Z25">
        <v>2012</v>
      </c>
      <c r="AA25">
        <v>2017</v>
      </c>
    </row>
    <row r="26" spans="2:28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175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462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97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172</v>
      </c>
    </row>
    <row r="30" spans="2:28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>
      <c r="B33" s="424" t="s">
        <v>187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547</v>
      </c>
      <c r="AA33" t="s">
        <v>549</v>
      </c>
    </row>
    <row r="34" spans="2:27">
      <c r="B34" s="4" t="s">
        <v>148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138</v>
      </c>
      <c r="I35" s="423" t="s">
        <v>10</v>
      </c>
      <c r="J35" s="12"/>
      <c r="K35" s="12"/>
      <c r="L35" s="5"/>
      <c r="P35" s="131" t="s">
        <v>175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548</v>
      </c>
      <c r="AA35" s="367">
        <v>0.5</v>
      </c>
    </row>
    <row r="36" spans="2:27" ht="15.7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462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97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>
      <c r="B39" s="370" t="s">
        <v>132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>
      <c r="B40" s="370" t="s">
        <v>133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>
      <c r="B43" s="4"/>
      <c r="C43" s="150" t="s">
        <v>453</v>
      </c>
      <c r="D43" s="150" t="s">
        <v>14</v>
      </c>
      <c r="E43" s="150" t="s">
        <v>12</v>
      </c>
      <c r="F43" s="150" t="s">
        <v>454</v>
      </c>
      <c r="G43" s="150" t="s">
        <v>153</v>
      </c>
      <c r="H43" s="150" t="s">
        <v>455</v>
      </c>
      <c r="I43" s="150" t="s">
        <v>324</v>
      </c>
      <c r="J43" s="12"/>
      <c r="K43" s="12"/>
      <c r="L43" s="5"/>
      <c r="P43" s="131" t="s">
        <v>175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462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>
      <c r="B45" s="131" t="s">
        <v>175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97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>
      <c r="B46" s="131" t="s">
        <v>462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>
      <c r="B47" s="131" t="s">
        <v>97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546</v>
      </c>
      <c r="R49" s="425">
        <v>17312</v>
      </c>
      <c r="S49" t="s">
        <v>330</v>
      </c>
    </row>
    <row r="50" spans="2:24">
      <c r="P50" t="s">
        <v>398</v>
      </c>
      <c r="R50" s="426">
        <f>R46*1000</f>
        <v>48384.404638233034</v>
      </c>
    </row>
    <row r="51" spans="2:24">
      <c r="B51" t="s">
        <v>484</v>
      </c>
    </row>
    <row r="52" spans="2:24">
      <c r="B52" s="15"/>
      <c r="C52" s="16" t="s">
        <v>486</v>
      </c>
      <c r="D52" s="16"/>
      <c r="E52" s="16" t="s">
        <v>542</v>
      </c>
      <c r="F52" s="16"/>
      <c r="G52" s="3"/>
      <c r="P52" t="s">
        <v>13</v>
      </c>
      <c r="Q52" t="s">
        <v>553</v>
      </c>
      <c r="R52">
        <f>Coke!L20</f>
        <v>2.91</v>
      </c>
      <c r="S52" t="s">
        <v>189</v>
      </c>
    </row>
    <row r="53" spans="2:24">
      <c r="B53" s="4" t="s">
        <v>485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398</v>
      </c>
      <c r="R53" s="349">
        <f>Q46/24</f>
        <v>1.8756364749619088</v>
      </c>
    </row>
    <row r="54" spans="2:24">
      <c r="B54" s="7"/>
      <c r="C54" s="8"/>
      <c r="D54" s="8"/>
      <c r="E54" s="8"/>
      <c r="F54" s="8"/>
      <c r="G54" s="9"/>
      <c r="Q54" t="s">
        <v>554</v>
      </c>
      <c r="R54">
        <v>2.75</v>
      </c>
    </row>
    <row r="56" spans="2:24">
      <c r="B56" t="s">
        <v>520</v>
      </c>
    </row>
    <row r="57" spans="2:24">
      <c r="B57" s="15"/>
      <c r="C57" s="16"/>
      <c r="D57" s="16"/>
      <c r="E57" s="16"/>
      <c r="F57" s="16"/>
      <c r="G57" s="3"/>
    </row>
    <row r="58" spans="2:24">
      <c r="B58" s="4" t="s">
        <v>517</v>
      </c>
      <c r="C58" s="12"/>
      <c r="D58" s="12"/>
      <c r="E58" s="12"/>
      <c r="F58" s="12"/>
      <c r="G58" s="5"/>
    </row>
    <row r="59" spans="2:24">
      <c r="B59" s="4"/>
      <c r="C59" s="12" t="s">
        <v>13</v>
      </c>
      <c r="D59" s="12" t="s">
        <v>11</v>
      </c>
      <c r="E59" s="12"/>
      <c r="F59" s="12"/>
      <c r="G59" s="5"/>
      <c r="P59" t="s">
        <v>570</v>
      </c>
    </row>
    <row r="60" spans="2:24">
      <c r="B60" s="4" t="s">
        <v>505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555</v>
      </c>
    </row>
    <row r="61" spans="2:24">
      <c r="B61" s="4" t="s">
        <v>506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453</v>
      </c>
      <c r="R61" s="150" t="s">
        <v>14</v>
      </c>
      <c r="S61" s="150" t="s">
        <v>12</v>
      </c>
      <c r="T61" s="150" t="s">
        <v>454</v>
      </c>
      <c r="U61" s="150" t="s">
        <v>153</v>
      </c>
      <c r="V61" s="150" t="s">
        <v>455</v>
      </c>
      <c r="W61" s="150" t="s">
        <v>324</v>
      </c>
    </row>
    <row r="62" spans="2:24">
      <c r="B62" s="4" t="s">
        <v>507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>
      <c r="B63" s="4"/>
      <c r="C63" s="12"/>
      <c r="D63" s="12"/>
      <c r="E63" s="12"/>
      <c r="F63" s="12"/>
      <c r="G63" s="5"/>
      <c r="P63" s="131" t="s">
        <v>175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>
      <c r="B64" s="4"/>
      <c r="C64" s="12">
        <v>24</v>
      </c>
      <c r="D64" s="12">
        <v>30</v>
      </c>
      <c r="F64" s="12"/>
      <c r="G64" s="5"/>
      <c r="P64" s="131" t="s">
        <v>462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>
      <c r="B65" s="6" t="s">
        <v>544</v>
      </c>
      <c r="E65" s="12" t="s">
        <v>521</v>
      </c>
      <c r="F65" s="12"/>
      <c r="G65" s="5"/>
      <c r="I65" t="s">
        <v>522</v>
      </c>
      <c r="P65" s="131" t="s">
        <v>97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>
      <c r="B66" s="4" t="s">
        <v>505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>
      <c r="B67" s="4" t="s">
        <v>506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>
      <c r="B68" s="4" t="s">
        <v>507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571</v>
      </c>
    </row>
    <row r="69" spans="2: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>
      <c r="P70" s="371"/>
      <c r="Q70" s="26" t="s">
        <v>7</v>
      </c>
      <c r="R70" s="26" t="s">
        <v>46</v>
      </c>
      <c r="S70" s="26"/>
      <c r="T70" s="26" t="s">
        <v>8</v>
      </c>
      <c r="U70" s="26" t="s">
        <v>48</v>
      </c>
      <c r="V70" s="26" t="s">
        <v>10</v>
      </c>
      <c r="W70" s="12"/>
      <c r="X70" s="12"/>
      <c r="Y70" s="5"/>
    </row>
    <row r="71" spans="2:25" ht="15.75">
      <c r="P71" s="376" t="s">
        <v>89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>
      <c r="E72" t="s">
        <v>5</v>
      </c>
      <c r="P72" s="376" t="s">
        <v>92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>
      <c r="D73" s="131" t="s">
        <v>7</v>
      </c>
      <c r="E73" s="355">
        <f>AA26</f>
        <v>3.0330810810810807</v>
      </c>
      <c r="G73">
        <f>E73/SUM(E73:E74)</f>
        <v>0.79986315429353394</v>
      </c>
      <c r="P73" s="376" t="s">
        <v>96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>
      <c r="D74" s="131" t="s">
        <v>175</v>
      </c>
      <c r="E74" s="355">
        <f>AA27</f>
        <v>0.75891891891891894</v>
      </c>
      <c r="G74">
        <f>1-G73</f>
        <v>0.20013684570646606</v>
      </c>
      <c r="P74" s="376" t="s">
        <v>112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>
      <c r="D75" s="131" t="s">
        <v>462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>
      <c r="D76" s="131" t="s">
        <v>97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>
      <c r="D78" t="s">
        <v>567</v>
      </c>
    </row>
    <row r="79" spans="2:25">
      <c r="E79" t="s">
        <v>555</v>
      </c>
    </row>
    <row r="80" spans="2:25">
      <c r="E80" s="150" t="s">
        <v>453</v>
      </c>
      <c r="F80" s="150" t="s">
        <v>14</v>
      </c>
      <c r="G80" s="150" t="s">
        <v>12</v>
      </c>
      <c r="H80" s="150" t="s">
        <v>454</v>
      </c>
      <c r="I80" s="150" t="s">
        <v>153</v>
      </c>
      <c r="J80" s="150" t="s">
        <v>455</v>
      </c>
      <c r="K80" s="150" t="s">
        <v>324</v>
      </c>
    </row>
    <row r="81" spans="2:23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</row>
    <row r="82" spans="2:23">
      <c r="D82" s="131" t="s">
        <v>175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</row>
    <row r="83" spans="2:23">
      <c r="D83" s="131" t="s">
        <v>462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</row>
    <row r="84" spans="2:23">
      <c r="D84" s="131" t="s">
        <v>97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</row>
    <row r="87" spans="2:23">
      <c r="D87" t="s">
        <v>568</v>
      </c>
    </row>
    <row r="88" spans="2:23">
      <c r="E88" t="s">
        <v>555</v>
      </c>
    </row>
    <row r="89" spans="2:23">
      <c r="E89" s="150" t="s">
        <v>453</v>
      </c>
      <c r="F89" s="150" t="s">
        <v>14</v>
      </c>
      <c r="G89" s="150" t="s">
        <v>12</v>
      </c>
      <c r="H89" s="150" t="s">
        <v>454</v>
      </c>
      <c r="I89" s="150" t="s">
        <v>153</v>
      </c>
      <c r="J89" s="150" t="s">
        <v>455</v>
      </c>
      <c r="K89" s="150" t="s">
        <v>324</v>
      </c>
    </row>
    <row r="90" spans="2:23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</row>
    <row r="91" spans="2:23">
      <c r="D91" s="131" t="s">
        <v>175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</row>
    <row r="92" spans="2:23">
      <c r="D92" s="131" t="s">
        <v>462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</row>
    <row r="93" spans="2:23">
      <c r="D93" s="131" t="s">
        <v>97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</row>
    <row r="94" spans="2:23">
      <c r="P94" t="s">
        <v>556</v>
      </c>
      <c r="R94" s="427" t="s">
        <v>561</v>
      </c>
    </row>
    <row r="95" spans="2:23" ht="15.75" thickBot="1">
      <c r="P95" s="15"/>
      <c r="Q95" s="16"/>
      <c r="R95" s="16"/>
      <c r="S95" s="16"/>
      <c r="T95" s="16"/>
      <c r="U95" s="16"/>
      <c r="V95" s="16"/>
      <c r="W95" s="3"/>
    </row>
    <row r="96" spans="2:23">
      <c r="B96" s="434" t="s">
        <v>576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  <c r="P96" s="4"/>
      <c r="Q96" s="12"/>
      <c r="R96" s="429" t="s">
        <v>557</v>
      </c>
      <c r="S96" s="17" t="s">
        <v>398</v>
      </c>
      <c r="T96" s="17" t="s">
        <v>545</v>
      </c>
      <c r="U96" s="20" t="s">
        <v>3</v>
      </c>
      <c r="V96" s="12"/>
      <c r="W96" s="5"/>
    </row>
    <row r="97" spans="2:23" ht="15.75">
      <c r="B97" s="437"/>
      <c r="C97" s="12"/>
      <c r="D97" s="12"/>
      <c r="E97" s="12" t="s">
        <v>555</v>
      </c>
      <c r="F97" s="12"/>
      <c r="G97" s="12"/>
      <c r="H97" s="12"/>
      <c r="I97" s="12"/>
      <c r="J97" s="12"/>
      <c r="K97" s="12"/>
      <c r="L97" s="12"/>
      <c r="M97" s="438"/>
      <c r="P97" s="4" t="s">
        <v>14</v>
      </c>
      <c r="Q97" s="12" t="s">
        <v>330</v>
      </c>
      <c r="R97" s="430">
        <v>17312</v>
      </c>
      <c r="S97" s="17">
        <f>F114</f>
        <v>17383.575380289374</v>
      </c>
      <c r="T97" s="17"/>
      <c r="U97" s="431">
        <f>SUM(S97:T97)</f>
        <v>17383.575380289374</v>
      </c>
      <c r="V97" s="18">
        <f>U97/R97-1</f>
        <v>4.1344374011884621E-3</v>
      </c>
      <c r="W97" s="5"/>
    </row>
    <row r="98" spans="2:23">
      <c r="B98" s="437"/>
      <c r="C98" s="12"/>
      <c r="D98" s="12"/>
      <c r="E98" s="150" t="s">
        <v>453</v>
      </c>
      <c r="F98" s="150" t="s">
        <v>14</v>
      </c>
      <c r="G98" s="150" t="s">
        <v>11</v>
      </c>
      <c r="H98" s="150" t="s">
        <v>454</v>
      </c>
      <c r="I98" s="150" t="s">
        <v>153</v>
      </c>
      <c r="J98" s="150" t="s">
        <v>455</v>
      </c>
      <c r="K98" s="150" t="s">
        <v>324</v>
      </c>
      <c r="L98" s="475" t="s">
        <v>3</v>
      </c>
      <c r="M98" s="438"/>
      <c r="P98" s="4"/>
      <c r="Q98" s="12"/>
      <c r="R98" s="429"/>
      <c r="S98" s="17"/>
      <c r="T98" s="17"/>
      <c r="U98" s="431"/>
      <c r="V98" s="12"/>
      <c r="W98" s="5"/>
    </row>
    <row r="99" spans="2:23">
      <c r="B99" s="437" t="s">
        <v>581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>R113</f>
        <v>3.8314510321037716</v>
      </c>
      <c r="K99" s="439"/>
      <c r="L99" s="310">
        <f>SUM(E99:K99)</f>
        <v>19.731464993552517</v>
      </c>
      <c r="M99" s="438"/>
      <c r="P99" s="4"/>
      <c r="Q99" s="12"/>
      <c r="R99" s="429" t="s">
        <v>559</v>
      </c>
      <c r="S99" s="17"/>
      <c r="T99" s="17"/>
      <c r="U99" s="431"/>
      <c r="V99" s="12"/>
      <c r="W99" s="5"/>
    </row>
    <row r="100" spans="2:23">
      <c r="B100" s="437" t="s">
        <v>581</v>
      </c>
      <c r="C100" s="12"/>
      <c r="D100" s="131" t="s">
        <v>175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>J99</f>
        <v>3.8314510321037716</v>
      </c>
      <c r="K100" s="439"/>
      <c r="L100" s="310">
        <f>SUM(E100:K100)</f>
        <v>29.285529033072699</v>
      </c>
      <c r="M100" s="438"/>
      <c r="P100" s="4" t="s">
        <v>13</v>
      </c>
      <c r="Q100" s="12" t="s">
        <v>189</v>
      </c>
      <c r="R100" s="429">
        <v>2.91</v>
      </c>
      <c r="S100" s="285">
        <f>E114/24000</f>
        <v>1.9997765360520332</v>
      </c>
      <c r="T100" s="17">
        <v>2.75</v>
      </c>
      <c r="U100" s="431">
        <f>SUM(S100:T100)</f>
        <v>4.7497765360520336</v>
      </c>
      <c r="V100" s="18">
        <f>U100/R100-1</f>
        <v>0.63222561376358533</v>
      </c>
      <c r="W100" s="5"/>
    </row>
    <row r="101" spans="2:23">
      <c r="B101" s="437" t="s">
        <v>401</v>
      </c>
      <c r="C101" s="308">
        <v>0.2</v>
      </c>
      <c r="D101" s="131" t="s">
        <v>462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  <c r="P101" s="4"/>
      <c r="Q101" s="12"/>
      <c r="R101" s="429"/>
      <c r="S101" s="17"/>
      <c r="T101" s="17"/>
      <c r="U101" s="431"/>
      <c r="V101" s="12"/>
      <c r="W101" s="5"/>
    </row>
    <row r="102" spans="2:23">
      <c r="B102" s="437" t="s">
        <v>584</v>
      </c>
      <c r="C102" s="308">
        <v>0.6</v>
      </c>
      <c r="D102" s="131" t="s">
        <v>97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  <c r="P102" s="4"/>
      <c r="Q102" s="12"/>
      <c r="R102" s="429" t="s">
        <v>560</v>
      </c>
      <c r="S102" s="17"/>
      <c r="T102" s="17"/>
      <c r="U102" s="431"/>
      <c r="V102" s="12"/>
      <c r="W102" s="5"/>
    </row>
    <row r="103" spans="2:23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  <c r="P103" s="4" t="s">
        <v>569</v>
      </c>
      <c r="Q103" s="12" t="s">
        <v>189</v>
      </c>
      <c r="R103" s="429">
        <v>2.7</v>
      </c>
      <c r="S103" s="285"/>
      <c r="T103" s="17"/>
      <c r="U103" s="431"/>
      <c r="V103" s="18"/>
      <c r="W103" s="5"/>
    </row>
    <row r="104" spans="2:23" ht="15.75" thickBot="1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  <c r="P104" s="4"/>
      <c r="Q104" s="12"/>
      <c r="R104" s="429" t="s">
        <v>565</v>
      </c>
      <c r="S104" s="17"/>
      <c r="T104" s="17"/>
      <c r="U104" s="19"/>
      <c r="V104" s="12"/>
      <c r="W104" s="5"/>
    </row>
    <row r="105" spans="2:23">
      <c r="P105" s="4" t="s">
        <v>562</v>
      </c>
      <c r="Q105" s="12" t="s">
        <v>189</v>
      </c>
      <c r="R105" s="289">
        <f>Coke!J51/1000000</f>
        <v>2.0936980769230766</v>
      </c>
      <c r="S105" s="17"/>
      <c r="T105" s="12"/>
      <c r="U105" s="19"/>
      <c r="V105" s="12"/>
      <c r="W105" s="5"/>
    </row>
    <row r="106" spans="2:23">
      <c r="D106" t="s">
        <v>558</v>
      </c>
      <c r="G106">
        <v>30</v>
      </c>
      <c r="P106" s="4"/>
      <c r="Q106" s="12"/>
      <c r="R106" s="289"/>
      <c r="S106" s="17"/>
      <c r="T106" s="12"/>
      <c r="U106" s="19"/>
      <c r="V106" s="12"/>
      <c r="W106" s="5"/>
    </row>
    <row r="107" spans="2:23">
      <c r="E107" s="150" t="s">
        <v>453</v>
      </c>
      <c r="F107" s="150" t="s">
        <v>14</v>
      </c>
      <c r="G107" s="150" t="s">
        <v>12</v>
      </c>
      <c r="H107" s="150" t="s">
        <v>454</v>
      </c>
      <c r="I107" s="150" t="s">
        <v>153</v>
      </c>
      <c r="J107" s="150" t="s">
        <v>455</v>
      </c>
      <c r="K107" s="150" t="s">
        <v>324</v>
      </c>
      <c r="P107" s="4" t="s">
        <v>566</v>
      </c>
      <c r="Q107" s="12"/>
      <c r="R107" s="289">
        <f>R105</f>
        <v>2.0936980769230766</v>
      </c>
      <c r="S107" s="17">
        <f>G115</f>
        <v>0.99425904516627739</v>
      </c>
      <c r="T107" s="12">
        <v>1.43</v>
      </c>
      <c r="U107" s="431">
        <f>SUM(S107:T107)</f>
        <v>2.4242590451662771</v>
      </c>
      <c r="V107" s="18">
        <f>U107/R107-1</f>
        <v>0.15788378080233834</v>
      </c>
      <c r="W107" s="5"/>
    </row>
    <row r="108" spans="2:23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11.62110163856253</v>
      </c>
      <c r="K108" s="357">
        <f t="shared" si="16"/>
        <v>0</v>
      </c>
      <c r="P108" s="4"/>
      <c r="Q108" s="12"/>
      <c r="R108" s="308"/>
      <c r="S108" s="12"/>
      <c r="T108" s="12"/>
      <c r="U108" s="12"/>
      <c r="V108" s="12"/>
      <c r="W108" s="5"/>
    </row>
    <row r="109" spans="2:23">
      <c r="D109" s="131" t="s">
        <v>175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2.9077606751749707</v>
      </c>
      <c r="K109" s="357">
        <f t="shared" si="16"/>
        <v>0</v>
      </c>
      <c r="P109" s="7" t="s">
        <v>455</v>
      </c>
      <c r="Q109" s="8" t="s">
        <v>330</v>
      </c>
      <c r="R109">
        <v>15900</v>
      </c>
      <c r="S109" s="668">
        <f>J114</f>
        <v>15900</v>
      </c>
      <c r="T109" s="8"/>
      <c r="U109" s="431">
        <f>SUM(S109:T109)</f>
        <v>15900</v>
      </c>
      <c r="V109" s="18">
        <f>U109/R109-1</f>
        <v>0</v>
      </c>
      <c r="W109" s="9"/>
    </row>
    <row r="110" spans="2:23">
      <c r="D110" s="131" t="s">
        <v>462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>$E75*J101</f>
        <v>0.91644633864830771</v>
      </c>
      <c r="K110" s="357">
        <f t="shared" si="16"/>
        <v>0</v>
      </c>
    </row>
    <row r="111" spans="2:23">
      <c r="D111" s="131" t="s">
        <v>97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  <c r="R111" s="349">
        <f>R109/1000-J110-J111</f>
        <v>14.528862313737502</v>
      </c>
      <c r="S111" t="s">
        <v>1563</v>
      </c>
    </row>
    <row r="112" spans="2:23">
      <c r="R112" s="355">
        <f>SUM(E73:E74)</f>
        <v>3.7919999999999998</v>
      </c>
      <c r="S112" t="s">
        <v>1564</v>
      </c>
    </row>
    <row r="113" spans="4:19">
      <c r="D113" t="s">
        <v>142</v>
      </c>
      <c r="E113" s="342">
        <f t="shared" ref="E113:K113" si="17">SUM(E108:E111)</f>
        <v>47.994636865248793</v>
      </c>
      <c r="F113" s="342">
        <f t="shared" si="17"/>
        <v>17.383575380289376</v>
      </c>
      <c r="G113" s="342">
        <f t="shared" si="17"/>
        <v>29.827771354988322</v>
      </c>
      <c r="H113" s="342">
        <f t="shared" si="17"/>
        <v>0</v>
      </c>
      <c r="I113" s="342">
        <f t="shared" si="17"/>
        <v>2.9771921779499997</v>
      </c>
      <c r="J113" s="342">
        <f t="shared" si="17"/>
        <v>15.9</v>
      </c>
      <c r="K113" s="342">
        <f t="shared" si="17"/>
        <v>0</v>
      </c>
      <c r="R113" s="349">
        <f>R111/R112</f>
        <v>3.8314510321037716</v>
      </c>
    </row>
    <row r="114" spans="4:19">
      <c r="D114" t="s">
        <v>330</v>
      </c>
      <c r="E114" s="342">
        <f t="shared" ref="E114:K114" si="18">E113*1000</f>
        <v>47994.636865248794</v>
      </c>
      <c r="F114" s="342">
        <f t="shared" si="18"/>
        <v>17383.575380289374</v>
      </c>
      <c r="G114" s="342">
        <f t="shared" si="18"/>
        <v>29827.771354988323</v>
      </c>
      <c r="H114" s="342">
        <f t="shared" si="18"/>
        <v>0</v>
      </c>
      <c r="I114" s="342">
        <f t="shared" si="18"/>
        <v>2977.1921779499999</v>
      </c>
      <c r="J114" s="342">
        <f t="shared" si="18"/>
        <v>15900</v>
      </c>
      <c r="K114" s="342">
        <f t="shared" si="18"/>
        <v>0</v>
      </c>
    </row>
    <row r="115" spans="4:19">
      <c r="G115" s="421">
        <f>G113/G106</f>
        <v>0.99425904516627739</v>
      </c>
      <c r="H115" t="s">
        <v>189</v>
      </c>
      <c r="N115" s="349">
        <f>'AMSA - Saldanha'!B81</f>
        <v>242.57861307692306</v>
      </c>
      <c r="O115" t="s">
        <v>585</v>
      </c>
    </row>
    <row r="116" spans="4:19">
      <c r="E116" t="s">
        <v>589</v>
      </c>
    </row>
    <row r="118" spans="4:19">
      <c r="D118" s="131" t="s">
        <v>7</v>
      </c>
      <c r="E118" s="412">
        <f t="shared" ref="E118:K118" si="19">E99/$L99</f>
        <v>0.21945745439808531</v>
      </c>
      <c r="F118" s="368">
        <f t="shared" si="19"/>
        <v>0.10641268732607105</v>
      </c>
      <c r="G118" s="412">
        <f t="shared" si="19"/>
        <v>0.44982892124067309</v>
      </c>
      <c r="H118" s="412">
        <f t="shared" si="19"/>
        <v>0</v>
      </c>
      <c r="I118" s="412">
        <f t="shared" si="19"/>
        <v>3.0121182346112101E-2</v>
      </c>
      <c r="J118" s="412">
        <f t="shared" si="19"/>
        <v>0.19417975468905843</v>
      </c>
      <c r="K118" s="412">
        <f t="shared" si="19"/>
        <v>0</v>
      </c>
    </row>
    <row r="119" spans="4:19">
      <c r="D119" s="131" t="s">
        <v>175</v>
      </c>
      <c r="E119" s="412">
        <f t="shared" ref="E119:K119" si="20">E100/$L100</f>
        <v>0.70330244376593443</v>
      </c>
      <c r="F119" s="412">
        <f t="shared" si="20"/>
        <v>0.16586669339471435</v>
      </c>
      <c r="G119" s="412">
        <f t="shared" si="20"/>
        <v>0</v>
      </c>
      <c r="H119" s="412">
        <f t="shared" si="20"/>
        <v>0</v>
      </c>
      <c r="I119" s="412">
        <f t="shared" si="20"/>
        <v>0</v>
      </c>
      <c r="J119" s="412">
        <f t="shared" si="20"/>
        <v>0.13083086283935119</v>
      </c>
      <c r="K119" s="412">
        <f t="shared" si="20"/>
        <v>0</v>
      </c>
    </row>
    <row r="120" spans="4:19">
      <c r="D120" s="131" t="s">
        <v>462</v>
      </c>
      <c r="E120" s="412">
        <f t="shared" ref="E120:K120" si="21">E101/$L101</f>
        <v>0</v>
      </c>
      <c r="F120" s="412">
        <f t="shared" si="21"/>
        <v>0.74487768236857965</v>
      </c>
      <c r="G120" s="412">
        <f t="shared" si="21"/>
        <v>0</v>
      </c>
      <c r="H120" s="412">
        <f t="shared" si="21"/>
        <v>0</v>
      </c>
      <c r="I120" s="412">
        <f t="shared" si="21"/>
        <v>0.12863089961074112</v>
      </c>
      <c r="J120" s="412">
        <f>J101/$L101</f>
        <v>0.12649141802067926</v>
      </c>
      <c r="K120" s="412">
        <f t="shared" si="21"/>
        <v>0</v>
      </c>
    </row>
    <row r="121" spans="4:19">
      <c r="D121" s="131" t="s">
        <v>97</v>
      </c>
      <c r="E121" s="412">
        <f t="shared" ref="E121:K121" si="22">E102/$L102</f>
        <v>0.77646494405992639</v>
      </c>
      <c r="F121" s="412">
        <f t="shared" si="22"/>
        <v>7.8007640891601907E-2</v>
      </c>
      <c r="G121" s="412">
        <f t="shared" si="22"/>
        <v>0.11737260782301213</v>
      </c>
      <c r="H121" s="412">
        <f t="shared" si="22"/>
        <v>0</v>
      </c>
      <c r="I121" s="412">
        <f t="shared" si="22"/>
        <v>9.794992575659793E-3</v>
      </c>
      <c r="J121" s="412">
        <f t="shared" si="22"/>
        <v>1.8359814649799511E-2</v>
      </c>
      <c r="K121" s="412">
        <f t="shared" si="22"/>
        <v>0</v>
      </c>
    </row>
    <row r="122" spans="4:19">
      <c r="D122" s="448" t="s">
        <v>18</v>
      </c>
      <c r="E122" s="412">
        <f t="shared" ref="E122:K122" si="23">E103/$L103</f>
        <v>0.46153846153846151</v>
      </c>
      <c r="F122" s="412">
        <f t="shared" si="23"/>
        <v>0.46153846153846151</v>
      </c>
      <c r="G122" s="412">
        <f t="shared" si="23"/>
        <v>0</v>
      </c>
      <c r="H122" s="412">
        <f t="shared" si="23"/>
        <v>0</v>
      </c>
      <c r="I122" s="412">
        <f t="shared" si="23"/>
        <v>0</v>
      </c>
      <c r="J122" s="412">
        <f t="shared" si="23"/>
        <v>7.6923076923076913E-2</v>
      </c>
      <c r="K122" s="412">
        <f t="shared" si="23"/>
        <v>0</v>
      </c>
    </row>
    <row r="123" spans="4:19">
      <c r="M123" s="427" t="s">
        <v>577</v>
      </c>
    </row>
    <row r="124" spans="4:19">
      <c r="M124" s="445">
        <v>3.26</v>
      </c>
      <c r="N124" s="16" t="s">
        <v>435</v>
      </c>
      <c r="O124" s="446" t="s">
        <v>572</v>
      </c>
      <c r="P124" s="3"/>
    </row>
    <row r="125" spans="4:19">
      <c r="M125" s="4">
        <f>M124*3.6</f>
        <v>11.735999999999999</v>
      </c>
      <c r="N125" s="12" t="s">
        <v>142</v>
      </c>
      <c r="O125" s="12" t="s">
        <v>572</v>
      </c>
      <c r="P125" s="5"/>
    </row>
    <row r="126" spans="4:19">
      <c r="M126" s="447">
        <v>0.28899999999999998</v>
      </c>
      <c r="N126" s="392" t="s">
        <v>289</v>
      </c>
      <c r="O126" s="392" t="s">
        <v>573</v>
      </c>
      <c r="P126" s="5"/>
      <c r="R126" s="443">
        <f>M126/M124</f>
        <v>8.8650306748466259E-2</v>
      </c>
      <c r="S126" t="s">
        <v>582</v>
      </c>
    </row>
    <row r="127" spans="4:19">
      <c r="M127" s="7">
        <f>M126*3.6</f>
        <v>1.0404</v>
      </c>
      <c r="N127" s="8" t="s">
        <v>142</v>
      </c>
      <c r="O127" s="8" t="s">
        <v>573</v>
      </c>
      <c r="P127" s="9"/>
      <c r="R127">
        <f>R126/(SUM(E73:E74)/SUM(E73:E74,E76))</f>
        <v>0.11478718516217547</v>
      </c>
      <c r="S127" t="s">
        <v>583</v>
      </c>
    </row>
    <row r="129" spans="13:15">
      <c r="M129">
        <f>M125+M127</f>
        <v>12.776399999999999</v>
      </c>
      <c r="O129" t="s">
        <v>578</v>
      </c>
    </row>
    <row r="130" spans="13:15">
      <c r="M130">
        <f>M125</f>
        <v>11.735999999999999</v>
      </c>
      <c r="O130" t="s">
        <v>574</v>
      </c>
    </row>
    <row r="131" spans="13:15">
      <c r="M131" s="432">
        <f>F110</f>
        <v>5.3967331177829116</v>
      </c>
      <c r="O131" t="s">
        <v>579</v>
      </c>
    </row>
    <row r="132" spans="13:15">
      <c r="M132" s="355">
        <f>SUM(M130:M131)</f>
        <v>17.132733117782912</v>
      </c>
      <c r="O132" t="s">
        <v>575</v>
      </c>
    </row>
    <row r="133" spans="13:15">
      <c r="M133" s="444">
        <f>R97/1000</f>
        <v>17.312000000000001</v>
      </c>
      <c r="O133" t="s">
        <v>580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G55" workbookViewId="0">
      <selection activeCell="Y182" sqref="Y182"/>
    </sheetView>
  </sheetViews>
  <sheetFormatPr defaultRowHeight="1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>
      <c r="A2" s="2" t="s">
        <v>6</v>
      </c>
    </row>
    <row r="3" spans="1:30">
      <c r="N3" s="12"/>
      <c r="O3" s="12"/>
    </row>
    <row r="4" spans="1:30">
      <c r="N4" s="12"/>
      <c r="O4" s="12"/>
      <c r="P4" s="12"/>
    </row>
    <row r="5" spans="1:30">
      <c r="B5" s="15"/>
      <c r="C5" s="107" t="s">
        <v>159</v>
      </c>
      <c r="D5" s="107" t="s">
        <v>356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358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>
      <c r="B6" s="4"/>
      <c r="C6" s="110"/>
      <c r="D6" s="110" t="s">
        <v>357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>
      <c r="B7" s="4"/>
      <c r="C7" s="115" t="s">
        <v>184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185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>
      <c r="B8" s="121" t="s">
        <v>161</v>
      </c>
      <c r="C8" s="119" t="s">
        <v>162</v>
      </c>
      <c r="D8" s="119" t="s">
        <v>163</v>
      </c>
      <c r="E8" s="119" t="s">
        <v>164</v>
      </c>
      <c r="F8" s="119" t="s">
        <v>191</v>
      </c>
      <c r="G8" s="12"/>
      <c r="H8" s="12"/>
      <c r="I8" s="110"/>
      <c r="J8" s="12"/>
      <c r="K8" s="12"/>
      <c r="L8" s="12"/>
      <c r="M8" s="274" t="s">
        <v>165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>
      <c r="B9" s="122" t="s">
        <v>166</v>
      </c>
      <c r="C9" s="120"/>
      <c r="D9" s="120"/>
      <c r="E9" s="120"/>
      <c r="F9" s="12"/>
      <c r="G9" s="696" t="s">
        <v>613</v>
      </c>
      <c r="H9" s="696"/>
      <c r="I9" s="696"/>
      <c r="J9" s="696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>
      <c r="B10" s="123" t="s">
        <v>167</v>
      </c>
      <c r="C10" s="114" t="s">
        <v>168</v>
      </c>
      <c r="D10" s="114" t="s">
        <v>16</v>
      </c>
      <c r="E10" s="114" t="s">
        <v>24</v>
      </c>
      <c r="F10" s="12" t="s">
        <v>7</v>
      </c>
      <c r="G10" s="394" t="s">
        <v>499</v>
      </c>
      <c r="H10" s="458">
        <f>(110+150)*12/1000</f>
        <v>3.12</v>
      </c>
      <c r="I10" s="461" t="s">
        <v>500</v>
      </c>
      <c r="J10" s="460">
        <f>250*12/1000</f>
        <v>3</v>
      </c>
      <c r="K10" s="110" t="s">
        <v>519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>
      <c r="B11" s="123" t="s">
        <v>167</v>
      </c>
      <c r="C11" s="114" t="s">
        <v>168</v>
      </c>
      <c r="D11" s="114" t="s">
        <v>170</v>
      </c>
      <c r="E11" s="114" t="s">
        <v>1</v>
      </c>
      <c r="F11" s="12" t="s">
        <v>9</v>
      </c>
      <c r="G11" s="395" t="s">
        <v>523</v>
      </c>
      <c r="H11" s="459">
        <f>(87.5+29.2)*12/1000</f>
        <v>1.4004000000000001</v>
      </c>
      <c r="I11" s="461" t="s">
        <v>501</v>
      </c>
      <c r="J11" s="458">
        <f>120*12/1000</f>
        <v>1.44</v>
      </c>
      <c r="K11" s="110" t="s">
        <v>519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>
      <c r="B12" s="123" t="s">
        <v>167</v>
      </c>
      <c r="C12" s="114" t="s">
        <v>173</v>
      </c>
      <c r="D12" s="114" t="s">
        <v>16</v>
      </c>
      <c r="E12" s="114" t="s">
        <v>24</v>
      </c>
      <c r="F12" s="12" t="s">
        <v>7</v>
      </c>
      <c r="G12" s="394" t="s">
        <v>502</v>
      </c>
      <c r="I12" s="394" t="s">
        <v>500</v>
      </c>
      <c r="K12" s="110" t="s">
        <v>518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>
      <c r="B13" s="123" t="s">
        <v>167</v>
      </c>
      <c r="C13" s="114" t="s">
        <v>176</v>
      </c>
      <c r="D13" s="114" t="s">
        <v>177</v>
      </c>
      <c r="E13" s="114" t="s">
        <v>1</v>
      </c>
      <c r="F13" s="12" t="s">
        <v>8</v>
      </c>
      <c r="G13" s="12"/>
      <c r="I13" s="12"/>
      <c r="K13" s="110" t="s">
        <v>518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>P13</f>
        <v>0.4</v>
      </c>
      <c r="R13" s="110">
        <f>Q13</f>
        <v>0.4</v>
      </c>
      <c r="S13" s="110">
        <f>R13</f>
        <v>0.4</v>
      </c>
      <c r="T13" s="110">
        <f>S13</f>
        <v>0.4</v>
      </c>
      <c r="U13" s="110">
        <f>T13</f>
        <v>0.4</v>
      </c>
      <c r="V13" s="110"/>
      <c r="W13" s="110" t="s">
        <v>776</v>
      </c>
      <c r="X13" s="110"/>
      <c r="Y13" s="110"/>
      <c r="Z13" s="14"/>
      <c r="AD13" s="14"/>
    </row>
    <row r="14" spans="1:30">
      <c r="B14" s="123" t="s">
        <v>167</v>
      </c>
      <c r="C14" s="114" t="s">
        <v>179</v>
      </c>
      <c r="D14" s="114" t="s">
        <v>95</v>
      </c>
      <c r="E14" s="114" t="s">
        <v>97</v>
      </c>
      <c r="F14" s="130" t="s">
        <v>172</v>
      </c>
      <c r="G14" s="12"/>
      <c r="I14" s="12"/>
      <c r="K14" s="110" t="s">
        <v>519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>
      <c r="B15" s="123" t="s">
        <v>167</v>
      </c>
      <c r="C15" s="114" t="s">
        <v>179</v>
      </c>
      <c r="D15" s="114" t="s">
        <v>170</v>
      </c>
      <c r="E15" s="115" t="s">
        <v>97</v>
      </c>
      <c r="F15" s="130" t="s">
        <v>172</v>
      </c>
      <c r="G15" s="12"/>
      <c r="I15" s="12"/>
      <c r="K15" s="110" t="s">
        <v>519</v>
      </c>
      <c r="L15" s="12"/>
      <c r="M15" s="276">
        <v>0.56000000000000005</v>
      </c>
      <c r="N15" s="109">
        <f>M15</f>
        <v>0.56000000000000005</v>
      </c>
      <c r="O15" s="110">
        <f t="shared" ref="O15:U15" si="1">N15</f>
        <v>0.56000000000000005</v>
      </c>
      <c r="P15" s="110">
        <f t="shared" si="1"/>
        <v>0.56000000000000005</v>
      </c>
      <c r="Q15" s="110">
        <f t="shared" si="1"/>
        <v>0.56000000000000005</v>
      </c>
      <c r="R15" s="110">
        <f t="shared" si="1"/>
        <v>0.56000000000000005</v>
      </c>
      <c r="S15" s="110">
        <f t="shared" si="1"/>
        <v>0.56000000000000005</v>
      </c>
      <c r="T15" s="110">
        <f t="shared" si="1"/>
        <v>0.56000000000000005</v>
      </c>
      <c r="U15" s="111">
        <f t="shared" si="1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>
      <c r="B16" s="123" t="s">
        <v>181</v>
      </c>
      <c r="C16" s="114" t="s">
        <v>182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2">N16</f>
        <v>1</v>
      </c>
      <c r="P16" s="271">
        <f t="shared" si="2"/>
        <v>1</v>
      </c>
      <c r="Q16" s="271">
        <f t="shared" si="2"/>
        <v>1</v>
      </c>
      <c r="R16" s="271">
        <f t="shared" si="2"/>
        <v>1</v>
      </c>
      <c r="S16" s="271">
        <f t="shared" si="2"/>
        <v>1</v>
      </c>
      <c r="T16" s="271">
        <f t="shared" si="2"/>
        <v>1</v>
      </c>
      <c r="U16" s="325">
        <f t="shared" si="2"/>
        <v>1</v>
      </c>
      <c r="V16" s="110"/>
      <c r="W16" s="110" t="s">
        <v>610</v>
      </c>
      <c r="X16" s="110"/>
      <c r="Y16" s="110"/>
      <c r="Z16" s="14"/>
      <c r="AA16" s="14"/>
      <c r="AB16" s="14"/>
      <c r="AC16" s="14"/>
      <c r="AD16" s="14"/>
    </row>
    <row r="17" spans="2:33">
      <c r="B17" s="123" t="s">
        <v>183</v>
      </c>
      <c r="C17" s="114"/>
      <c r="D17" s="114" t="s">
        <v>177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3">N17</f>
        <v>1.3200000000000003</v>
      </c>
      <c r="P17" s="271">
        <f t="shared" si="3"/>
        <v>1.3200000000000003</v>
      </c>
      <c r="Q17" s="271">
        <f t="shared" si="3"/>
        <v>1.3200000000000003</v>
      </c>
      <c r="R17" s="271">
        <f t="shared" si="3"/>
        <v>1.3200000000000003</v>
      </c>
      <c r="S17" s="271">
        <f t="shared" si="3"/>
        <v>1.3200000000000003</v>
      </c>
      <c r="T17" s="271">
        <f t="shared" si="3"/>
        <v>1.3200000000000003</v>
      </c>
      <c r="U17" s="325">
        <f t="shared" si="3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>
      <c r="B23" s="126" t="s">
        <v>187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>
      <c r="B25" s="128" t="s">
        <v>186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188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4">SUMIFS(O$10:O$17,$F$10:$F$17,$B26)</f>
        <v>4.9000000000000004</v>
      </c>
      <c r="P26" s="143">
        <f t="shared" si="4"/>
        <v>4.9000000000000004</v>
      </c>
      <c r="Q26" s="143">
        <f t="shared" si="4"/>
        <v>4.9000000000000004</v>
      </c>
      <c r="R26" s="143">
        <f t="shared" si="4"/>
        <v>4.9000000000000004</v>
      </c>
      <c r="S26" s="143">
        <f t="shared" si="4"/>
        <v>4.9000000000000004</v>
      </c>
      <c r="T26" s="143">
        <f t="shared" si="4"/>
        <v>4.9000000000000004</v>
      </c>
      <c r="U26" s="326">
        <f t="shared" si="4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>
      <c r="B27" s="142" t="s">
        <v>172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5">SUMIFS(M$10:M$17,$F$10:$F$17,$B27)</f>
        <v>1.2400000000000002</v>
      </c>
      <c r="N27" s="143">
        <f t="shared" si="5"/>
        <v>1.2400000000000002</v>
      </c>
      <c r="O27" s="143">
        <f t="shared" si="5"/>
        <v>1.2400000000000002</v>
      </c>
      <c r="P27" s="143">
        <f t="shared" si="5"/>
        <v>1.2400000000000002</v>
      </c>
      <c r="Q27" s="143">
        <f t="shared" si="5"/>
        <v>1.2400000000000002</v>
      </c>
      <c r="R27" s="143">
        <f t="shared" si="5"/>
        <v>1.2400000000000002</v>
      </c>
      <c r="S27" s="143">
        <f t="shared" si="5"/>
        <v>1.2400000000000002</v>
      </c>
      <c r="T27" s="143">
        <f t="shared" si="5"/>
        <v>1.2400000000000002</v>
      </c>
      <c r="U27" s="326">
        <f t="shared" si="5"/>
        <v>1.2400000000000002</v>
      </c>
      <c r="V27" s="110"/>
      <c r="W27" s="14"/>
      <c r="X27" s="492" t="s">
        <v>172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5"/>
        <v>1.44</v>
      </c>
      <c r="N28" s="143">
        <f>SUMIFS(N$10:N$17,$F$10:$F$17,$B28)</f>
        <v>1.44</v>
      </c>
      <c r="O28" s="143">
        <f t="shared" si="5"/>
        <v>1.44</v>
      </c>
      <c r="P28" s="143">
        <f t="shared" si="5"/>
        <v>1.44</v>
      </c>
      <c r="Q28" s="143">
        <f t="shared" si="5"/>
        <v>1.44</v>
      </c>
      <c r="R28" s="143">
        <f t="shared" si="5"/>
        <v>1.44</v>
      </c>
      <c r="S28" s="143">
        <f t="shared" si="5"/>
        <v>1.44</v>
      </c>
      <c r="T28" s="143">
        <f t="shared" si="5"/>
        <v>1.44</v>
      </c>
      <c r="U28" s="326">
        <f t="shared" si="5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5"/>
        <v>1</v>
      </c>
      <c r="N29" s="143">
        <f t="shared" si="5"/>
        <v>1</v>
      </c>
      <c r="O29" s="143">
        <f t="shared" si="5"/>
        <v>1</v>
      </c>
      <c r="P29" s="143">
        <f t="shared" si="5"/>
        <v>1</v>
      </c>
      <c r="Q29" s="143">
        <f t="shared" si="5"/>
        <v>1</v>
      </c>
      <c r="R29" s="143">
        <f t="shared" si="5"/>
        <v>1</v>
      </c>
      <c r="S29" s="143">
        <f t="shared" si="5"/>
        <v>1</v>
      </c>
      <c r="T29" s="143">
        <f t="shared" si="5"/>
        <v>1</v>
      </c>
      <c r="U29" s="326">
        <f t="shared" si="5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5"/>
        <v>1.7200000000000002</v>
      </c>
      <c r="O30" s="143">
        <f t="shared" si="5"/>
        <v>1.7200000000000002</v>
      </c>
      <c r="P30" s="143">
        <f t="shared" si="5"/>
        <v>1.7200000000000002</v>
      </c>
      <c r="Q30" s="143">
        <f t="shared" si="5"/>
        <v>1.7200000000000002</v>
      </c>
      <c r="R30" s="143">
        <f t="shared" si="5"/>
        <v>1.7200000000000002</v>
      </c>
      <c r="S30" s="143">
        <f t="shared" si="5"/>
        <v>1.7200000000000002</v>
      </c>
      <c r="T30" s="143">
        <f t="shared" si="5"/>
        <v>1.7200000000000002</v>
      </c>
      <c r="U30" s="326">
        <f t="shared" si="5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6">SUM(N26:N30)</f>
        <v>10.3</v>
      </c>
      <c r="O31" s="127">
        <f t="shared" si="6"/>
        <v>10.3</v>
      </c>
      <c r="P31" s="127">
        <f t="shared" si="6"/>
        <v>10.3</v>
      </c>
      <c r="Q31" s="127">
        <f t="shared" si="6"/>
        <v>10.3</v>
      </c>
      <c r="R31" s="127">
        <f t="shared" si="6"/>
        <v>10.3</v>
      </c>
      <c r="S31" s="127">
        <f t="shared" si="6"/>
        <v>10.3</v>
      </c>
      <c r="T31" s="127">
        <f t="shared" si="6"/>
        <v>10.3</v>
      </c>
      <c r="U31" s="327">
        <f t="shared" si="6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>
      <c r="A35" s="2" t="s">
        <v>5</v>
      </c>
    </row>
    <row r="39" spans="1:30">
      <c r="B39" s="14" t="s">
        <v>1570</v>
      </c>
    </row>
    <row r="40" spans="1:30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>
      <c r="B42" s="697" t="s">
        <v>2</v>
      </c>
      <c r="C42" s="701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>
      <c r="B43" s="697"/>
      <c r="C43" s="701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>
      <c r="B44" s="697"/>
      <c r="C44" s="701"/>
      <c r="D44" s="12" t="s">
        <v>190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>
      <c r="B45" s="697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7">SUM(H42:H44)</f>
        <v>5357512</v>
      </c>
      <c r="I45" s="1">
        <f t="shared" si="7"/>
        <v>5138372</v>
      </c>
      <c r="J45" s="1">
        <f t="shared" si="7"/>
        <v>4044398</v>
      </c>
      <c r="K45" s="1">
        <f t="shared" si="7"/>
        <v>5265737</v>
      </c>
      <c r="L45" s="1">
        <f t="shared" si="7"/>
        <v>4603558</v>
      </c>
      <c r="M45" s="265">
        <f t="shared" si="7"/>
        <v>4599015</v>
      </c>
      <c r="N45" s="1">
        <f t="shared" si="7"/>
        <v>4927550</v>
      </c>
      <c r="O45" s="1">
        <f t="shared" si="7"/>
        <v>4401734</v>
      </c>
      <c r="P45" s="279">
        <f t="shared" si="7"/>
        <v>4463759</v>
      </c>
    </row>
    <row r="46" spans="1:30">
      <c r="B46" s="697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>
      <c r="B47" s="697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>
      <c r="B48" s="698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8">H47+H45</f>
        <v>7093426</v>
      </c>
      <c r="I48" s="13">
        <f t="shared" si="8"/>
        <v>6316297</v>
      </c>
      <c r="J48" s="13">
        <f t="shared" si="8"/>
        <v>5384118</v>
      </c>
      <c r="K48" s="13">
        <f t="shared" si="8"/>
        <v>6386189</v>
      </c>
      <c r="L48" s="13">
        <f t="shared" si="8"/>
        <v>6017722</v>
      </c>
      <c r="M48" s="266">
        <f t="shared" si="8"/>
        <v>6092435</v>
      </c>
      <c r="N48" s="13">
        <f t="shared" si="8"/>
        <v>6222550</v>
      </c>
      <c r="O48" s="13">
        <f t="shared" si="8"/>
        <v>6013264</v>
      </c>
      <c r="P48" s="280">
        <f t="shared" si="8"/>
        <v>5588730</v>
      </c>
    </row>
    <row r="49" spans="2:16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>
      <c r="B50" s="699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>
      <c r="B51" s="699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>
      <c r="B52" s="700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9">SUM(H50:H51)</f>
        <v>8985805</v>
      </c>
      <c r="I52" s="13">
        <f t="shared" si="9"/>
        <v>8154958</v>
      </c>
      <c r="J52" s="13">
        <f t="shared" si="9"/>
        <v>7483932</v>
      </c>
      <c r="K52" s="13">
        <f t="shared" si="9"/>
        <v>7616762</v>
      </c>
      <c r="L52" s="13">
        <f t="shared" si="9"/>
        <v>7546489</v>
      </c>
      <c r="M52" s="266">
        <f t="shared" si="9"/>
        <v>6938400</v>
      </c>
      <c r="N52" s="13">
        <f t="shared" si="9"/>
        <v>7161900</v>
      </c>
      <c r="O52" s="13">
        <f t="shared" si="9"/>
        <v>6412200</v>
      </c>
      <c r="P52" s="280">
        <f t="shared" si="9"/>
        <v>6398100</v>
      </c>
    </row>
    <row r="53" spans="2:16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>
      <c r="B54" s="699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>
      <c r="B55" s="699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>
      <c r="B56" s="700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0">SUM(H54:H55)</f>
        <v>8985805</v>
      </c>
      <c r="I56" s="13">
        <f t="shared" si="10"/>
        <v>8154958</v>
      </c>
      <c r="J56" s="13">
        <f t="shared" si="10"/>
        <v>7483932</v>
      </c>
      <c r="K56" s="13">
        <f t="shared" si="10"/>
        <v>7616762</v>
      </c>
      <c r="L56" s="13">
        <f t="shared" si="10"/>
        <v>7546489</v>
      </c>
      <c r="M56" s="266">
        <f t="shared" si="10"/>
        <v>6938400</v>
      </c>
      <c r="N56" s="13">
        <f t="shared" si="10"/>
        <v>7161900</v>
      </c>
      <c r="O56" s="13">
        <f t="shared" si="10"/>
        <v>6412200</v>
      </c>
      <c r="P56" s="280">
        <f t="shared" si="10"/>
        <v>6398100</v>
      </c>
    </row>
    <row r="57" spans="2:16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1">H56-H48</f>
        <v>1892379</v>
      </c>
      <c r="I58" s="1">
        <f t="shared" si="11"/>
        <v>1838661</v>
      </c>
      <c r="J58" s="1">
        <f t="shared" si="11"/>
        <v>2099814</v>
      </c>
      <c r="K58" s="1">
        <f t="shared" si="11"/>
        <v>1230573</v>
      </c>
      <c r="L58" s="1">
        <f t="shared" si="11"/>
        <v>1528767</v>
      </c>
      <c r="M58" s="265">
        <f>M56-M48</f>
        <v>845965</v>
      </c>
      <c r="N58" s="1">
        <f t="shared" si="11"/>
        <v>939350</v>
      </c>
      <c r="O58" s="1">
        <f t="shared" si="11"/>
        <v>398936</v>
      </c>
      <c r="P58" s="279">
        <f t="shared" si="11"/>
        <v>809370</v>
      </c>
    </row>
    <row r="59" spans="2:16">
      <c r="B59" s="4"/>
      <c r="C59" s="12"/>
      <c r="D59" s="12"/>
      <c r="E59" s="12"/>
      <c r="F59" s="12"/>
      <c r="G59" s="18">
        <f t="shared" ref="G59:P59" si="12">G58/G56</f>
        <v>0.17606549565546262</v>
      </c>
      <c r="H59" s="18">
        <f t="shared" si="12"/>
        <v>0.21059649079854281</v>
      </c>
      <c r="I59" s="18">
        <f t="shared" si="12"/>
        <v>0.22546541625352332</v>
      </c>
      <c r="J59" s="18">
        <f t="shared" si="12"/>
        <v>0.28057630667943001</v>
      </c>
      <c r="K59" s="18">
        <f t="shared" si="12"/>
        <v>0.16156117258226002</v>
      </c>
      <c r="L59" s="18">
        <f t="shared" si="12"/>
        <v>0.20257990172648499</v>
      </c>
      <c r="M59" s="267">
        <f t="shared" si="12"/>
        <v>0.12192508359275914</v>
      </c>
      <c r="N59" s="18">
        <f t="shared" si="12"/>
        <v>0.13115932922827742</v>
      </c>
      <c r="O59" s="18">
        <f t="shared" si="12"/>
        <v>6.2215152365802689E-2</v>
      </c>
      <c r="P59" s="281">
        <f t="shared" si="12"/>
        <v>0.12650161766774512</v>
      </c>
    </row>
    <row r="60" spans="2:16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>
      <c r="C62" t="s">
        <v>208</v>
      </c>
    </row>
    <row r="63" spans="2:16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>
      <c r="B64" s="4" t="s">
        <v>222</v>
      </c>
      <c r="C64" s="12" t="s">
        <v>168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3">H42-H66</f>
        <v>2230114.2857142859</v>
      </c>
      <c r="I64" s="21">
        <f t="shared" si="13"/>
        <v>2293950.6122448985</v>
      </c>
      <c r="J64" s="21">
        <f t="shared" si="13"/>
        <v>1949734.2857142859</v>
      </c>
      <c r="K64" s="21">
        <f t="shared" si="13"/>
        <v>2262445.1020408166</v>
      </c>
      <c r="L64" s="21">
        <f t="shared" si="13"/>
        <v>2065608.3673469389</v>
      </c>
      <c r="M64" s="270">
        <f t="shared" si="13"/>
        <v>2021074.8979591839</v>
      </c>
      <c r="N64" s="21">
        <f t="shared" si="13"/>
        <v>2202854.6938775512</v>
      </c>
      <c r="O64" s="21">
        <f t="shared" si="13"/>
        <v>1866320.8163265309</v>
      </c>
      <c r="P64" s="306">
        <f t="shared" si="13"/>
        <v>2173825.1020408166</v>
      </c>
    </row>
    <row r="65" spans="2:20">
      <c r="B65" s="4" t="s">
        <v>222</v>
      </c>
      <c r="C65" s="12" t="s">
        <v>168</v>
      </c>
      <c r="D65" s="12" t="s">
        <v>170</v>
      </c>
      <c r="E65" s="12" t="s">
        <v>1</v>
      </c>
      <c r="F65" s="12"/>
      <c r="G65" s="21">
        <f>G47-G69</f>
        <v>1262581.2</v>
      </c>
      <c r="H65" s="21">
        <f t="shared" ref="H65:P65" si="14">H47-H69</f>
        <v>1249858.08</v>
      </c>
      <c r="I65" s="21">
        <f t="shared" si="14"/>
        <v>848106</v>
      </c>
      <c r="J65" s="21">
        <f t="shared" si="14"/>
        <v>964598.39999999991</v>
      </c>
      <c r="K65" s="21">
        <f t="shared" si="14"/>
        <v>806725.44</v>
      </c>
      <c r="L65" s="21">
        <f t="shared" si="14"/>
        <v>1018198.08</v>
      </c>
      <c r="M65" s="270">
        <f t="shared" si="14"/>
        <v>1075262.3999999999</v>
      </c>
      <c r="N65" s="21">
        <f t="shared" si="14"/>
        <v>932400</v>
      </c>
      <c r="O65" s="21">
        <f t="shared" si="14"/>
        <v>1160301.6000000001</v>
      </c>
      <c r="P65" s="306">
        <f t="shared" si="14"/>
        <v>809979.12</v>
      </c>
    </row>
    <row r="66" spans="2:20">
      <c r="B66" s="4" t="s">
        <v>222</v>
      </c>
      <c r="C66" s="12" t="s">
        <v>173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15">H42*$M$12/($M$12+$M$10)</f>
        <v>1412405.7142857141</v>
      </c>
      <c r="I66" s="1">
        <f t="shared" si="15"/>
        <v>1452835.3877551018</v>
      </c>
      <c r="J66" s="1">
        <f t="shared" si="15"/>
        <v>1234831.7142857141</v>
      </c>
      <c r="K66" s="1">
        <f t="shared" si="15"/>
        <v>1432881.8979591834</v>
      </c>
      <c r="L66" s="1">
        <f t="shared" si="15"/>
        <v>1308218.6326530611</v>
      </c>
      <c r="M66" s="265">
        <f t="shared" si="15"/>
        <v>1280014.1020408161</v>
      </c>
      <c r="N66" s="1">
        <f t="shared" si="15"/>
        <v>1395141.3061224488</v>
      </c>
      <c r="O66" s="1">
        <f t="shared" si="15"/>
        <v>1182003.1836734691</v>
      </c>
      <c r="P66" s="279">
        <f t="shared" si="15"/>
        <v>1376755.8979591834</v>
      </c>
    </row>
    <row r="67" spans="2:20">
      <c r="B67" s="4" t="s">
        <v>222</v>
      </c>
      <c r="C67" s="12" t="s">
        <v>176</v>
      </c>
      <c r="D67" s="12" t="s">
        <v>177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>
      <c r="B68" s="4" t="s">
        <v>222</v>
      </c>
      <c r="C68" s="12" t="s">
        <v>179</v>
      </c>
      <c r="D68" s="12" t="s">
        <v>95</v>
      </c>
      <c r="E68" s="12" t="s">
        <v>97</v>
      </c>
      <c r="F68" s="12"/>
      <c r="G68" s="21">
        <f>G44</f>
        <v>739818</v>
      </c>
      <c r="H68" s="21">
        <f t="shared" ref="H68:P68" si="16">H44</f>
        <v>705428</v>
      </c>
      <c r="I68" s="21">
        <f t="shared" si="16"/>
        <v>460746</v>
      </c>
      <c r="J68" s="21">
        <f t="shared" si="16"/>
        <v>429916</v>
      </c>
      <c r="K68" s="21">
        <f t="shared" si="16"/>
        <v>584452</v>
      </c>
      <c r="L68" s="21">
        <f t="shared" si="16"/>
        <v>570129</v>
      </c>
      <c r="M68" s="270">
        <f t="shared" si="16"/>
        <v>677891</v>
      </c>
      <c r="N68" s="21">
        <f t="shared" si="16"/>
        <v>690642</v>
      </c>
      <c r="O68" s="21">
        <f t="shared" si="16"/>
        <v>687722</v>
      </c>
      <c r="P68" s="306">
        <f t="shared" si="16"/>
        <v>629943</v>
      </c>
    </row>
    <row r="69" spans="2:20">
      <c r="B69" s="4" t="s">
        <v>222</v>
      </c>
      <c r="C69" s="12" t="s">
        <v>179</v>
      </c>
      <c r="D69" s="12" t="s">
        <v>170</v>
      </c>
      <c r="E69" s="12" t="s">
        <v>97</v>
      </c>
      <c r="F69" s="12"/>
      <c r="G69" s="1">
        <f>G47*$M$15/($M$15+$M$11)</f>
        <v>491003.80000000005</v>
      </c>
      <c r="H69" s="1">
        <f t="shared" ref="H69:P69" si="17">H47*$M$15/($M$15+$M$11)</f>
        <v>486055.92000000004</v>
      </c>
      <c r="I69" s="1">
        <f t="shared" si="17"/>
        <v>329819.00000000006</v>
      </c>
      <c r="J69" s="1">
        <f t="shared" si="17"/>
        <v>375121.60000000003</v>
      </c>
      <c r="K69" s="1">
        <f t="shared" si="17"/>
        <v>313726.56000000006</v>
      </c>
      <c r="L69" s="1">
        <f t="shared" si="17"/>
        <v>395965.92000000004</v>
      </c>
      <c r="M69" s="265">
        <f t="shared" si="17"/>
        <v>418157.60000000003</v>
      </c>
      <c r="N69" s="1">
        <f t="shared" si="17"/>
        <v>362600.00000000006</v>
      </c>
      <c r="O69" s="1">
        <f t="shared" si="17"/>
        <v>451228.4</v>
      </c>
      <c r="P69" s="279">
        <f t="shared" si="17"/>
        <v>314991.88</v>
      </c>
    </row>
    <row r="70" spans="2:20">
      <c r="B70" s="4" t="s">
        <v>181</v>
      </c>
      <c r="C70" s="12" t="s">
        <v>182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18">H43</f>
        <v>1009564</v>
      </c>
      <c r="I70" s="21">
        <f t="shared" si="18"/>
        <v>930840</v>
      </c>
      <c r="J70" s="21">
        <f t="shared" si="18"/>
        <v>429916</v>
      </c>
      <c r="K70" s="21">
        <f t="shared" si="18"/>
        <v>985958</v>
      </c>
      <c r="L70" s="21">
        <f t="shared" si="18"/>
        <v>659602</v>
      </c>
      <c r="M70" s="270">
        <f t="shared" si="18"/>
        <v>620035</v>
      </c>
      <c r="N70" s="21">
        <f t="shared" si="18"/>
        <v>638912</v>
      </c>
      <c r="O70" s="21">
        <f t="shared" si="18"/>
        <v>665688</v>
      </c>
      <c r="P70" s="306">
        <f t="shared" si="18"/>
        <v>283235</v>
      </c>
    </row>
    <row r="71" spans="2:20">
      <c r="B71" s="4" t="s">
        <v>183</v>
      </c>
      <c r="C71" s="12"/>
      <c r="D71" s="12" t="s">
        <v>177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>
      <c r="B73" s="4"/>
      <c r="C73" s="12"/>
      <c r="D73" s="12"/>
      <c r="E73" s="12" t="s">
        <v>3</v>
      </c>
      <c r="F73" s="12"/>
      <c r="G73" s="21">
        <f t="shared" ref="G73:P73" si="19">SUM(G64:G71)</f>
        <v>7912509.9999999991</v>
      </c>
      <c r="H73" s="21">
        <f t="shared" si="19"/>
        <v>7093426</v>
      </c>
      <c r="I73" s="21">
        <f t="shared" si="19"/>
        <v>6316297</v>
      </c>
      <c r="J73" s="21">
        <f t="shared" si="19"/>
        <v>5384118</v>
      </c>
      <c r="K73" s="21">
        <f t="shared" si="19"/>
        <v>6386189</v>
      </c>
      <c r="L73" s="21">
        <f t="shared" si="19"/>
        <v>6017722</v>
      </c>
      <c r="M73" s="270">
        <f t="shared" si="19"/>
        <v>6092435</v>
      </c>
      <c r="N73" s="21">
        <f t="shared" si="19"/>
        <v>6222550</v>
      </c>
      <c r="O73" s="21">
        <f t="shared" si="19"/>
        <v>6013264.0000000009</v>
      </c>
      <c r="P73" s="306">
        <f t="shared" si="19"/>
        <v>5588730</v>
      </c>
    </row>
    <row r="74" spans="2:20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>
      <c r="B76" s="4" t="s">
        <v>222</v>
      </c>
      <c r="C76" s="12" t="s">
        <v>168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0">H50*(H64/(H64+H66))</f>
        <v>2768241.4285714286</v>
      </c>
      <c r="I76" s="1">
        <f t="shared" si="20"/>
        <v>2757719.3877551025</v>
      </c>
      <c r="J76" s="1">
        <f t="shared" si="20"/>
        <v>2420638.163265306</v>
      </c>
      <c r="K76" s="1">
        <f t="shared" si="20"/>
        <v>2673506.3265306121</v>
      </c>
      <c r="L76" s="1">
        <f t="shared" si="20"/>
        <v>2443889.387755102</v>
      </c>
      <c r="M76" s="265">
        <f>M50*(M64/(M64+M66))</f>
        <v>2390373.0612244899</v>
      </c>
      <c r="N76" s="1">
        <f t="shared" si="20"/>
        <v>2615478.3673469387</v>
      </c>
      <c r="O76" s="1">
        <f t="shared" si="20"/>
        <v>2218107.5510204085</v>
      </c>
      <c r="P76" s="279">
        <f t="shared" si="20"/>
        <v>2392354.8979591839</v>
      </c>
    </row>
    <row r="77" spans="2:20">
      <c r="B77" s="4" t="s">
        <v>222</v>
      </c>
      <c r="C77" s="12" t="s">
        <v>168</v>
      </c>
      <c r="D77" s="12" t="s">
        <v>170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>
      <c r="B78" s="4" t="s">
        <v>222</v>
      </c>
      <c r="C78" s="12" t="s">
        <v>173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1">H50-H82-H76</f>
        <v>743655.57142857136</v>
      </c>
      <c r="I78" s="21">
        <f t="shared" si="21"/>
        <v>815715.61224489752</v>
      </c>
      <c r="J78" s="21">
        <f t="shared" si="21"/>
        <v>1103154.836734694</v>
      </c>
      <c r="K78" s="21">
        <f t="shared" si="21"/>
        <v>707262.67346938793</v>
      </c>
      <c r="L78" s="21">
        <f t="shared" si="21"/>
        <v>888194.61224489799</v>
      </c>
      <c r="M78" s="270">
        <f t="shared" si="21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359</v>
      </c>
      <c r="S78" s="333"/>
      <c r="T78" s="333"/>
    </row>
    <row r="79" spans="2:20">
      <c r="B79" s="4" t="s">
        <v>222</v>
      </c>
      <c r="C79" s="12" t="s">
        <v>176</v>
      </c>
      <c r="D79" s="12" t="s">
        <v>177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>
      <c r="B80" s="4" t="s">
        <v>222</v>
      </c>
      <c r="C80" s="12" t="s">
        <v>179</v>
      </c>
      <c r="D80" s="12" t="s">
        <v>95</v>
      </c>
      <c r="E80" s="12" t="s">
        <v>97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>
      <c r="B81" s="4" t="s">
        <v>222</v>
      </c>
      <c r="C81" s="12" t="s">
        <v>179</v>
      </c>
      <c r="D81" s="12" t="s">
        <v>170</v>
      </c>
      <c r="E81" s="12" t="s">
        <v>97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>
      <c r="B82" s="4" t="s">
        <v>181</v>
      </c>
      <c r="C82" s="12" t="s">
        <v>182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2">H43</f>
        <v>1009564</v>
      </c>
      <c r="I82" s="21">
        <f t="shared" si="22"/>
        <v>930840</v>
      </c>
      <c r="J82" s="21">
        <f t="shared" si="22"/>
        <v>429916</v>
      </c>
      <c r="K82" s="21">
        <f t="shared" si="22"/>
        <v>985958</v>
      </c>
      <c r="L82" s="21">
        <f t="shared" si="22"/>
        <v>659602</v>
      </c>
      <c r="M82" s="270">
        <f t="shared" si="22"/>
        <v>620035</v>
      </c>
      <c r="N82" s="21">
        <f t="shared" si="22"/>
        <v>638912</v>
      </c>
      <c r="O82" s="21">
        <f t="shared" si="22"/>
        <v>665688</v>
      </c>
      <c r="P82" s="306">
        <f t="shared" si="22"/>
        <v>283235</v>
      </c>
    </row>
    <row r="83" spans="2:16">
      <c r="B83" s="4" t="s">
        <v>183</v>
      </c>
      <c r="C83" s="12"/>
      <c r="D83" s="12" t="s">
        <v>177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3">SUM(H76:H83)</f>
        <v>4521461</v>
      </c>
      <c r="I85" s="135">
        <f t="shared" si="23"/>
        <v>4504275</v>
      </c>
      <c r="J85" s="135">
        <f t="shared" si="23"/>
        <v>3953709</v>
      </c>
      <c r="K85" s="135">
        <f t="shared" si="23"/>
        <v>4366727</v>
      </c>
      <c r="L85" s="135">
        <f t="shared" si="23"/>
        <v>3991686</v>
      </c>
      <c r="M85" s="135">
        <f t="shared" si="23"/>
        <v>3904276</v>
      </c>
      <c r="N85" s="135">
        <f t="shared" si="23"/>
        <v>3256257.3673469387</v>
      </c>
      <c r="O85" s="135">
        <f t="shared" si="23"/>
        <v>2884727.5510204085</v>
      </c>
      <c r="P85" s="139">
        <f>SUM(P76:P83)</f>
        <v>2678246.8979591839</v>
      </c>
    </row>
    <row r="87" spans="2:16">
      <c r="B87" t="s">
        <v>36</v>
      </c>
    </row>
    <row r="88" spans="2:16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33</v>
      </c>
      <c r="N89" s="12"/>
      <c r="O89" s="12"/>
      <c r="P89" s="5"/>
    </row>
    <row r="90" spans="2:16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>
      <c r="B93" s="4"/>
      <c r="C93" s="12"/>
      <c r="D93" s="12" t="s">
        <v>34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>
      <c r="B95" s="4"/>
      <c r="C95" s="12"/>
      <c r="D95" s="12" t="s">
        <v>35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>
      <c r="B103" s="106" t="s">
        <v>160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>
      <c r="B104" s="109" t="s">
        <v>349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189</v>
      </c>
      <c r="N105" s="12"/>
      <c r="O105" s="12"/>
      <c r="P105" s="5"/>
    </row>
    <row r="106" spans="2:16">
      <c r="B106" s="121" t="s">
        <v>161</v>
      </c>
      <c r="C106" s="119" t="s">
        <v>162</v>
      </c>
      <c r="D106" s="119" t="s">
        <v>163</v>
      </c>
      <c r="E106" s="119" t="s">
        <v>164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>
      <c r="B107" s="122" t="s">
        <v>166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>
      <c r="B108" s="123" t="s">
        <v>167</v>
      </c>
      <c r="C108" s="114" t="s">
        <v>168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>
      <c r="B109" s="123" t="s">
        <v>167</v>
      </c>
      <c r="C109" s="114" t="s">
        <v>168</v>
      </c>
      <c r="D109" s="114" t="s">
        <v>170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>
      <c r="B110" s="123" t="s">
        <v>167</v>
      </c>
      <c r="C110" s="114" t="s">
        <v>173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>
      <c r="B111" s="123" t="s">
        <v>167</v>
      </c>
      <c r="C111" s="114" t="s">
        <v>176</v>
      </c>
      <c r="D111" s="114" t="s">
        <v>177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>
      <c r="B112" s="123" t="s">
        <v>167</v>
      </c>
      <c r="C112" s="114" t="s">
        <v>179</v>
      </c>
      <c r="D112" s="114" t="s">
        <v>95</v>
      </c>
      <c r="E112" s="114" t="s">
        <v>97</v>
      </c>
      <c r="F112" s="130" t="s">
        <v>172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>
      <c r="B113" s="123" t="s">
        <v>167</v>
      </c>
      <c r="C113" s="114" t="s">
        <v>179</v>
      </c>
      <c r="D113" s="114" t="s">
        <v>170</v>
      </c>
      <c r="E113" s="115" t="s">
        <v>97</v>
      </c>
      <c r="F113" s="130" t="s">
        <v>172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>
      <c r="B114" s="123" t="s">
        <v>181</v>
      </c>
      <c r="C114" s="114" t="s">
        <v>182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>
      <c r="B115" s="123" t="s">
        <v>183</v>
      </c>
      <c r="C115" s="114"/>
      <c r="D115" s="114" t="s">
        <v>177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>
      <c r="B119" t="s">
        <v>294</v>
      </c>
    </row>
    <row r="120" spans="2:26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>
      <c r="B122" s="4" t="s">
        <v>295</v>
      </c>
      <c r="C122" s="8" t="s">
        <v>296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>
      <c r="B123" s="4"/>
      <c r="C123" s="8" t="s">
        <v>5</v>
      </c>
      <c r="D123" s="8" t="s">
        <v>297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>
      <c r="B124" s="4"/>
      <c r="C124" s="283" t="s">
        <v>298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>
      <c r="B125" s="4" t="s">
        <v>138</v>
      </c>
      <c r="C125" s="8" t="s">
        <v>296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>
      <c r="B126" s="4"/>
      <c r="C126" s="8" t="s">
        <v>5</v>
      </c>
      <c r="D126" s="8" t="s">
        <v>297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>
      <c r="B127" s="4"/>
      <c r="C127" s="283" t="s">
        <v>298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>
      <c r="B128" s="4" t="s">
        <v>244</v>
      </c>
      <c r="C128" s="8" t="s">
        <v>296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>
      <c r="B129" s="4"/>
      <c r="C129" s="8" t="s">
        <v>5</v>
      </c>
      <c r="D129" s="8" t="s">
        <v>297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>
      <c r="B130" s="4"/>
      <c r="C130" s="283" t="s">
        <v>298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>
      <c r="B132" s="4"/>
      <c r="C132" s="20" t="s">
        <v>303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>
      <c r="B133" s="4"/>
      <c r="C133" s="20" t="s">
        <v>299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>
      <c r="B134" s="7"/>
      <c r="C134" s="290" t="s">
        <v>300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>
      <c r="B136" s="12"/>
      <c r="C136" s="20"/>
      <c r="D136" s="12"/>
      <c r="E136" s="12"/>
      <c r="F136" s="12"/>
      <c r="G136" s="12" t="s">
        <v>302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>
      <c r="B137" s="302" t="s">
        <v>161</v>
      </c>
      <c r="C137" s="303" t="s">
        <v>162</v>
      </c>
      <c r="D137" s="303" t="s">
        <v>163</v>
      </c>
      <c r="E137" s="303" t="s">
        <v>164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>
      <c r="B138" s="122" t="s">
        <v>166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321</v>
      </c>
      <c r="Q138" s="293"/>
      <c r="R138" s="293"/>
      <c r="S138" s="293"/>
      <c r="T138" s="12"/>
      <c r="U138" s="5"/>
    </row>
    <row r="139" spans="2:22">
      <c r="B139" s="123" t="s">
        <v>167</v>
      </c>
      <c r="C139" s="114" t="s">
        <v>168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>
      <c r="B140" s="123" t="s">
        <v>167</v>
      </c>
      <c r="C140" s="114" t="s">
        <v>168</v>
      </c>
      <c r="D140" s="114" t="s">
        <v>170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>
      <c r="B141" s="123" t="s">
        <v>167</v>
      </c>
      <c r="C141" s="114" t="s">
        <v>173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>
      <c r="B142" s="123" t="s">
        <v>167</v>
      </c>
      <c r="C142" s="114" t="s">
        <v>176</v>
      </c>
      <c r="D142" s="114" t="s">
        <v>177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305</v>
      </c>
    </row>
    <row r="143" spans="2:22">
      <c r="B143" s="123" t="s">
        <v>167</v>
      </c>
      <c r="C143" s="114" t="s">
        <v>179</v>
      </c>
      <c r="D143" s="114" t="s">
        <v>95</v>
      </c>
      <c r="E143" s="114" t="s">
        <v>97</v>
      </c>
      <c r="F143" s="130" t="s">
        <v>172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>
      <c r="B144" s="123" t="s">
        <v>167</v>
      </c>
      <c r="C144" s="114" t="s">
        <v>179</v>
      </c>
      <c r="D144" s="114" t="s">
        <v>170</v>
      </c>
      <c r="E144" s="115" t="s">
        <v>97</v>
      </c>
      <c r="F144" s="130" t="s">
        <v>172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>
      <c r="B145" s="123" t="s">
        <v>181</v>
      </c>
      <c r="C145" s="114" t="s">
        <v>182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615</v>
      </c>
    </row>
    <row r="146" spans="2:22">
      <c r="B146" s="123" t="s">
        <v>183</v>
      </c>
      <c r="C146" s="114"/>
      <c r="D146" s="114" t="s">
        <v>177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312</v>
      </c>
    </row>
    <row r="147" spans="2:22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>
      <c r="B150" s="466" t="s">
        <v>355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>
      <c r="B151" s="297" t="s">
        <v>304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>
      <c r="B152" s="123"/>
      <c r="C152" s="464" t="s">
        <v>5</v>
      </c>
      <c r="D152" s="464" t="s">
        <v>354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>
      <c r="B153" s="123"/>
      <c r="C153" s="450" t="s">
        <v>5</v>
      </c>
      <c r="D153" s="450" t="s">
        <v>320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>
      <c r="B154" s="123"/>
      <c r="C154" s="450"/>
      <c r="D154" s="450" t="s">
        <v>353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>
      <c r="B155" s="123"/>
      <c r="C155" s="457" t="s">
        <v>612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4">SUM(M152:M154)</f>
        <v>6.9</v>
      </c>
      <c r="N155" s="19">
        <f t="shared" si="24"/>
        <v>7.1</v>
      </c>
      <c r="O155" s="19">
        <f t="shared" si="24"/>
        <v>6.5</v>
      </c>
      <c r="P155" s="19">
        <f t="shared" si="24"/>
        <v>6.4</v>
      </c>
      <c r="Q155" s="456">
        <f t="shared" si="24"/>
        <v>6.1</v>
      </c>
      <c r="R155" s="456">
        <f t="shared" si="24"/>
        <v>6.3</v>
      </c>
      <c r="S155" s="456">
        <f t="shared" si="24"/>
        <v>6.3</v>
      </c>
      <c r="T155" s="12"/>
      <c r="U155" s="5"/>
    </row>
    <row r="156" spans="2:22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>
      <c r="B157" s="123"/>
      <c r="C157" s="450" t="s">
        <v>603</v>
      </c>
      <c r="D157" s="450" t="s">
        <v>604</v>
      </c>
      <c r="E157" s="450" t="s">
        <v>609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>
      <c r="B158" s="123"/>
      <c r="C158" s="450" t="s">
        <v>374</v>
      </c>
      <c r="D158" s="450" t="s">
        <v>605</v>
      </c>
      <c r="E158" s="450" t="s">
        <v>609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>
      <c r="B159" s="123"/>
      <c r="C159" s="450" t="s">
        <v>20</v>
      </c>
      <c r="D159" s="450" t="s">
        <v>605</v>
      </c>
      <c r="E159" s="450" t="s">
        <v>609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>
      <c r="B160" s="123"/>
      <c r="C160" s="457" t="s">
        <v>606</v>
      </c>
      <c r="D160" s="457" t="s">
        <v>605</v>
      </c>
      <c r="E160" s="457" t="s">
        <v>607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>
      <c r="B161" s="123"/>
      <c r="C161" s="457" t="s">
        <v>611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>
      <c r="B162" s="123"/>
      <c r="C162" s="114" t="s">
        <v>24</v>
      </c>
      <c r="D162" s="114" t="s">
        <v>605</v>
      </c>
      <c r="E162" s="114" t="s">
        <v>607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>
      <c r="B163" s="300"/>
      <c r="C163" s="124" t="s">
        <v>1</v>
      </c>
      <c r="D163" s="124" t="s">
        <v>605</v>
      </c>
      <c r="E163" s="124" t="s">
        <v>607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>
      <c r="B165" s="114"/>
      <c r="C165" s="468" t="s">
        <v>642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>
      <c r="B166" s="114"/>
      <c r="C166" s="468" t="s">
        <v>646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>
      <c r="B167" s="114"/>
      <c r="T167" s="12"/>
      <c r="U167" s="12"/>
    </row>
    <row r="168" spans="2:21">
      <c r="B168" s="114"/>
      <c r="U168" s="12"/>
    </row>
    <row r="169" spans="2:21">
      <c r="C169" s="457" t="s">
        <v>627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>
      <c r="B170" s="114" t="s">
        <v>167</v>
      </c>
      <c r="C170" s="114" t="s">
        <v>168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630</v>
      </c>
      <c r="U170" s="12"/>
    </row>
    <row r="171" spans="2:21">
      <c r="B171" s="114" t="s">
        <v>167</v>
      </c>
      <c r="C171" s="114" t="s">
        <v>168</v>
      </c>
      <c r="D171" s="114" t="s">
        <v>170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622</v>
      </c>
    </row>
    <row r="172" spans="2:21">
      <c r="B172" s="114" t="s">
        <v>167</v>
      </c>
      <c r="C172" s="114" t="s">
        <v>173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630</v>
      </c>
      <c r="U172" s="12"/>
    </row>
    <row r="173" spans="2:21">
      <c r="B173" s="114" t="s">
        <v>167</v>
      </c>
      <c r="C173" s="114" t="s">
        <v>176</v>
      </c>
      <c r="D173" s="114" t="s">
        <v>177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626</v>
      </c>
    </row>
    <row r="174" spans="2:21">
      <c r="B174" s="114" t="s">
        <v>167</v>
      </c>
      <c r="C174" s="114" t="s">
        <v>179</v>
      </c>
      <c r="D174" s="114" t="s">
        <v>616</v>
      </c>
      <c r="E174" s="114" t="s">
        <v>616</v>
      </c>
      <c r="F174" s="130"/>
      <c r="G174" s="130" t="s">
        <v>616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630</v>
      </c>
      <c r="U174" s="12"/>
    </row>
    <row r="175" spans="2:21">
      <c r="B175" s="114" t="s">
        <v>167</v>
      </c>
      <c r="C175" s="114" t="s">
        <v>179</v>
      </c>
      <c r="D175" s="114" t="s">
        <v>95</v>
      </c>
      <c r="E175" s="114" t="s">
        <v>97</v>
      </c>
      <c r="F175" s="130"/>
      <c r="G175" s="130" t="s">
        <v>172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25">Q$174*(Q186/Q$185)</f>
        <v>0.45165714285714281</v>
      </c>
      <c r="R175" s="294">
        <f t="shared" si="25"/>
        <v>0.60691428571428574</v>
      </c>
      <c r="S175" s="294">
        <f t="shared" si="25"/>
        <v>0.58954285714285715</v>
      </c>
      <c r="T175" s="12" t="s">
        <v>637</v>
      </c>
      <c r="U175" s="12"/>
    </row>
    <row r="176" spans="2:21">
      <c r="B176" s="114" t="s">
        <v>167</v>
      </c>
      <c r="C176" s="114" t="s">
        <v>179</v>
      </c>
      <c r="D176" s="114" t="s">
        <v>170</v>
      </c>
      <c r="E176" s="115" t="s">
        <v>97</v>
      </c>
      <c r="F176" s="130"/>
      <c r="G176" s="130" t="s">
        <v>172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25"/>
        <v>0.38034285714285715</v>
      </c>
      <c r="R176" s="294">
        <f t="shared" si="25"/>
        <v>0.51108571428571437</v>
      </c>
      <c r="S176" s="294">
        <f t="shared" si="25"/>
        <v>0.49645714285714293</v>
      </c>
      <c r="T176" s="12" t="s">
        <v>638</v>
      </c>
      <c r="U176" s="12"/>
    </row>
    <row r="177" spans="2:21">
      <c r="B177" s="114" t="s">
        <v>181</v>
      </c>
      <c r="C177" s="114" t="s">
        <v>182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614</v>
      </c>
    </row>
    <row r="178" spans="2:21">
      <c r="B178" s="114" t="s">
        <v>183</v>
      </c>
      <c r="C178" s="114"/>
      <c r="D178" s="114" t="s">
        <v>177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>
      <c r="B180" s="114"/>
      <c r="C180" s="457" t="s">
        <v>631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>
      <c r="B181" s="114" t="s">
        <v>167</v>
      </c>
      <c r="C181" s="114" t="s">
        <v>168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625</v>
      </c>
    </row>
    <row r="182" spans="2:21">
      <c r="B182" s="114" t="s">
        <v>167</v>
      </c>
      <c r="C182" s="114" t="s">
        <v>168</v>
      </c>
      <c r="D182" s="114" t="s">
        <v>170</v>
      </c>
      <c r="E182" s="114" t="s">
        <v>1</v>
      </c>
      <c r="F182" s="12"/>
      <c r="G182" s="114" t="s">
        <v>170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624</v>
      </c>
      <c r="U182" s="12" t="s">
        <v>623</v>
      </c>
    </row>
    <row r="183" spans="2:21">
      <c r="B183" s="114" t="s">
        <v>167</v>
      </c>
      <c r="C183" s="114" t="s">
        <v>173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630</v>
      </c>
      <c r="U183" s="12" t="s">
        <v>222</v>
      </c>
    </row>
    <row r="184" spans="2:21">
      <c r="B184" s="114" t="s">
        <v>167</v>
      </c>
      <c r="C184" s="114" t="s">
        <v>176</v>
      </c>
      <c r="D184" s="114" t="s">
        <v>177</v>
      </c>
      <c r="E184" s="114" t="s">
        <v>1</v>
      </c>
      <c r="F184" s="12"/>
      <c r="G184" s="114" t="s">
        <v>177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>
      <c r="B185" s="114" t="s">
        <v>167</v>
      </c>
      <c r="C185" s="114" t="s">
        <v>179</v>
      </c>
      <c r="D185" s="114" t="s">
        <v>616</v>
      </c>
      <c r="E185" s="114" t="s">
        <v>616</v>
      </c>
      <c r="F185" s="130"/>
      <c r="G185" s="114" t="s">
        <v>616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>
      <c r="B186" s="114" t="s">
        <v>167</v>
      </c>
      <c r="C186" s="114" t="s">
        <v>179</v>
      </c>
      <c r="D186" s="114" t="s">
        <v>95</v>
      </c>
      <c r="E186" s="114" t="s">
        <v>97</v>
      </c>
      <c r="F186" s="130"/>
      <c r="G186" s="114" t="s">
        <v>95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>
      <c r="B187" s="114" t="s">
        <v>167</v>
      </c>
      <c r="C187" s="114" t="s">
        <v>179</v>
      </c>
      <c r="D187" s="114" t="s">
        <v>170</v>
      </c>
      <c r="E187" s="115" t="s">
        <v>97</v>
      </c>
      <c r="F187" s="130"/>
      <c r="G187" s="114" t="s">
        <v>170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>
      <c r="B188" s="114" t="s">
        <v>181</v>
      </c>
      <c r="C188" s="114" t="s">
        <v>182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>
      <c r="B189" s="114" t="s">
        <v>183</v>
      </c>
      <c r="C189" s="114"/>
      <c r="D189" s="114" t="s">
        <v>177</v>
      </c>
      <c r="E189" s="114" t="s">
        <v>1</v>
      </c>
      <c r="F189" s="12"/>
      <c r="G189" s="114" t="s">
        <v>177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>
      <c r="B191" s="114"/>
      <c r="C191" s="114" t="s">
        <v>632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>
      <c r="B192" s="114" t="s">
        <v>167</v>
      </c>
      <c r="C192" s="114" t="s">
        <v>168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633</v>
      </c>
      <c r="U192" s="12"/>
    </row>
    <row r="193" spans="2:21">
      <c r="B193" s="114"/>
      <c r="C193" s="114" t="s">
        <v>639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>
      <c r="B194" s="114" t="s">
        <v>183</v>
      </c>
      <c r="C194" s="114"/>
      <c r="D194" s="114" t="s">
        <v>177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633</v>
      </c>
      <c r="U194" s="12"/>
    </row>
    <row r="195" spans="2:21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>
      <c r="B196" s="114"/>
      <c r="C196" s="457" t="s">
        <v>634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>
      <c r="B197" s="114"/>
      <c r="C197" s="114" t="s">
        <v>628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>
      <c r="B198" s="114"/>
      <c r="C198" s="114" t="s">
        <v>629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>
      <c r="B199" s="114"/>
      <c r="C199" s="468" t="s">
        <v>645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>
      <c r="B200" s="114"/>
      <c r="C200" s="114" t="s">
        <v>636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>
      <c r="B201" s="114"/>
      <c r="C201" s="114" t="s">
        <v>635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>
      <c r="B202" s="114"/>
      <c r="C202" s="457" t="s">
        <v>643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>
      <c r="B203" s="114"/>
      <c r="C203" s="114" t="s">
        <v>640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>
      <c r="B204" s="114"/>
      <c r="C204" s="114" t="s">
        <v>641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>
      <c r="B205" s="114"/>
      <c r="C205" s="457" t="s">
        <v>644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>
      <c r="B206" s="114" t="s">
        <v>167</v>
      </c>
      <c r="C206" s="114" t="s">
        <v>168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>
      <c r="B207" s="114" t="s">
        <v>167</v>
      </c>
      <c r="C207" s="114" t="s">
        <v>168</v>
      </c>
      <c r="D207" s="114" t="s">
        <v>170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>
      <c r="B208" s="114" t="s">
        <v>167</v>
      </c>
      <c r="C208" s="114" t="s">
        <v>173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>
      <c r="B209" s="114" t="s">
        <v>167</v>
      </c>
      <c r="C209" s="114" t="s">
        <v>176</v>
      </c>
      <c r="D209" s="114" t="s">
        <v>177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>
      <c r="B210" s="114" t="s">
        <v>167</v>
      </c>
      <c r="C210" s="114" t="s">
        <v>179</v>
      </c>
      <c r="D210" s="114" t="s">
        <v>616</v>
      </c>
      <c r="E210" s="114" t="s">
        <v>616</v>
      </c>
      <c r="F210" s="130"/>
      <c r="G210" s="130" t="s">
        <v>616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>
      <c r="B211" s="114" t="s">
        <v>167</v>
      </c>
      <c r="C211" s="114" t="s">
        <v>179</v>
      </c>
      <c r="D211" s="114" t="s">
        <v>95</v>
      </c>
      <c r="E211" s="114" t="s">
        <v>97</v>
      </c>
      <c r="F211" s="130"/>
      <c r="G211" s="130" t="s">
        <v>172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>
      <c r="B212" s="114" t="s">
        <v>167</v>
      </c>
      <c r="C212" s="114" t="s">
        <v>179</v>
      </c>
      <c r="D212" s="114" t="s">
        <v>170</v>
      </c>
      <c r="E212" s="115" t="s">
        <v>97</v>
      </c>
      <c r="F212" s="130"/>
      <c r="G212" s="130" t="s">
        <v>172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>
      <c r="B213" s="114" t="s">
        <v>181</v>
      </c>
      <c r="C213" s="114" t="s">
        <v>182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>
      <c r="B214" s="114" t="s">
        <v>183</v>
      </c>
      <c r="C214" s="114"/>
      <c r="D214" s="114" t="s">
        <v>177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>
      <c r="B217" s="313" t="s">
        <v>306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>
      <c r="B218" s="297" t="s">
        <v>167</v>
      </c>
      <c r="C218" s="298" t="s">
        <v>168</v>
      </c>
      <c r="D218" s="298" t="s">
        <v>16</v>
      </c>
      <c r="E218" s="298" t="s">
        <v>24</v>
      </c>
      <c r="F218" s="16"/>
      <c r="G218" s="16"/>
      <c r="H218" s="314" t="s">
        <v>309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310</v>
      </c>
    </row>
    <row r="219" spans="2:22">
      <c r="B219" s="123" t="s">
        <v>167</v>
      </c>
      <c r="C219" s="114" t="s">
        <v>168</v>
      </c>
      <c r="D219" s="114" t="s">
        <v>170</v>
      </c>
      <c r="E219" s="114" t="s">
        <v>1</v>
      </c>
      <c r="F219" s="12"/>
      <c r="G219" s="12"/>
      <c r="H219" s="307" t="s">
        <v>309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310</v>
      </c>
    </row>
    <row r="220" spans="2:22">
      <c r="B220" s="123" t="s">
        <v>167</v>
      </c>
      <c r="C220" s="114" t="s">
        <v>173</v>
      </c>
      <c r="D220" s="114" t="s">
        <v>16</v>
      </c>
      <c r="E220" s="114" t="s">
        <v>24</v>
      </c>
      <c r="F220" s="12"/>
      <c r="G220" s="12"/>
      <c r="H220" s="307" t="s">
        <v>309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310</v>
      </c>
    </row>
    <row r="221" spans="2:22">
      <c r="B221" s="123" t="s">
        <v>167</v>
      </c>
      <c r="C221" s="114" t="s">
        <v>176</v>
      </c>
      <c r="D221" s="114" t="s">
        <v>177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>
      <c r="B222" s="123" t="s">
        <v>167</v>
      </c>
      <c r="C222" s="114" t="s">
        <v>179</v>
      </c>
      <c r="D222" s="114" t="s">
        <v>95</v>
      </c>
      <c r="E222" s="114" t="s">
        <v>97</v>
      </c>
      <c r="F222" s="12"/>
      <c r="G222" s="130"/>
      <c r="H222" s="307" t="s">
        <v>307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308</v>
      </c>
    </row>
    <row r="223" spans="2:22">
      <c r="B223" s="123" t="s">
        <v>167</v>
      </c>
      <c r="C223" s="114" t="s">
        <v>179</v>
      </c>
      <c r="D223" s="114" t="s">
        <v>170</v>
      </c>
      <c r="E223" s="115" t="s">
        <v>97</v>
      </c>
      <c r="F223" s="12"/>
      <c r="G223" s="130"/>
      <c r="H223" s="12" t="s">
        <v>307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308</v>
      </c>
    </row>
    <row r="224" spans="2:22">
      <c r="B224" s="123" t="s">
        <v>181</v>
      </c>
      <c r="C224" s="114" t="s">
        <v>182</v>
      </c>
      <c r="D224" s="114" t="s">
        <v>17</v>
      </c>
      <c r="E224" s="114" t="s">
        <v>24</v>
      </c>
      <c r="F224" s="12"/>
      <c r="G224" s="12"/>
      <c r="H224" s="307" t="s">
        <v>307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>
      <c r="B225" s="123" t="s">
        <v>183</v>
      </c>
      <c r="C225" s="114"/>
      <c r="D225" s="114" t="s">
        <v>177</v>
      </c>
      <c r="E225" s="114" t="s">
        <v>1</v>
      </c>
      <c r="F225" s="12"/>
      <c r="G225" s="12"/>
      <c r="H225" s="307" t="s">
        <v>309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>
      <c r="B228" s="369" t="s">
        <v>311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>
      <c r="B229" s="123" t="s">
        <v>167</v>
      </c>
      <c r="C229" s="114" t="s">
        <v>168</v>
      </c>
      <c r="D229" s="114" t="s">
        <v>16</v>
      </c>
      <c r="E229" s="114" t="s">
        <v>24</v>
      </c>
      <c r="F229" s="12" t="s">
        <v>7</v>
      </c>
      <c r="G229" s="12"/>
      <c r="H229" s="307" t="s">
        <v>307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>
      <c r="B230" s="123" t="s">
        <v>167</v>
      </c>
      <c r="C230" s="114" t="s">
        <v>168</v>
      </c>
      <c r="D230" s="114" t="s">
        <v>170</v>
      </c>
      <c r="E230" s="114" t="s">
        <v>1</v>
      </c>
      <c r="F230" s="12" t="s">
        <v>9</v>
      </c>
      <c r="G230" s="12"/>
      <c r="H230" s="307" t="s">
        <v>307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>
      <c r="B231" s="123" t="s">
        <v>167</v>
      </c>
      <c r="C231" s="114" t="s">
        <v>173</v>
      </c>
      <c r="D231" s="114" t="s">
        <v>16</v>
      </c>
      <c r="E231" s="114" t="s">
        <v>24</v>
      </c>
      <c r="F231" s="12" t="s">
        <v>7</v>
      </c>
      <c r="G231" s="12"/>
      <c r="H231" s="307" t="s">
        <v>307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>
      <c r="B232" s="123" t="s">
        <v>167</v>
      </c>
      <c r="C232" s="114" t="s">
        <v>176</v>
      </c>
      <c r="D232" s="114" t="s">
        <v>177</v>
      </c>
      <c r="E232" s="114" t="s">
        <v>1</v>
      </c>
      <c r="F232" s="12" t="s">
        <v>8</v>
      </c>
      <c r="G232" s="12"/>
      <c r="H232" s="307" t="s">
        <v>307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>
      <c r="B233" s="123" t="s">
        <v>167</v>
      </c>
      <c r="C233" s="114" t="s">
        <v>179</v>
      </c>
      <c r="D233" s="114" t="s">
        <v>95</v>
      </c>
      <c r="E233" s="114" t="s">
        <v>97</v>
      </c>
      <c r="F233" s="130" t="s">
        <v>172</v>
      </c>
      <c r="G233" s="12"/>
      <c r="H233" s="307" t="s">
        <v>307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>
      <c r="B234" s="123" t="s">
        <v>167</v>
      </c>
      <c r="C234" s="114" t="s">
        <v>179</v>
      </c>
      <c r="D234" s="114" t="s">
        <v>170</v>
      </c>
      <c r="E234" s="115" t="s">
        <v>97</v>
      </c>
      <c r="F234" s="130" t="s">
        <v>172</v>
      </c>
      <c r="G234" s="12"/>
      <c r="H234" s="307" t="s">
        <v>307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>
      <c r="B235" s="123" t="s">
        <v>181</v>
      </c>
      <c r="C235" s="114" t="s">
        <v>182</v>
      </c>
      <c r="D235" s="114" t="s">
        <v>17</v>
      </c>
      <c r="E235" s="114" t="s">
        <v>24</v>
      </c>
      <c r="F235" s="12" t="s">
        <v>10</v>
      </c>
      <c r="G235" s="12"/>
      <c r="H235" s="307" t="s">
        <v>307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>
      <c r="B236" s="300" t="s">
        <v>183</v>
      </c>
      <c r="C236" s="124"/>
      <c r="D236" s="124" t="s">
        <v>177</v>
      </c>
      <c r="E236" s="124" t="s">
        <v>1</v>
      </c>
      <c r="F236" s="8" t="s">
        <v>8</v>
      </c>
      <c r="G236" s="8"/>
      <c r="H236" s="321" t="s">
        <v>307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>
      <c r="B239" s="126" t="s">
        <v>319</v>
      </c>
    </row>
    <row r="240" spans="2:22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>
      <c r="B241" s="6" t="s">
        <v>207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94" t="s">
        <v>530</v>
      </c>
      <c r="O241" s="695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26">M242*(N$247/M$247)</f>
        <v>3.3760806916426511</v>
      </c>
      <c r="O242" s="420">
        <f t="shared" si="26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27">SUMIFS(R$108:R$236,$F$108:$F$236,$B242)</f>
        <v>3.0330810810810807</v>
      </c>
      <c r="S242" s="312">
        <f t="shared" si="27"/>
        <v>3.2032972972972971</v>
      </c>
      <c r="T242" s="312">
        <f t="shared" si="27"/>
        <v>3.0300947810555652</v>
      </c>
      <c r="U242" s="312">
        <f t="shared" si="27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>
      <c r="B243" s="144" t="s">
        <v>172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26"/>
        <v>1.2378962536023055</v>
      </c>
      <c r="O243" s="420">
        <f t="shared" si="26"/>
        <v>1.13328530259366</v>
      </c>
      <c r="P243" s="312">
        <f t="shared" si="27"/>
        <v>0.96299999999999997</v>
      </c>
      <c r="Q243" s="312">
        <f t="shared" si="27"/>
        <v>0.83199999999999996</v>
      </c>
      <c r="R243" s="312">
        <f t="shared" si="27"/>
        <v>1.1180000000000001</v>
      </c>
      <c r="S243" s="312">
        <f t="shared" si="27"/>
        <v>1.0860000000000001</v>
      </c>
      <c r="T243" s="312">
        <f t="shared" si="27"/>
        <v>1.0860000000000001</v>
      </c>
      <c r="U243" s="312">
        <f t="shared" si="27"/>
        <v>0</v>
      </c>
      <c r="V243" s="5"/>
      <c r="Y243" s="493" t="s">
        <v>172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26"/>
        <v>0.88976945244956762</v>
      </c>
      <c r="P244" s="312">
        <f t="shared" si="27"/>
        <v>0.77481081081081082</v>
      </c>
      <c r="Q244" s="312">
        <f t="shared" si="27"/>
        <v>0.77481081081081082</v>
      </c>
      <c r="R244" s="312">
        <f t="shared" si="27"/>
        <v>0.75891891891891894</v>
      </c>
      <c r="S244" s="312">
        <f t="shared" si="27"/>
        <v>0.80270270270270283</v>
      </c>
      <c r="T244" s="312">
        <f t="shared" si="27"/>
        <v>0.80270270270270283</v>
      </c>
      <c r="U244" s="312">
        <f t="shared" si="27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26"/>
        <v>0.63429394812680118</v>
      </c>
      <c r="O245" s="420">
        <f t="shared" si="26"/>
        <v>0.5806916426512968</v>
      </c>
      <c r="P245" s="312">
        <f t="shared" si="27"/>
        <v>0.1360000000000007</v>
      </c>
      <c r="Q245" s="312">
        <f t="shared" si="27"/>
        <v>0</v>
      </c>
      <c r="R245" s="312">
        <f t="shared" si="27"/>
        <v>0</v>
      </c>
      <c r="S245" s="312">
        <f t="shared" si="27"/>
        <v>0</v>
      </c>
      <c r="T245" s="312">
        <f t="shared" si="27"/>
        <v>0</v>
      </c>
      <c r="U245" s="312">
        <f t="shared" si="27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26"/>
        <v>0.87982708933717579</v>
      </c>
      <c r="O246" s="420">
        <f t="shared" si="26"/>
        <v>0.8054755043227666</v>
      </c>
      <c r="P246" s="312">
        <f t="shared" si="27"/>
        <v>1.3620000000000003</v>
      </c>
      <c r="Q246" s="312">
        <f t="shared" si="27"/>
        <v>1.3200000000000003</v>
      </c>
      <c r="R246" s="312">
        <f t="shared" si="27"/>
        <v>1.3200000000000003</v>
      </c>
      <c r="S246" s="312">
        <f t="shared" si="27"/>
        <v>1.2079999999999993</v>
      </c>
      <c r="T246" s="312">
        <f t="shared" si="27"/>
        <v>1.2079999999999993</v>
      </c>
      <c r="U246" s="312">
        <f t="shared" si="27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>
      <c r="B247" s="129" t="s">
        <v>301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28">SUM(P242:P246)</f>
        <v>6.4000000000000012</v>
      </c>
      <c r="Q247" s="296">
        <f t="shared" si="28"/>
        <v>6.0910000000000002</v>
      </c>
      <c r="R247" s="296">
        <f t="shared" si="28"/>
        <v>6.23</v>
      </c>
      <c r="S247" s="296">
        <f t="shared" si="28"/>
        <v>6.3</v>
      </c>
      <c r="T247" s="414">
        <f t="shared" si="28"/>
        <v>6.1267974837582679</v>
      </c>
      <c r="U247" s="329">
        <f t="shared" si="28"/>
        <v>5.0030232389251985</v>
      </c>
      <c r="V247" s="5"/>
      <c r="Y247" s="493" t="s">
        <v>301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>
      <c r="B252" t="s">
        <v>316</v>
      </c>
    </row>
    <row r="253" spans="2:31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>
      <c r="B254" s="4" t="s">
        <v>313</v>
      </c>
      <c r="C254" s="12" t="s">
        <v>307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29">M31</f>
        <v>10.3</v>
      </c>
      <c r="N254" s="12">
        <f t="shared" si="29"/>
        <v>10.3</v>
      </c>
      <c r="O254" s="12">
        <f t="shared" si="29"/>
        <v>10.3</v>
      </c>
      <c r="P254" s="12">
        <f t="shared" si="29"/>
        <v>10.3</v>
      </c>
      <c r="Q254" s="12">
        <f t="shared" si="29"/>
        <v>10.3</v>
      </c>
      <c r="R254" s="12">
        <f t="shared" si="29"/>
        <v>10.3</v>
      </c>
      <c r="S254" s="12">
        <f t="shared" si="29"/>
        <v>10.3</v>
      </c>
      <c r="T254" s="12">
        <f t="shared" si="29"/>
        <v>10.3</v>
      </c>
      <c r="U254" s="12">
        <f t="shared" si="29"/>
        <v>10.3</v>
      </c>
      <c r="V254" s="5"/>
    </row>
    <row r="255" spans="2:31">
      <c r="B255" s="4" t="s">
        <v>314</v>
      </c>
      <c r="C255" s="12" t="s">
        <v>307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0">P247</f>
        <v>6.4000000000000012</v>
      </c>
      <c r="Q255" s="12">
        <f t="shared" si="30"/>
        <v>6.0910000000000002</v>
      </c>
      <c r="R255" s="12">
        <f t="shared" si="30"/>
        <v>6.23</v>
      </c>
      <c r="S255" s="12">
        <f t="shared" si="30"/>
        <v>6.3</v>
      </c>
      <c r="T255" s="12">
        <f t="shared" si="30"/>
        <v>6.1267974837582679</v>
      </c>
      <c r="U255" s="12">
        <f t="shared" si="30"/>
        <v>5.0030232389251985</v>
      </c>
      <c r="V255" s="5"/>
    </row>
    <row r="256" spans="2:31">
      <c r="B256" s="4" t="s">
        <v>236</v>
      </c>
      <c r="C256" s="12" t="s">
        <v>264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1">P255/P254</f>
        <v>0.62135922330097093</v>
      </c>
      <c r="Q256" s="18">
        <f t="shared" si="31"/>
        <v>0.5913592233009709</v>
      </c>
      <c r="R256" s="18">
        <f t="shared" si="31"/>
        <v>0.60485436893203881</v>
      </c>
      <c r="S256" s="18">
        <f t="shared" si="31"/>
        <v>0.61165048543689315</v>
      </c>
      <c r="T256" s="18">
        <f t="shared" si="31"/>
        <v>0.59483470716099685</v>
      </c>
      <c r="U256" s="18">
        <f t="shared" si="31"/>
        <v>0.48573041154613572</v>
      </c>
      <c r="V256" s="5"/>
      <c r="X256" t="s">
        <v>360</v>
      </c>
    </row>
    <row r="257" spans="2:22">
      <c r="B257" s="4" t="s">
        <v>317</v>
      </c>
      <c r="C257" s="20" t="s">
        <v>318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U257" si="32">(P242+P243+P244)/P255</f>
        <v>0.76593749999999983</v>
      </c>
      <c r="Q257" s="18">
        <f t="shared" si="32"/>
        <v>0.78328681661467736</v>
      </c>
      <c r="R257" s="18">
        <f t="shared" si="32"/>
        <v>0.7881219903691814</v>
      </c>
      <c r="S257" s="18">
        <f t="shared" si="32"/>
        <v>0.80825396825396834</v>
      </c>
      <c r="T257" s="18">
        <f t="shared" si="32"/>
        <v>0.80283337205084271</v>
      </c>
      <c r="U257" s="18">
        <f t="shared" si="32"/>
        <v>0.75854599462953642</v>
      </c>
      <c r="V257" s="5"/>
    </row>
    <row r="258" spans="2:22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>
      <c r="B259" s="4" t="s">
        <v>315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>
      <c r="B260" s="4" t="s">
        <v>24</v>
      </c>
      <c r="C260" s="12" t="s">
        <v>189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3">P242+P245</f>
        <v>3.3001891891891897</v>
      </c>
      <c r="Q260" s="328">
        <f t="shared" si="33"/>
        <v>3.1641891891891891</v>
      </c>
      <c r="R260" s="328">
        <f t="shared" si="33"/>
        <v>3.0330810810810807</v>
      </c>
      <c r="S260" s="328">
        <f t="shared" si="33"/>
        <v>3.2032972972972971</v>
      </c>
      <c r="T260" s="328">
        <f t="shared" si="33"/>
        <v>3.0300947810555652</v>
      </c>
      <c r="U260" s="328">
        <f t="shared" si="33"/>
        <v>3.0300947810555652</v>
      </c>
      <c r="V260" s="5"/>
    </row>
    <row r="261" spans="2:22">
      <c r="B261" s="4" t="s">
        <v>1</v>
      </c>
      <c r="C261" s="12" t="s">
        <v>189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4">P243+P244+P246</f>
        <v>3.0998108108108111</v>
      </c>
      <c r="Q261" s="328">
        <f t="shared" si="34"/>
        <v>2.9268108108108111</v>
      </c>
      <c r="R261" s="328">
        <f t="shared" si="34"/>
        <v>3.1969189189189193</v>
      </c>
      <c r="S261" s="328">
        <f t="shared" si="34"/>
        <v>3.0967027027027023</v>
      </c>
      <c r="T261" s="328">
        <f t="shared" si="34"/>
        <v>3.0967027027027023</v>
      </c>
      <c r="U261" s="328">
        <f t="shared" si="34"/>
        <v>1.9729284578696338</v>
      </c>
      <c r="V261" s="5"/>
    </row>
    <row r="262" spans="2:22">
      <c r="B262" s="4" t="s">
        <v>24</v>
      </c>
      <c r="C262" s="12" t="s">
        <v>264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35">P260/P255</f>
        <v>0.51565456081081074</v>
      </c>
      <c r="Q262" s="18">
        <f t="shared" si="35"/>
        <v>0.51948599395652417</v>
      </c>
      <c r="R262" s="18">
        <f t="shared" si="35"/>
        <v>0.48685089583965979</v>
      </c>
      <c r="S262" s="18">
        <f t="shared" si="35"/>
        <v>0.50845988845988843</v>
      </c>
      <c r="T262" s="18">
        <f t="shared" si="35"/>
        <v>0.49456421386346533</v>
      </c>
      <c r="U262" s="18">
        <f t="shared" si="35"/>
        <v>0.60565274961755355</v>
      </c>
      <c r="V262" s="5"/>
    </row>
    <row r="263" spans="2:22">
      <c r="B263" s="4" t="s">
        <v>1</v>
      </c>
      <c r="C263" s="12" t="s">
        <v>264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36">1-P262</f>
        <v>0.48434543918918926</v>
      </c>
      <c r="Q263" s="18">
        <f t="shared" si="36"/>
        <v>0.48051400604347583</v>
      </c>
      <c r="R263" s="18">
        <f t="shared" si="36"/>
        <v>0.51314910416034021</v>
      </c>
      <c r="S263" s="18">
        <f t="shared" si="36"/>
        <v>0.49154011154011157</v>
      </c>
      <c r="T263" s="18">
        <f t="shared" si="36"/>
        <v>0.50543578613653461</v>
      </c>
      <c r="U263" s="18">
        <f t="shared" si="36"/>
        <v>0.39434725038244645</v>
      </c>
      <c r="V263" s="5"/>
    </row>
    <row r="264" spans="2:22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>
      <c r="B265" s="4" t="s">
        <v>527</v>
      </c>
      <c r="C265" s="20" t="s">
        <v>264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37">P246/P247</f>
        <v>0.21281250000000002</v>
      </c>
      <c r="Q265" s="417">
        <f t="shared" si="37"/>
        <v>0.21671318338532264</v>
      </c>
      <c r="R265" s="417">
        <f t="shared" si="37"/>
        <v>0.21187800963081865</v>
      </c>
      <c r="S265" s="417">
        <f t="shared" si="37"/>
        <v>0.19174603174603164</v>
      </c>
      <c r="T265" s="418">
        <f t="shared" si="37"/>
        <v>0.19716662794915726</v>
      </c>
      <c r="U265" s="417">
        <f t="shared" si="37"/>
        <v>0.24145400537046363</v>
      </c>
      <c r="V265" s="5"/>
    </row>
    <row r="266" spans="2:22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topLeftCell="A67" zoomScale="85" zoomScaleNormal="85" workbookViewId="0">
      <selection activeCell="I98" sqref="I98"/>
    </sheetView>
  </sheetViews>
  <sheetFormatPr defaultRowHeight="1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>
      <c r="A2" s="136" t="s">
        <v>364</v>
      </c>
    </row>
    <row r="4" spans="1:15">
      <c r="B4" s="136" t="s">
        <v>365</v>
      </c>
    </row>
    <row r="5" spans="1:15">
      <c r="B5" s="15"/>
      <c r="C5" s="332" t="s">
        <v>330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>
      <c r="B6" s="4"/>
      <c r="C6" s="12" t="s">
        <v>322</v>
      </c>
      <c r="D6" s="12" t="s">
        <v>13</v>
      </c>
      <c r="E6" s="12" t="s">
        <v>11</v>
      </c>
      <c r="F6" s="12" t="s">
        <v>323</v>
      </c>
      <c r="G6" s="12" t="s">
        <v>324</v>
      </c>
      <c r="H6" s="12" t="s">
        <v>325</v>
      </c>
      <c r="I6" s="12" t="s">
        <v>153</v>
      </c>
      <c r="J6" s="12" t="s">
        <v>326</v>
      </c>
      <c r="K6" s="12" t="s">
        <v>327</v>
      </c>
      <c r="L6" s="12" t="s">
        <v>328</v>
      </c>
      <c r="M6" s="12" t="s">
        <v>14</v>
      </c>
      <c r="N6" s="12" t="s">
        <v>200</v>
      </c>
      <c r="O6" s="5"/>
    </row>
    <row r="7" spans="1:15">
      <c r="B7" s="4" t="s">
        <v>329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>
      <c r="B12" s="136" t="s">
        <v>366</v>
      </c>
      <c r="C12" s="8"/>
    </row>
    <row r="13" spans="1:1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>
      <c r="B14" s="4" t="s">
        <v>416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>
      <c r="B15" s="4"/>
      <c r="C15" s="26" t="s">
        <v>7</v>
      </c>
      <c r="D15" s="26" t="s">
        <v>9</v>
      </c>
      <c r="E15" s="26" t="s">
        <v>47</v>
      </c>
      <c r="F15" s="26" t="s">
        <v>8</v>
      </c>
      <c r="G15" s="26" t="s">
        <v>172</v>
      </c>
      <c r="H15" s="26" t="s">
        <v>10</v>
      </c>
      <c r="I15" s="12"/>
      <c r="J15" s="12"/>
      <c r="K15" s="12"/>
      <c r="L15" s="12"/>
      <c r="M15" s="5"/>
    </row>
    <row r="16" spans="1:1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>
      <c r="B19" s="4" t="s">
        <v>132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>
      <c r="B20" s="4" t="s">
        <v>133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>
      <c r="A24" s="136">
        <v>2012</v>
      </c>
      <c r="B24" s="136" t="s">
        <v>5</v>
      </c>
    </row>
    <row r="25" spans="1:13">
      <c r="B25" t="s">
        <v>189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>
      <c r="B27" s="136" t="s">
        <v>368</v>
      </c>
    </row>
    <row r="28" spans="1:13">
      <c r="J28" t="s">
        <v>142</v>
      </c>
    </row>
    <row r="29" spans="1:13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>
      <c r="B35" s="350" t="s">
        <v>367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>
      <c r="A37">
        <v>2012</v>
      </c>
      <c r="B37" s="136" t="s">
        <v>419</v>
      </c>
    </row>
    <row r="38" spans="1:13">
      <c r="B38" s="381" t="s">
        <v>417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>
      <c r="B39" s="4"/>
      <c r="C39" s="12"/>
      <c r="D39" s="12"/>
      <c r="E39" s="12"/>
      <c r="F39" s="12"/>
      <c r="G39" s="12"/>
      <c r="H39" s="12"/>
      <c r="I39" s="12"/>
      <c r="J39" s="5"/>
    </row>
    <row r="40" spans="1:13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435</v>
      </c>
    </row>
    <row r="43" spans="1:13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>
      <c r="B45" s="4"/>
      <c r="C45" s="12"/>
      <c r="D45" s="12"/>
      <c r="E45" s="12"/>
      <c r="F45" s="12"/>
      <c r="G45" s="12"/>
      <c r="H45" s="12"/>
      <c r="I45" s="12"/>
      <c r="J45" s="5"/>
    </row>
    <row r="46" spans="1:13">
      <c r="B46" s="7"/>
      <c r="C46" s="8"/>
      <c r="D46" s="8"/>
      <c r="E46" s="8"/>
      <c r="F46" s="8"/>
      <c r="G46" s="8"/>
      <c r="H46" s="8"/>
      <c r="I46" s="11" t="s">
        <v>418</v>
      </c>
      <c r="J46" s="380">
        <f>SUM(J40:J44)</f>
        <v>146.60566008535469</v>
      </c>
    </row>
    <row r="49" spans="1:11">
      <c r="A49" s="136">
        <v>2017</v>
      </c>
      <c r="B49" s="136" t="s">
        <v>5</v>
      </c>
    </row>
    <row r="50" spans="1:11">
      <c r="B50" t="s">
        <v>189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>
      <c r="B52" s="136" t="s">
        <v>368</v>
      </c>
    </row>
    <row r="53" spans="1:11">
      <c r="J53" t="s">
        <v>142</v>
      </c>
    </row>
    <row r="54" spans="1:11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>
      <c r="B60" s="350" t="s">
        <v>367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>
      <c r="A62">
        <v>2012</v>
      </c>
      <c r="B62" s="136" t="s">
        <v>419</v>
      </c>
    </row>
    <row r="63" spans="1:11">
      <c r="B63" s="381" t="s">
        <v>417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>
      <c r="B64" s="4"/>
      <c r="C64" s="12"/>
      <c r="D64" s="12"/>
      <c r="E64" s="12"/>
      <c r="F64" s="12"/>
      <c r="G64" s="12"/>
      <c r="H64" s="12"/>
      <c r="I64" s="12"/>
      <c r="J64" s="5"/>
    </row>
    <row r="65" spans="1:19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435</v>
      </c>
    </row>
    <row r="68" spans="1:19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>
      <c r="B70" s="4"/>
      <c r="C70" s="12"/>
      <c r="D70" s="12"/>
      <c r="E70" s="12"/>
      <c r="F70" s="12"/>
      <c r="G70" s="12"/>
      <c r="H70" s="12"/>
      <c r="I70" s="12"/>
      <c r="J70" s="5"/>
    </row>
    <row r="71" spans="1:19">
      <c r="B71" s="7"/>
      <c r="C71" s="8"/>
      <c r="D71" s="8"/>
      <c r="E71" s="8"/>
      <c r="F71" s="8"/>
      <c r="G71" s="8"/>
      <c r="H71" s="8"/>
      <c r="I71" s="11" t="s">
        <v>418</v>
      </c>
      <c r="J71" s="380">
        <f>SUM(J65:J69)</f>
        <v>230.58461114450461</v>
      </c>
    </row>
    <row r="75" spans="1:19">
      <c r="A75" s="136" t="s">
        <v>363</v>
      </c>
    </row>
    <row r="77" spans="1:19">
      <c r="B77" t="s">
        <v>378</v>
      </c>
      <c r="J77" t="s">
        <v>382</v>
      </c>
    </row>
    <row r="78" spans="1:19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648</v>
      </c>
    </row>
    <row r="79" spans="1:19">
      <c r="B79" s="4" t="s">
        <v>371</v>
      </c>
      <c r="C79" s="12" t="s">
        <v>369</v>
      </c>
      <c r="D79" s="12" t="s">
        <v>370</v>
      </c>
      <c r="E79" s="351">
        <v>1.46</v>
      </c>
      <c r="F79" s="12"/>
      <c r="G79" s="5"/>
      <c r="J79" s="4"/>
      <c r="K79" s="12"/>
      <c r="L79" s="19" t="s">
        <v>361</v>
      </c>
      <c r="M79" s="5"/>
      <c r="P79" s="381" t="s">
        <v>393</v>
      </c>
      <c r="Q79" s="16"/>
      <c r="R79" s="16"/>
      <c r="S79" s="3"/>
    </row>
    <row r="80" spans="1:19">
      <c r="B80" s="4" t="s">
        <v>372</v>
      </c>
      <c r="C80" s="12" t="s">
        <v>369</v>
      </c>
      <c r="D80" s="12" t="s">
        <v>370</v>
      </c>
      <c r="E80" s="351">
        <v>0.08</v>
      </c>
      <c r="F80" s="12"/>
      <c r="G80" s="5"/>
      <c r="J80" s="353" t="s">
        <v>381</v>
      </c>
      <c r="K80" s="12"/>
      <c r="L80" s="12">
        <v>94.6</v>
      </c>
      <c r="M80" s="5"/>
      <c r="P80" s="4"/>
      <c r="Q80" s="12" t="s">
        <v>369</v>
      </c>
      <c r="R80" s="12"/>
      <c r="S80" s="5"/>
    </row>
    <row r="81" spans="2:19">
      <c r="B81" s="4" t="s">
        <v>373</v>
      </c>
      <c r="C81" s="12" t="s">
        <v>369</v>
      </c>
      <c r="D81" s="12" t="s">
        <v>370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647</v>
      </c>
      <c r="S81" s="5" t="s">
        <v>649</v>
      </c>
    </row>
    <row r="82" spans="2:19">
      <c r="B82" s="4" t="s">
        <v>374</v>
      </c>
      <c r="C82" s="12" t="s">
        <v>369</v>
      </c>
      <c r="D82" s="12" t="s">
        <v>370</v>
      </c>
      <c r="E82" s="351">
        <v>1.35</v>
      </c>
      <c r="F82" s="12"/>
      <c r="G82" s="5"/>
      <c r="J82" s="354" t="s">
        <v>380</v>
      </c>
      <c r="K82" s="12"/>
      <c r="L82" s="12">
        <v>0</v>
      </c>
      <c r="M82" s="5"/>
      <c r="P82" s="4" t="s">
        <v>1</v>
      </c>
      <c r="Q82" s="1">
        <v>0</v>
      </c>
      <c r="R82" s="12" t="s">
        <v>647</v>
      </c>
      <c r="S82" s="5" t="s">
        <v>649</v>
      </c>
    </row>
    <row r="83" spans="2:19">
      <c r="B83" s="4" t="s">
        <v>375</v>
      </c>
      <c r="C83" s="12" t="s">
        <v>369</v>
      </c>
      <c r="D83" s="12" t="s">
        <v>370</v>
      </c>
      <c r="E83" s="352">
        <v>1.5249999999999999</v>
      </c>
      <c r="F83" s="12"/>
      <c r="G83" s="5"/>
      <c r="J83" s="354" t="s">
        <v>379</v>
      </c>
      <c r="K83" s="12"/>
      <c r="L83" s="12">
        <v>56.1</v>
      </c>
      <c r="M83" s="5"/>
      <c r="P83" s="4" t="s">
        <v>376</v>
      </c>
      <c r="Q83" s="1">
        <v>812005</v>
      </c>
      <c r="R83" s="12" t="s">
        <v>647</v>
      </c>
      <c r="S83" s="5" t="s">
        <v>649</v>
      </c>
    </row>
    <row r="84" spans="2:19">
      <c r="B84" s="4" t="s">
        <v>376</v>
      </c>
      <c r="C84" s="12" t="s">
        <v>369</v>
      </c>
      <c r="D84" s="12" t="s">
        <v>370</v>
      </c>
      <c r="E84" s="352">
        <v>0.34</v>
      </c>
      <c r="F84" s="12"/>
      <c r="G84" s="5"/>
      <c r="J84" s="4" t="s">
        <v>362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647</v>
      </c>
      <c r="S84" s="5" t="s">
        <v>649</v>
      </c>
    </row>
    <row r="85" spans="2:19">
      <c r="B85" s="4" t="s">
        <v>377</v>
      </c>
      <c r="C85" s="12" t="s">
        <v>369</v>
      </c>
      <c r="D85" s="12" t="s">
        <v>370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>
      <c r="J88" s="12"/>
      <c r="K88" s="12"/>
      <c r="L88" s="12"/>
      <c r="M88" s="12"/>
    </row>
    <row r="89" spans="2:19">
      <c r="B89" t="s">
        <v>383</v>
      </c>
      <c r="J89" s="12"/>
      <c r="K89" s="12"/>
      <c r="L89" s="12"/>
      <c r="M89" s="12"/>
    </row>
    <row r="90" spans="2:19">
      <c r="C90" t="s">
        <v>390</v>
      </c>
      <c r="K90" s="12"/>
      <c r="L90" s="12"/>
      <c r="M90" s="12"/>
      <c r="Q90" t="s">
        <v>390</v>
      </c>
    </row>
    <row r="91" spans="2:19">
      <c r="B91" t="s">
        <v>7</v>
      </c>
      <c r="C91">
        <f>E79+E82</f>
        <v>2.81</v>
      </c>
      <c r="E91" s="356"/>
      <c r="J91" t="s">
        <v>389</v>
      </c>
      <c r="K91" s="12"/>
      <c r="L91" s="12"/>
      <c r="M91" s="12"/>
      <c r="P91" t="s">
        <v>7</v>
      </c>
      <c r="Q91">
        <v>2.81</v>
      </c>
    </row>
    <row r="92" spans="2:19">
      <c r="B92" t="s">
        <v>9</v>
      </c>
      <c r="C92">
        <f>E83+E80</f>
        <v>1.605</v>
      </c>
      <c r="E92" s="356"/>
      <c r="J92" t="s">
        <v>535</v>
      </c>
      <c r="P92" t="s">
        <v>9</v>
      </c>
      <c r="Q92">
        <v>1.605</v>
      </c>
    </row>
    <row r="93" spans="2:19">
      <c r="B93" t="s">
        <v>47</v>
      </c>
      <c r="E93" s="356"/>
      <c r="J93">
        <f>E79*0.5+E80*0.5</f>
        <v>0.77</v>
      </c>
      <c r="K93" t="s">
        <v>388</v>
      </c>
      <c r="P93" t="s">
        <v>8</v>
      </c>
      <c r="Q93">
        <v>0.08</v>
      </c>
    </row>
    <row r="94" spans="2:19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387</v>
      </c>
      <c r="P94" t="s">
        <v>172</v>
      </c>
      <c r="Q94">
        <v>2.1267142857142858</v>
      </c>
    </row>
    <row r="95" spans="2:19">
      <c r="B95" t="s">
        <v>172</v>
      </c>
      <c r="C95" s="355">
        <f>J94+J93</f>
        <v>2.1267142857142858</v>
      </c>
      <c r="E95" s="356"/>
      <c r="P95" t="s">
        <v>10</v>
      </c>
      <c r="Q95">
        <v>1.54</v>
      </c>
      <c r="R95" t="s">
        <v>534</v>
      </c>
    </row>
    <row r="96" spans="2:19">
      <c r="B96" t="s">
        <v>10</v>
      </c>
      <c r="C96">
        <f>E80+E79</f>
        <v>1.54</v>
      </c>
      <c r="D96" t="s">
        <v>534</v>
      </c>
      <c r="E96" s="356"/>
      <c r="J96" t="s">
        <v>401</v>
      </c>
    </row>
    <row r="97" spans="2:19">
      <c r="D97" s="356"/>
      <c r="E97" s="356"/>
      <c r="J97" s="367">
        <v>0.1</v>
      </c>
      <c r="K97" t="s">
        <v>536</v>
      </c>
    </row>
    <row r="98" spans="2:19">
      <c r="J98" s="367">
        <f>1-J97</f>
        <v>0.9</v>
      </c>
    </row>
    <row r="99" spans="2:19">
      <c r="B99" s="136" t="s">
        <v>392</v>
      </c>
      <c r="E99" s="355"/>
    </row>
    <row r="100" spans="2:19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>
      <c r="B103" t="s">
        <v>47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399</v>
      </c>
    </row>
    <row r="105" spans="2:19">
      <c r="B105" t="s">
        <v>172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400</v>
      </c>
      <c r="L105" s="16"/>
      <c r="M105" s="16"/>
      <c r="N105" s="16"/>
      <c r="O105" s="16"/>
      <c r="P105" s="16"/>
      <c r="Q105" s="16"/>
      <c r="R105" s="3"/>
    </row>
    <row r="106" spans="2:19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>
      <c r="B107" s="136" t="s">
        <v>402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>
      <c r="B108" t="s">
        <v>395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>
      <c r="K109" s="4"/>
      <c r="L109" s="12"/>
      <c r="M109" s="12"/>
      <c r="N109" s="12"/>
      <c r="O109" s="12"/>
      <c r="P109" s="12"/>
      <c r="Q109" s="12"/>
      <c r="R109" s="5"/>
    </row>
    <row r="110" spans="2:19">
      <c r="B110" s="136" t="s">
        <v>393</v>
      </c>
      <c r="C110" s="136" t="s">
        <v>391</v>
      </c>
      <c r="K110" s="4" t="s">
        <v>396</v>
      </c>
      <c r="L110" s="12"/>
      <c r="M110" s="12"/>
      <c r="N110" s="12"/>
      <c r="O110" s="12"/>
      <c r="P110" s="12"/>
      <c r="Q110" s="12"/>
      <c r="R110" s="5"/>
    </row>
    <row r="111" spans="2:19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>
      <c r="B113" t="s">
        <v>47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>
      <c r="B115" t="s">
        <v>172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>
      <c r="B117" s="136" t="s">
        <v>402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>
      <c r="B118" t="s">
        <v>394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>
      <c r="H119" s="349">
        <f>H118-H117</f>
        <v>2.8500474744794602</v>
      </c>
      <c r="K119" s="4" t="s">
        <v>412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>
      <c r="K120" s="4" t="s">
        <v>34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>
      <c r="B121" t="s">
        <v>397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>
      <c r="B122" t="s">
        <v>398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376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>
      <c r="B123" t="s">
        <v>399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377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>
      <c r="K125" s="4" t="s">
        <v>411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>
      <c r="K126" s="4"/>
      <c r="L126" s="12"/>
      <c r="M126" s="12"/>
      <c r="N126" s="12"/>
      <c r="O126" s="12"/>
      <c r="P126" s="12"/>
      <c r="Q126" s="12"/>
      <c r="R126" s="5"/>
    </row>
    <row r="127" spans="2:21">
      <c r="K127" s="4"/>
      <c r="L127" s="12"/>
      <c r="M127" s="12"/>
      <c r="N127" s="12"/>
      <c r="O127" s="12"/>
      <c r="P127" s="12"/>
      <c r="Q127" s="12"/>
      <c r="R127" s="5"/>
    </row>
    <row r="128" spans="2:21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DBD96-F958-4615-B2F5-82C324034EDD}">
  <dimension ref="B1:O41"/>
  <sheetViews>
    <sheetView zoomScale="85" zoomScaleNormal="85" workbookViewId="0">
      <selection activeCell="N33" sqref="N33"/>
    </sheetView>
  </sheetViews>
  <sheetFormatPr defaultRowHeight="15"/>
  <cols>
    <col min="6" max="6" width="12.5703125" bestFit="1" customWidth="1"/>
    <col min="7" max="7" width="11.7109375" bestFit="1" customWidth="1"/>
  </cols>
  <sheetData>
    <row r="1" spans="2:9">
      <c r="B1" s="136" t="s">
        <v>1584</v>
      </c>
    </row>
    <row r="2" spans="2:9">
      <c r="C2" t="s">
        <v>1573</v>
      </c>
    </row>
    <row r="4" spans="2:9" ht="40.5">
      <c r="C4" s="670"/>
      <c r="D4" s="671" t="s">
        <v>371</v>
      </c>
      <c r="E4" s="672" t="s">
        <v>1574</v>
      </c>
      <c r="F4" s="673" t="s">
        <v>34</v>
      </c>
      <c r="G4" s="671" t="s">
        <v>375</v>
      </c>
      <c r="H4" s="672" t="s">
        <v>376</v>
      </c>
      <c r="I4" s="674" t="s">
        <v>18</v>
      </c>
    </row>
    <row r="5" spans="2:9">
      <c r="C5" s="675"/>
      <c r="D5" s="702" t="s">
        <v>1575</v>
      </c>
      <c r="E5" s="703"/>
      <c r="F5" s="703"/>
      <c r="G5" s="703"/>
      <c r="H5" s="703"/>
      <c r="I5" s="703"/>
    </row>
    <row r="6" spans="2:9">
      <c r="C6" s="676">
        <v>2000</v>
      </c>
      <c r="D6" s="677">
        <v>4674511</v>
      </c>
      <c r="E6" s="677">
        <v>4549828</v>
      </c>
      <c r="F6" s="677">
        <v>4674511</v>
      </c>
      <c r="G6" s="677">
        <v>1552553</v>
      </c>
      <c r="H6" s="678"/>
      <c r="I6" s="679">
        <v>705872</v>
      </c>
    </row>
    <row r="7" spans="2:9">
      <c r="C7" s="676">
        <v>2001</v>
      </c>
      <c r="D7" s="677">
        <v>4849655</v>
      </c>
      <c r="E7" s="677">
        <v>4716954</v>
      </c>
      <c r="F7" s="677">
        <v>4849655</v>
      </c>
      <c r="G7" s="677">
        <v>1220890</v>
      </c>
      <c r="H7" s="678"/>
      <c r="I7" s="679">
        <v>706225</v>
      </c>
    </row>
    <row r="8" spans="2:9">
      <c r="C8" s="676">
        <v>2002</v>
      </c>
      <c r="D8" s="677">
        <v>5051936</v>
      </c>
      <c r="E8" s="677">
        <v>4888870</v>
      </c>
      <c r="F8" s="677">
        <v>5051936</v>
      </c>
      <c r="G8" s="677">
        <v>1340976</v>
      </c>
      <c r="H8" s="678"/>
      <c r="I8" s="679">
        <v>706578</v>
      </c>
    </row>
    <row r="9" spans="2:9">
      <c r="C9" s="676">
        <v>2003</v>
      </c>
      <c r="D9" s="677">
        <v>5083168</v>
      </c>
      <c r="E9" s="677">
        <v>5353456</v>
      </c>
      <c r="F9" s="677">
        <v>4474699</v>
      </c>
      <c r="G9" s="677">
        <v>1542008</v>
      </c>
      <c r="H9" s="678"/>
      <c r="I9" s="679">
        <v>706931</v>
      </c>
    </row>
    <row r="10" spans="2:9">
      <c r="C10" s="676">
        <v>2004</v>
      </c>
      <c r="D10" s="677">
        <v>4949693</v>
      </c>
      <c r="E10" s="677">
        <v>5508488</v>
      </c>
      <c r="F10" s="677">
        <v>4224487</v>
      </c>
      <c r="G10" s="677">
        <v>1632767</v>
      </c>
      <c r="H10" s="678"/>
      <c r="I10" s="679">
        <v>733761</v>
      </c>
    </row>
    <row r="11" spans="2:9">
      <c r="C11" s="676">
        <v>2005</v>
      </c>
      <c r="D11" s="677">
        <v>5255831</v>
      </c>
      <c r="E11" s="677">
        <v>5089818</v>
      </c>
      <c r="F11" s="677">
        <v>4441904</v>
      </c>
      <c r="G11" s="677">
        <v>1781108</v>
      </c>
      <c r="H11" s="678"/>
      <c r="I11" s="679">
        <v>735378</v>
      </c>
    </row>
    <row r="12" spans="2:9">
      <c r="C12" s="676">
        <v>2006</v>
      </c>
      <c r="D12" s="677">
        <v>5173676</v>
      </c>
      <c r="E12" s="677">
        <v>5413204</v>
      </c>
      <c r="F12" s="677">
        <v>4435551</v>
      </c>
      <c r="G12" s="677">
        <v>1753585</v>
      </c>
      <c r="H12" s="678"/>
      <c r="I12" s="679">
        <v>739818</v>
      </c>
    </row>
    <row r="13" spans="2:9">
      <c r="C13" s="676">
        <v>2007</v>
      </c>
      <c r="D13" s="677">
        <v>4521461</v>
      </c>
      <c r="E13" s="677">
        <v>5473908</v>
      </c>
      <c r="F13" s="677">
        <v>3642520</v>
      </c>
      <c r="G13" s="677">
        <v>1735914</v>
      </c>
      <c r="H13" s="678"/>
      <c r="I13" s="679">
        <v>705428</v>
      </c>
    </row>
    <row r="14" spans="2:9">
      <c r="C14" s="676">
        <v>2008</v>
      </c>
      <c r="D14" s="677">
        <v>4504275</v>
      </c>
      <c r="E14" s="677">
        <v>4581523</v>
      </c>
      <c r="F14" s="677">
        <v>3746786</v>
      </c>
      <c r="G14" s="677">
        <v>1177925</v>
      </c>
      <c r="H14" s="678"/>
      <c r="I14" s="679">
        <v>460746</v>
      </c>
    </row>
    <row r="15" spans="2:9">
      <c r="C15" s="676">
        <v>2009</v>
      </c>
      <c r="D15" s="677">
        <v>3953709</v>
      </c>
      <c r="E15" s="677">
        <v>4359556</v>
      </c>
      <c r="F15" s="677">
        <v>3184566</v>
      </c>
      <c r="G15" s="677">
        <v>1339720</v>
      </c>
      <c r="H15" s="678"/>
      <c r="I15" s="679">
        <v>429916</v>
      </c>
    </row>
    <row r="16" spans="2:9">
      <c r="C16" s="676">
        <v>2010</v>
      </c>
      <c r="D16" s="677">
        <v>4366727</v>
      </c>
      <c r="E16" s="677">
        <v>4235993</v>
      </c>
      <c r="F16" s="677">
        <v>3695327</v>
      </c>
      <c r="G16" s="677">
        <v>1120452</v>
      </c>
      <c r="H16" s="678"/>
      <c r="I16" s="679">
        <v>584452</v>
      </c>
    </row>
    <row r="17" spans="3:15">
      <c r="C17" s="676">
        <v>2011</v>
      </c>
      <c r="D17" s="677">
        <v>3991686</v>
      </c>
      <c r="E17" s="677">
        <v>3554803</v>
      </c>
      <c r="F17" s="677">
        <v>4603558</v>
      </c>
      <c r="G17" s="677">
        <v>1414164</v>
      </c>
      <c r="H17" s="678"/>
      <c r="I17" s="679">
        <v>570129</v>
      </c>
    </row>
    <row r="18" spans="3:15">
      <c r="C18" s="676">
        <v>2012</v>
      </c>
      <c r="D18" s="677">
        <v>3904276</v>
      </c>
      <c r="E18" s="677">
        <v>3904276</v>
      </c>
      <c r="F18" s="677">
        <v>4599015</v>
      </c>
      <c r="G18" s="677">
        <v>1493420</v>
      </c>
      <c r="H18" s="678"/>
      <c r="I18" s="679">
        <v>677891</v>
      </c>
    </row>
    <row r="19" spans="3:15">
      <c r="C19" s="676">
        <v>2013</v>
      </c>
      <c r="D19" s="677">
        <v>4271948</v>
      </c>
      <c r="E19" s="677">
        <v>3292870</v>
      </c>
      <c r="F19" s="677">
        <v>4927550</v>
      </c>
      <c r="G19" s="677">
        <v>1295000</v>
      </c>
      <c r="H19" s="678"/>
      <c r="I19" s="679">
        <v>590356</v>
      </c>
    </row>
    <row r="20" spans="3:15">
      <c r="C20" s="676">
        <v>2014</v>
      </c>
      <c r="D20" s="677">
        <v>3622909</v>
      </c>
      <c r="E20" s="677">
        <v>2789291</v>
      </c>
      <c r="F20" s="677">
        <v>4401734</v>
      </c>
      <c r="G20" s="677">
        <v>1611530</v>
      </c>
      <c r="H20" s="678"/>
      <c r="I20" s="679">
        <v>585728</v>
      </c>
    </row>
    <row r="21" spans="3:15">
      <c r="C21" s="676">
        <v>2015</v>
      </c>
      <c r="D21" s="677">
        <v>3907513</v>
      </c>
      <c r="E21" s="677">
        <v>2490587</v>
      </c>
      <c r="F21" s="677">
        <v>4463759</v>
      </c>
      <c r="G21" s="677">
        <v>1124971</v>
      </c>
      <c r="H21" s="678"/>
      <c r="I21" s="679">
        <v>581399</v>
      </c>
    </row>
    <row r="22" spans="3:15">
      <c r="C22" s="676">
        <v>2016</v>
      </c>
      <c r="D22" s="677">
        <v>3498862</v>
      </c>
      <c r="E22" s="677">
        <v>3039702</v>
      </c>
      <c r="F22" s="677">
        <v>4650922</v>
      </c>
      <c r="G22" s="677">
        <v>1806067</v>
      </c>
      <c r="H22" s="678"/>
      <c r="I22" s="679">
        <v>577332</v>
      </c>
    </row>
    <row r="23" spans="3:15">
      <c r="C23" s="676">
        <v>2017</v>
      </c>
      <c r="D23" s="677">
        <v>4242431</v>
      </c>
      <c r="E23" s="677">
        <v>1153047</v>
      </c>
      <c r="F23" s="677">
        <v>101115</v>
      </c>
      <c r="G23" s="677">
        <v>660605</v>
      </c>
      <c r="H23" s="677">
        <v>3631445</v>
      </c>
      <c r="I23" s="679">
        <v>107153</v>
      </c>
    </row>
    <row r="28" spans="3:15">
      <c r="C28" t="s">
        <v>1576</v>
      </c>
      <c r="L28" t="s">
        <v>1585</v>
      </c>
    </row>
    <row r="29" spans="3:15">
      <c r="C29" s="131"/>
      <c r="D29" s="131" t="s">
        <v>1577</v>
      </c>
      <c r="E29" s="131"/>
      <c r="F29" s="131"/>
    </row>
    <row r="30" spans="3:15">
      <c r="C30" s="131" t="s">
        <v>24</v>
      </c>
      <c r="D30" s="131">
        <v>1.46</v>
      </c>
      <c r="E30" s="131"/>
      <c r="F30" s="583">
        <f>D23</f>
        <v>4242431</v>
      </c>
      <c r="L30" t="s">
        <v>7</v>
      </c>
      <c r="M30">
        <f>D30</f>
        <v>1.46</v>
      </c>
    </row>
    <row r="31" spans="3:15">
      <c r="C31" s="131" t="s">
        <v>1</v>
      </c>
      <c r="D31" s="131">
        <v>0.08</v>
      </c>
      <c r="E31" s="131"/>
      <c r="F31" s="583">
        <f>E23</f>
        <v>1153047</v>
      </c>
      <c r="G31" s="680"/>
      <c r="L31" t="s">
        <v>9</v>
      </c>
      <c r="M31">
        <f>D31+D33</f>
        <v>0.77999999999999992</v>
      </c>
      <c r="O31" t="s">
        <v>1587</v>
      </c>
    </row>
    <row r="32" spans="3:15">
      <c r="C32" s="131" t="s">
        <v>34</v>
      </c>
      <c r="D32" s="131">
        <v>1.35</v>
      </c>
      <c r="E32" s="131"/>
      <c r="F32" s="583">
        <f>F23</f>
        <v>101115</v>
      </c>
      <c r="L32" t="s">
        <v>1</v>
      </c>
      <c r="M32">
        <f>D31</f>
        <v>0.08</v>
      </c>
    </row>
    <row r="33" spans="3:15">
      <c r="C33" s="131" t="s">
        <v>1578</v>
      </c>
      <c r="D33" s="131">
        <v>0.7</v>
      </c>
      <c r="E33" s="131"/>
      <c r="F33" s="583">
        <f>G23</f>
        <v>660605</v>
      </c>
      <c r="L33" t="s">
        <v>1586</v>
      </c>
      <c r="M33" s="349">
        <f>'AMSA - Saldanha'!M63</f>
        <v>1.8483209986471636</v>
      </c>
      <c r="O33" t="s">
        <v>1594</v>
      </c>
    </row>
    <row r="34" spans="3:15">
      <c r="C34" s="131" t="s">
        <v>376</v>
      </c>
      <c r="D34" s="131">
        <v>0.2</v>
      </c>
      <c r="E34" s="131"/>
      <c r="F34" s="583">
        <f>H23</f>
        <v>3631445</v>
      </c>
    </row>
    <row r="35" spans="3:15">
      <c r="C35" s="131" t="s">
        <v>35</v>
      </c>
      <c r="D35" s="131">
        <v>1.06</v>
      </c>
      <c r="E35" s="131"/>
      <c r="F35" s="583">
        <f>I23</f>
        <v>107153</v>
      </c>
      <c r="H35" t="s">
        <v>1579</v>
      </c>
    </row>
    <row r="36" spans="3:15">
      <c r="F36" s="133"/>
    </row>
    <row r="37" spans="3:15">
      <c r="C37" t="s">
        <v>1581</v>
      </c>
      <c r="F37" s="133">
        <f>SUM(F30:F35)</f>
        <v>9895796</v>
      </c>
    </row>
    <row r="38" spans="3:15">
      <c r="C38" t="s">
        <v>1582</v>
      </c>
      <c r="F38" s="133">
        <f>F30+F31</f>
        <v>5395478</v>
      </c>
    </row>
    <row r="39" spans="3:15">
      <c r="C39" t="s">
        <v>1580</v>
      </c>
      <c r="F39" s="681">
        <f>SUMPRODUCT(F30:F35,D30:D35)</f>
        <v>7724992.9499999993</v>
      </c>
    </row>
    <row r="41" spans="3:15">
      <c r="C41" t="s">
        <v>1583</v>
      </c>
      <c r="F41" s="349">
        <f>F39/F38</f>
        <v>1.4317532107442565</v>
      </c>
    </row>
  </sheetData>
  <mergeCells count="1">
    <mergeCell ref="D5:I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J38" sqref="J38"/>
    </sheetView>
  </sheetViews>
  <sheetFormatPr defaultRowHeight="15"/>
  <sheetData>
    <row r="4" spans="1:3">
      <c r="B4" s="132" t="s">
        <v>600</v>
      </c>
    </row>
    <row r="5" spans="1:3">
      <c r="B5" t="s">
        <v>601</v>
      </c>
      <c r="C5" t="s">
        <v>602</v>
      </c>
    </row>
    <row r="7" spans="1:3">
      <c r="A7" s="136" t="s">
        <v>6</v>
      </c>
    </row>
    <row r="8" spans="1:3">
      <c r="B8" t="s">
        <v>618</v>
      </c>
    </row>
    <row r="9" spans="1:3">
      <c r="B9">
        <v>280</v>
      </c>
      <c r="C9" t="s">
        <v>617</v>
      </c>
    </row>
    <row r="10" spans="1:3">
      <c r="B10">
        <v>120</v>
      </c>
      <c r="C10" t="s">
        <v>619</v>
      </c>
    </row>
    <row r="11" spans="1:3">
      <c r="B11">
        <v>500</v>
      </c>
      <c r="C11" t="s">
        <v>620</v>
      </c>
    </row>
    <row r="12" spans="1:3">
      <c r="B12" t="s">
        <v>198</v>
      </c>
      <c r="C12" t="s">
        <v>621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workbookViewId="0">
      <selection activeCell="J34" sqref="J34"/>
    </sheetView>
  </sheetViews>
  <sheetFormatPr defaultRowHeight="1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>
      <c r="A2" t="s">
        <v>420</v>
      </c>
      <c r="J2" t="s">
        <v>426</v>
      </c>
    </row>
    <row r="3" spans="1:11">
      <c r="A3" s="15"/>
      <c r="B3" s="16"/>
      <c r="C3" s="16"/>
      <c r="D3" s="16"/>
      <c r="E3" s="16"/>
      <c r="F3" s="16"/>
      <c r="G3" s="16"/>
      <c r="H3" s="3"/>
    </row>
    <row r="4" spans="1:11">
      <c r="A4" s="4"/>
      <c r="B4" s="12"/>
      <c r="C4" s="12"/>
      <c r="D4" s="12"/>
      <c r="E4" s="12"/>
      <c r="F4" s="12"/>
      <c r="G4" s="12"/>
      <c r="H4" s="5"/>
      <c r="J4" t="s">
        <v>433</v>
      </c>
    </row>
    <row r="5" spans="1:11">
      <c r="A5" s="4" t="s">
        <v>422</v>
      </c>
      <c r="B5" s="392">
        <v>220000</v>
      </c>
      <c r="C5" s="12" t="s">
        <v>423</v>
      </c>
      <c r="E5" s="12"/>
      <c r="F5" s="12"/>
      <c r="H5" s="5"/>
      <c r="J5">
        <v>30</v>
      </c>
      <c r="K5" t="s">
        <v>434</v>
      </c>
    </row>
    <row r="6" spans="1:11">
      <c r="A6" s="4" t="s">
        <v>463</v>
      </c>
      <c r="B6" s="12"/>
      <c r="C6" s="12"/>
      <c r="D6" s="12"/>
      <c r="E6" s="12"/>
      <c r="F6" s="12"/>
      <c r="G6" s="12"/>
      <c r="H6" s="5"/>
    </row>
    <row r="7" spans="1:11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>
      <c r="A8" s="4" t="s">
        <v>421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288</v>
      </c>
      <c r="H8" s="5"/>
      <c r="J8" t="s">
        <v>430</v>
      </c>
    </row>
    <row r="9" spans="1:11">
      <c r="A9" s="4" t="s">
        <v>424</v>
      </c>
      <c r="B9" s="12"/>
      <c r="C9" s="12">
        <v>1.4</v>
      </c>
      <c r="D9" s="12">
        <v>1.4</v>
      </c>
      <c r="E9" s="12">
        <v>1.4</v>
      </c>
      <c r="F9" s="12"/>
      <c r="G9" s="12" t="s">
        <v>425</v>
      </c>
      <c r="H9" s="5"/>
      <c r="J9" t="s">
        <v>431</v>
      </c>
    </row>
    <row r="10" spans="1:11">
      <c r="A10" s="4"/>
      <c r="B10" s="12"/>
      <c r="C10" s="12"/>
      <c r="D10" s="12"/>
      <c r="E10" s="12"/>
      <c r="F10" s="12"/>
      <c r="G10" s="12"/>
      <c r="H10" s="5"/>
    </row>
    <row r="11" spans="1:11">
      <c r="A11" s="4" t="s">
        <v>429</v>
      </c>
      <c r="B11" s="12"/>
      <c r="C11" s="12"/>
      <c r="D11" s="12"/>
      <c r="E11" s="12"/>
      <c r="F11" s="12"/>
      <c r="G11" s="12"/>
      <c r="H11" s="5"/>
    </row>
    <row r="12" spans="1:11">
      <c r="A12" s="4" t="s">
        <v>427</v>
      </c>
      <c r="B12" s="12"/>
      <c r="C12" s="12">
        <v>367</v>
      </c>
      <c r="D12" s="12">
        <v>193</v>
      </c>
      <c r="E12" s="12">
        <v>158</v>
      </c>
      <c r="F12" s="12"/>
      <c r="G12" s="12" t="s">
        <v>428</v>
      </c>
      <c r="H12" s="5"/>
      <c r="J12" t="s">
        <v>464</v>
      </c>
    </row>
    <row r="13" spans="1:11">
      <c r="A13" s="4"/>
      <c r="B13" s="12"/>
      <c r="C13" s="12"/>
      <c r="D13" s="12"/>
      <c r="E13" s="12"/>
      <c r="F13" s="12"/>
      <c r="G13" s="12"/>
      <c r="H13" s="5"/>
    </row>
    <row r="14" spans="1:11">
      <c r="A14" s="4"/>
      <c r="B14" s="12"/>
      <c r="C14" s="12"/>
      <c r="D14" s="12"/>
      <c r="E14" s="12"/>
      <c r="F14" s="12"/>
      <c r="G14" s="12"/>
      <c r="H14" s="5"/>
    </row>
    <row r="15" spans="1:11">
      <c r="A15" s="4" t="s">
        <v>432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>
      <c r="A16" s="7"/>
      <c r="B16" s="8"/>
      <c r="C16" s="8"/>
      <c r="D16" s="8"/>
      <c r="E16" s="8"/>
      <c r="F16" s="8"/>
      <c r="G16" s="8"/>
      <c r="H16" s="9"/>
    </row>
    <row r="17" spans="1:13">
      <c r="K17" t="s">
        <v>552</v>
      </c>
    </row>
    <row r="18" spans="1:13">
      <c r="K18" s="15"/>
      <c r="L18" s="16"/>
      <c r="M18" s="3"/>
    </row>
    <row r="19" spans="1:13">
      <c r="A19" t="s">
        <v>478</v>
      </c>
      <c r="K19" s="4"/>
      <c r="L19" s="12" t="s">
        <v>551</v>
      </c>
      <c r="M19" s="5"/>
    </row>
    <row r="20" spans="1:13">
      <c r="A20" s="15"/>
      <c r="B20" s="16"/>
      <c r="C20" s="16"/>
      <c r="D20" s="16"/>
      <c r="E20" s="16"/>
      <c r="F20" s="16"/>
      <c r="G20" s="16"/>
      <c r="H20" s="3"/>
      <c r="K20" s="4" t="s">
        <v>205</v>
      </c>
      <c r="L20" s="12">
        <v>2.91</v>
      </c>
      <c r="M20" s="5"/>
    </row>
    <row r="21" spans="1:13">
      <c r="A21" s="4" t="s">
        <v>6</v>
      </c>
      <c r="B21" s="391">
        <v>695000</v>
      </c>
      <c r="C21" s="12" t="s">
        <v>479</v>
      </c>
      <c r="D21" s="12"/>
      <c r="E21" s="12"/>
      <c r="F21" s="12"/>
      <c r="G21" s="12"/>
      <c r="H21" s="5"/>
      <c r="K21" s="4" t="s">
        <v>550</v>
      </c>
      <c r="L21" s="12">
        <v>2.7</v>
      </c>
      <c r="M21" s="5"/>
    </row>
    <row r="22" spans="1:13">
      <c r="A22" s="4" t="s">
        <v>480</v>
      </c>
      <c r="B22" s="1">
        <v>190000</v>
      </c>
      <c r="C22" s="12" t="s">
        <v>481</v>
      </c>
      <c r="D22" s="12"/>
      <c r="E22" s="12"/>
      <c r="F22" s="12"/>
      <c r="G22" s="12"/>
      <c r="H22" s="5"/>
      <c r="K22" s="7"/>
      <c r="L22" s="8"/>
      <c r="M22" s="9"/>
    </row>
    <row r="23" spans="1:13">
      <c r="A23" s="4"/>
      <c r="B23" s="12"/>
      <c r="C23" s="12"/>
      <c r="D23" s="12"/>
      <c r="E23" s="12"/>
      <c r="F23" s="12"/>
      <c r="G23" s="12"/>
      <c r="H23" s="5"/>
    </row>
    <row r="24" spans="1:13">
      <c r="A24" s="4" t="s">
        <v>424</v>
      </c>
      <c r="B24" s="12">
        <v>1.4</v>
      </c>
      <c r="C24" s="12" t="s">
        <v>482</v>
      </c>
      <c r="D24" s="12"/>
      <c r="E24" s="12"/>
      <c r="F24" s="12"/>
      <c r="G24" s="12"/>
      <c r="H24" s="5"/>
    </row>
    <row r="25" spans="1:13">
      <c r="A25" s="4"/>
      <c r="B25" s="12"/>
      <c r="C25" s="12"/>
      <c r="D25" s="12"/>
      <c r="E25" s="12"/>
      <c r="F25" s="12"/>
      <c r="G25" s="12"/>
      <c r="H25" s="5"/>
    </row>
    <row r="26" spans="1:13">
      <c r="A26" s="4"/>
      <c r="B26" s="366">
        <f>B24*1000000000/B22</f>
        <v>7368.4210526315792</v>
      </c>
      <c r="C26" s="20" t="s">
        <v>483</v>
      </c>
      <c r="D26" s="12"/>
      <c r="E26" s="12"/>
      <c r="F26" s="12"/>
      <c r="G26" s="12"/>
      <c r="H26" s="5"/>
    </row>
    <row r="27" spans="1:13">
      <c r="A27" s="4"/>
      <c r="B27" s="12"/>
      <c r="C27" s="12"/>
      <c r="D27" s="12"/>
      <c r="E27" s="12"/>
      <c r="F27" s="12"/>
      <c r="G27" s="12"/>
      <c r="H27" s="5"/>
    </row>
    <row r="28" spans="1:13">
      <c r="A28" s="7"/>
      <c r="B28" s="8"/>
      <c r="C28" s="8"/>
      <c r="D28" s="8"/>
      <c r="E28" s="8"/>
      <c r="F28" s="8"/>
      <c r="G28" s="8"/>
      <c r="H28" s="9"/>
    </row>
    <row r="34" spans="1:8">
      <c r="A34" t="s">
        <v>446</v>
      </c>
    </row>
    <row r="35" spans="1:8">
      <c r="A35" s="15"/>
      <c r="B35" s="16"/>
      <c r="C35" s="16"/>
      <c r="D35" s="16"/>
      <c r="E35" s="16"/>
      <c r="F35" s="16"/>
      <c r="G35" s="16"/>
      <c r="H35" s="3"/>
    </row>
    <row r="36" spans="1:8">
      <c r="A36" s="4"/>
      <c r="B36" s="12"/>
      <c r="C36" s="12"/>
      <c r="D36" s="12"/>
      <c r="E36" s="12"/>
      <c r="F36" s="12"/>
      <c r="G36" s="12"/>
      <c r="H36" s="5"/>
    </row>
    <row r="37" spans="1:8">
      <c r="A37" s="4" t="s">
        <v>447</v>
      </c>
      <c r="B37" s="12"/>
      <c r="C37" s="12"/>
      <c r="D37" s="12"/>
      <c r="E37" s="12"/>
      <c r="F37" s="12"/>
      <c r="G37" s="12"/>
      <c r="H37" s="5"/>
    </row>
    <row r="38" spans="1:8">
      <c r="A38" s="4" t="s">
        <v>448</v>
      </c>
      <c r="B38" s="12"/>
      <c r="C38" s="12"/>
      <c r="D38" s="12"/>
      <c r="E38" s="12"/>
      <c r="F38" s="12"/>
      <c r="G38" s="12"/>
      <c r="H38" s="5"/>
    </row>
    <row r="39" spans="1:8">
      <c r="A39" s="4"/>
      <c r="B39" s="12"/>
      <c r="C39" s="12"/>
      <c r="D39" s="12"/>
      <c r="E39" s="12"/>
      <c r="F39" s="12"/>
      <c r="G39" s="12"/>
      <c r="H39" s="5"/>
    </row>
    <row r="40" spans="1:8">
      <c r="A40" s="4" t="s">
        <v>449</v>
      </c>
      <c r="B40" s="12"/>
      <c r="C40" s="12"/>
      <c r="D40" s="12"/>
      <c r="E40" s="12"/>
      <c r="F40" s="12"/>
      <c r="G40" s="12"/>
      <c r="H40" s="5"/>
    </row>
    <row r="41" spans="1:8">
      <c r="A41" s="4"/>
      <c r="B41" s="12" t="s">
        <v>5</v>
      </c>
      <c r="C41" s="12" t="s">
        <v>451</v>
      </c>
      <c r="D41" s="12"/>
      <c r="E41" s="12"/>
      <c r="F41" s="12"/>
      <c r="G41" s="12"/>
      <c r="H41" s="5"/>
    </row>
    <row r="42" spans="1:8">
      <c r="A42" s="4" t="s">
        <v>450</v>
      </c>
      <c r="B42" s="12">
        <v>0.4</v>
      </c>
      <c r="C42" s="12">
        <v>1.8</v>
      </c>
      <c r="D42" s="12" t="s">
        <v>189</v>
      </c>
      <c r="E42" s="12"/>
      <c r="F42" s="12"/>
      <c r="G42" s="12"/>
      <c r="H42" s="5"/>
    </row>
    <row r="43" spans="1:8">
      <c r="A43" s="7"/>
      <c r="B43" s="8"/>
      <c r="C43" s="8"/>
      <c r="D43" s="8"/>
      <c r="E43" s="8"/>
      <c r="F43" s="8"/>
      <c r="G43" s="8"/>
      <c r="H43" s="9"/>
    </row>
    <row r="48" spans="1:8">
      <c r="A48" s="15" t="s">
        <v>465</v>
      </c>
      <c r="B48" s="16"/>
      <c r="C48" s="16"/>
      <c r="D48" s="16"/>
      <c r="E48" s="16"/>
      <c r="F48" s="16"/>
      <c r="G48" s="16"/>
      <c r="H48" s="3"/>
    </row>
    <row r="49" spans="1:14">
      <c r="A49" s="4"/>
      <c r="B49" s="12"/>
      <c r="C49" s="12"/>
      <c r="D49" s="12"/>
      <c r="E49" s="12"/>
      <c r="F49" s="12"/>
      <c r="G49" s="12"/>
      <c r="H49" s="5"/>
      <c r="M49" t="s">
        <v>594</v>
      </c>
    </row>
    <row r="50" spans="1:14">
      <c r="A50" s="4"/>
      <c r="B50" s="12"/>
      <c r="C50" s="12" t="s">
        <v>473</v>
      </c>
      <c r="D50" s="12"/>
      <c r="E50" s="12"/>
      <c r="F50" s="12"/>
      <c r="G50" s="12"/>
      <c r="H50" s="5"/>
    </row>
    <row r="51" spans="1:14">
      <c r="A51" s="4" t="s">
        <v>467</v>
      </c>
      <c r="B51" s="12" t="s">
        <v>469</v>
      </c>
      <c r="C51" s="1">
        <v>1088723</v>
      </c>
      <c r="D51" s="12" t="s">
        <v>466</v>
      </c>
      <c r="E51" s="12"/>
      <c r="F51" s="12" t="s">
        <v>471</v>
      </c>
      <c r="G51" s="12"/>
      <c r="H51" s="5"/>
      <c r="J51" s="133">
        <f>C51/0.52</f>
        <v>2093698.0769230768</v>
      </c>
      <c r="K51" t="s">
        <v>474</v>
      </c>
      <c r="M51" s="347">
        <f>C51/1000</f>
        <v>1088.723</v>
      </c>
      <c r="N51" t="s">
        <v>595</v>
      </c>
    </row>
    <row r="52" spans="1:14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475</v>
      </c>
      <c r="M52" s="349">
        <f>J52/1000</f>
        <v>62.810942307692308</v>
      </c>
      <c r="N52" t="s">
        <v>596</v>
      </c>
    </row>
    <row r="53" spans="1:14">
      <c r="A53" s="4" t="s">
        <v>470</v>
      </c>
      <c r="B53" s="12" t="s">
        <v>468</v>
      </c>
      <c r="C53" s="1">
        <v>317799</v>
      </c>
      <c r="D53" s="12" t="s">
        <v>466</v>
      </c>
      <c r="E53" s="12"/>
      <c r="F53" s="12"/>
      <c r="G53" s="12"/>
      <c r="H53" s="5"/>
    </row>
    <row r="54" spans="1:14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650</v>
      </c>
    </row>
    <row r="55" spans="1:14">
      <c r="A55" s="4" t="s">
        <v>23</v>
      </c>
      <c r="B55" s="12" t="s">
        <v>472</v>
      </c>
      <c r="C55" s="1">
        <v>8569232</v>
      </c>
      <c r="D55" s="12" t="s">
        <v>466</v>
      </c>
      <c r="E55" s="12"/>
      <c r="F55" s="12"/>
      <c r="G55" s="12"/>
      <c r="H55" s="5"/>
    </row>
    <row r="56" spans="1:14">
      <c r="A56" s="4"/>
      <c r="B56" s="12"/>
      <c r="C56" s="12"/>
      <c r="D56" s="12"/>
      <c r="E56" s="12"/>
      <c r="F56" s="12"/>
      <c r="G56" s="12"/>
      <c r="H56" s="5"/>
    </row>
    <row r="57" spans="1:14">
      <c r="A57" s="7"/>
      <c r="B57" s="8"/>
      <c r="C57" s="8"/>
      <c r="D57" s="8"/>
      <c r="E57" s="8"/>
      <c r="F57" s="8"/>
      <c r="G57" s="8"/>
      <c r="H57" s="9"/>
    </row>
    <row r="62" spans="1:14">
      <c r="A62" t="s">
        <v>476</v>
      </c>
    </row>
    <row r="63" spans="1:14">
      <c r="A63" s="15"/>
      <c r="B63" s="16"/>
      <c r="C63" s="16"/>
      <c r="D63" s="16"/>
      <c r="E63" s="16"/>
      <c r="F63" s="16"/>
      <c r="G63" s="16"/>
      <c r="H63" s="3"/>
    </row>
    <row r="64" spans="1:14">
      <c r="A64" s="4">
        <v>3043</v>
      </c>
      <c r="B64" s="12" t="s">
        <v>477</v>
      </c>
      <c r="C64" s="12"/>
      <c r="D64" s="12"/>
      <c r="E64" s="12"/>
      <c r="F64" s="12"/>
      <c r="G64" s="12"/>
      <c r="H64" s="5"/>
    </row>
    <row r="65" spans="1:12">
      <c r="A65" s="4"/>
      <c r="B65" s="12"/>
      <c r="C65" s="12"/>
      <c r="D65" s="12"/>
      <c r="E65" s="12"/>
      <c r="F65" s="12"/>
      <c r="G65" s="12"/>
      <c r="H65" s="5"/>
    </row>
    <row r="66" spans="1:12">
      <c r="A66" s="4"/>
      <c r="B66" s="12"/>
      <c r="C66" s="12"/>
      <c r="D66" s="12"/>
      <c r="E66" s="12"/>
      <c r="F66" s="12"/>
      <c r="G66" s="12"/>
      <c r="H66" s="5"/>
    </row>
    <row r="67" spans="1:12">
      <c r="A67" s="4"/>
      <c r="B67" s="12"/>
      <c r="C67" s="12"/>
      <c r="D67" s="12"/>
      <c r="E67" s="12"/>
      <c r="F67" s="12"/>
      <c r="G67" s="12"/>
      <c r="H67" s="5"/>
    </row>
    <row r="68" spans="1:12">
      <c r="A68" s="7"/>
      <c r="B68" s="8"/>
      <c r="C68" s="8"/>
      <c r="D68" s="8"/>
      <c r="E68" s="8"/>
      <c r="F68" s="8"/>
      <c r="G68" s="8"/>
      <c r="H68" s="9"/>
    </row>
    <row r="72" spans="1:12">
      <c r="A72" t="s">
        <v>487</v>
      </c>
    </row>
    <row r="73" spans="1:12">
      <c r="A73" s="15"/>
      <c r="B73" s="16"/>
      <c r="C73" s="16"/>
      <c r="D73" s="16"/>
      <c r="E73" s="16"/>
      <c r="F73" s="16"/>
      <c r="G73" s="16"/>
      <c r="H73" s="3"/>
    </row>
    <row r="74" spans="1:12">
      <c r="A74" s="4" t="s">
        <v>488</v>
      </c>
      <c r="B74" s="12">
        <v>1.1499999999999999</v>
      </c>
      <c r="C74" s="12" t="s">
        <v>489</v>
      </c>
      <c r="D74" s="12"/>
      <c r="E74" s="12"/>
      <c r="F74" s="12"/>
      <c r="G74" s="12"/>
      <c r="H74" s="5"/>
    </row>
    <row r="75" spans="1:12">
      <c r="A75" s="4"/>
      <c r="B75" s="12"/>
      <c r="C75" s="12"/>
      <c r="D75" s="12"/>
      <c r="E75" s="12"/>
      <c r="F75" s="12"/>
      <c r="G75" s="12"/>
      <c r="H75" s="5"/>
    </row>
    <row r="76" spans="1:12">
      <c r="A76" s="4" t="s">
        <v>490</v>
      </c>
      <c r="B76" s="308">
        <v>0.65</v>
      </c>
      <c r="C76" s="12" t="s">
        <v>564</v>
      </c>
      <c r="D76" s="12"/>
      <c r="E76" s="12"/>
      <c r="F76" s="12"/>
      <c r="G76" s="12"/>
      <c r="H76" s="5"/>
    </row>
    <row r="77" spans="1:12">
      <c r="A77" s="4" t="s">
        <v>491</v>
      </c>
      <c r="B77" s="308">
        <v>0.35</v>
      </c>
      <c r="C77" s="12" t="s">
        <v>1559</v>
      </c>
      <c r="D77" s="12"/>
      <c r="E77" s="12"/>
      <c r="F77" s="12"/>
      <c r="G77" s="12"/>
      <c r="H77" s="5"/>
    </row>
    <row r="78" spans="1:12">
      <c r="A78" s="4"/>
      <c r="B78" s="12"/>
      <c r="C78" s="12"/>
      <c r="D78" s="12"/>
      <c r="E78" s="12"/>
      <c r="F78" s="12"/>
      <c r="G78" s="12"/>
      <c r="H78" s="5"/>
    </row>
    <row r="79" spans="1:12">
      <c r="A79" s="4" t="s">
        <v>494</v>
      </c>
      <c r="B79" s="12"/>
      <c r="C79" s="12"/>
      <c r="D79" s="12"/>
      <c r="E79" s="12"/>
      <c r="F79" s="12"/>
      <c r="G79" s="12"/>
      <c r="H79" s="5"/>
    </row>
    <row r="80" spans="1:12">
      <c r="A80" s="4"/>
      <c r="B80" s="12" t="s">
        <v>493</v>
      </c>
      <c r="C80" s="12"/>
      <c r="D80" s="12"/>
      <c r="E80" s="12"/>
      <c r="F80" s="12"/>
      <c r="G80" s="12"/>
      <c r="H80" s="5"/>
      <c r="J80" t="s">
        <v>434</v>
      </c>
      <c r="L80" t="s">
        <v>495</v>
      </c>
    </row>
    <row r="81" spans="1:1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>
      <c r="A82" s="4" t="s">
        <v>492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>
      <c r="A84" s="4"/>
      <c r="B84" s="12"/>
      <c r="C84" s="12"/>
      <c r="D84" s="12"/>
      <c r="E84" s="12"/>
      <c r="F84" s="12"/>
      <c r="G84" s="12"/>
      <c r="H84" s="5"/>
      <c r="I84" s="12"/>
      <c r="K84" t="s">
        <v>503</v>
      </c>
      <c r="L84" s="393">
        <f>SUM(L81:L83)</f>
        <v>15570</v>
      </c>
      <c r="M84" s="136" t="s">
        <v>496</v>
      </c>
    </row>
    <row r="85" spans="1:1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496</v>
      </c>
    </row>
    <row r="86" spans="1:15">
      <c r="A86" s="354" t="s">
        <v>497</v>
      </c>
      <c r="B86" s="20">
        <v>1.8</v>
      </c>
      <c r="C86" s="12" t="s">
        <v>498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496</v>
      </c>
    </row>
    <row r="87" spans="1:15">
      <c r="A87" s="7"/>
      <c r="B87" s="8"/>
      <c r="C87" s="8"/>
      <c r="D87" s="8"/>
      <c r="E87" s="8"/>
      <c r="F87" s="8"/>
      <c r="G87" s="8"/>
      <c r="H87" s="9"/>
    </row>
    <row r="91" spans="1:15" ht="15.75">
      <c r="M91" s="23"/>
    </row>
    <row r="92" spans="1:15">
      <c r="J92" s="349"/>
    </row>
    <row r="93" spans="1:15">
      <c r="O93" s="349"/>
    </row>
    <row r="94" spans="1:15">
      <c r="B94" t="s">
        <v>651</v>
      </c>
      <c r="J94" s="367"/>
      <c r="O94" s="349"/>
    </row>
    <row r="95" spans="1:15">
      <c r="B95" t="s">
        <v>663</v>
      </c>
      <c r="J95" s="367"/>
    </row>
    <row r="96" spans="1:15" ht="15.75" thickBot="1">
      <c r="B96" s="471"/>
      <c r="C96" s="471" t="s">
        <v>652</v>
      </c>
      <c r="D96" s="471" t="s">
        <v>653</v>
      </c>
      <c r="E96" s="471" t="s">
        <v>654</v>
      </c>
      <c r="F96" s="471" t="s">
        <v>655</v>
      </c>
      <c r="G96" s="471" t="s">
        <v>656</v>
      </c>
      <c r="J96" s="133"/>
    </row>
    <row r="97" spans="2:11" ht="29.25" thickBot="1">
      <c r="B97" s="472" t="s">
        <v>657</v>
      </c>
      <c r="C97" s="473" t="s">
        <v>658</v>
      </c>
      <c r="D97" s="473" t="s">
        <v>659</v>
      </c>
      <c r="E97" s="473" t="s">
        <v>660</v>
      </c>
      <c r="F97" s="473" t="s">
        <v>661</v>
      </c>
      <c r="G97" s="473">
        <v>179.47</v>
      </c>
      <c r="H97" s="474" t="s">
        <v>662</v>
      </c>
    </row>
    <row r="98" spans="2:11">
      <c r="J98" s="133"/>
    </row>
    <row r="100" spans="2:11">
      <c r="G100">
        <f>G97*16</f>
        <v>2871.52</v>
      </c>
      <c r="H100" t="s">
        <v>483</v>
      </c>
      <c r="J100" s="348">
        <v>29</v>
      </c>
      <c r="K100" t="s">
        <v>148</v>
      </c>
    </row>
    <row r="101" spans="2:11">
      <c r="G101" s="349">
        <f>G100/J100</f>
        <v>99.017931034482757</v>
      </c>
      <c r="H101" t="s">
        <v>664</v>
      </c>
    </row>
  </sheetData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workbookViewId="0"/>
  </sheetViews>
  <sheetFormatPr defaultColWidth="12.85546875" defaultRowHeight="15.7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>
      <c r="A2" s="22" t="s">
        <v>671</v>
      </c>
    </row>
    <row r="3" spans="1:10" ht="16.5" thickTop="1"/>
    <row r="4" spans="1:10">
      <c r="B4" s="72" t="s">
        <v>672</v>
      </c>
      <c r="C4" s="476" t="s">
        <v>673</v>
      </c>
      <c r="D4" s="23" t="s">
        <v>736</v>
      </c>
      <c r="E4" s="100">
        <v>1.3012729844413011</v>
      </c>
      <c r="F4" s="23" t="s">
        <v>737</v>
      </c>
    </row>
    <row r="5" spans="1:10">
      <c r="B5" s="72" t="s">
        <v>674</v>
      </c>
      <c r="C5" s="476">
        <v>2010</v>
      </c>
    </row>
    <row r="7" spans="1:10" ht="18" thickBot="1">
      <c r="B7" s="24" t="s">
        <v>731</v>
      </c>
    </row>
    <row r="8" spans="1:10" ht="16.5" thickTop="1">
      <c r="B8" s="477"/>
      <c r="C8" s="478"/>
      <c r="D8" s="478" t="s">
        <v>675</v>
      </c>
      <c r="E8" s="478" t="s">
        <v>676</v>
      </c>
      <c r="F8" s="478" t="s">
        <v>677</v>
      </c>
      <c r="G8" s="478" t="s">
        <v>678</v>
      </c>
      <c r="H8" s="478" t="s">
        <v>679</v>
      </c>
      <c r="I8" s="478" t="s">
        <v>732</v>
      </c>
      <c r="J8" s="479" t="s">
        <v>563</v>
      </c>
    </row>
    <row r="9" spans="1:10">
      <c r="B9" s="80"/>
      <c r="C9" s="92"/>
      <c r="D9" s="92" t="s">
        <v>680</v>
      </c>
      <c r="E9" s="92" t="s">
        <v>681</v>
      </c>
      <c r="F9" s="92"/>
      <c r="G9" s="92"/>
      <c r="H9" s="92"/>
      <c r="I9" s="92"/>
      <c r="J9" s="480"/>
    </row>
    <row r="10" spans="1:10">
      <c r="B10" s="91" t="s">
        <v>231</v>
      </c>
      <c r="C10" s="74" t="s">
        <v>246</v>
      </c>
      <c r="D10" s="74" t="s">
        <v>682</v>
      </c>
      <c r="E10" s="74">
        <v>98</v>
      </c>
      <c r="F10" s="74" t="s">
        <v>683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684</v>
      </c>
    </row>
    <row r="11" spans="1:10">
      <c r="B11" s="60"/>
      <c r="C11" s="74" t="s">
        <v>685</v>
      </c>
      <c r="D11" s="74" t="s">
        <v>682</v>
      </c>
      <c r="E11" s="74">
        <v>43.89</v>
      </c>
      <c r="F11" s="74" t="s">
        <v>683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686</v>
      </c>
    </row>
    <row r="12" spans="1:10">
      <c r="B12" s="72"/>
      <c r="C12" s="74" t="s">
        <v>687</v>
      </c>
      <c r="D12" s="74" t="s">
        <v>682</v>
      </c>
      <c r="E12" s="74">
        <v>340</v>
      </c>
      <c r="F12" s="74" t="s">
        <v>683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684</v>
      </c>
    </row>
    <row r="13" spans="1:10">
      <c r="B13" s="72"/>
      <c r="C13" s="74" t="s">
        <v>688</v>
      </c>
      <c r="D13" s="74" t="s">
        <v>689</v>
      </c>
      <c r="E13" s="74">
        <v>9.5000000000000001E-2</v>
      </c>
      <c r="F13" s="74" t="s">
        <v>683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684</v>
      </c>
    </row>
    <row r="14" spans="1:10">
      <c r="B14" s="72"/>
      <c r="C14" s="74" t="s">
        <v>690</v>
      </c>
      <c r="D14" s="74" t="s">
        <v>682</v>
      </c>
      <c r="E14" s="74">
        <v>90.02</v>
      </c>
      <c r="F14" s="74" t="s">
        <v>683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686</v>
      </c>
    </row>
    <row r="15" spans="1:10">
      <c r="B15" s="72"/>
      <c r="C15" s="74" t="s">
        <v>691</v>
      </c>
      <c r="D15" s="74" t="s">
        <v>682</v>
      </c>
      <c r="E15" s="74">
        <v>77.83</v>
      </c>
      <c r="F15" s="74" t="s">
        <v>683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686</v>
      </c>
    </row>
    <row r="16" spans="1:10">
      <c r="B16" s="72"/>
      <c r="C16" s="74" t="s">
        <v>692</v>
      </c>
      <c r="D16" s="74" t="s">
        <v>682</v>
      </c>
      <c r="E16" s="74">
        <v>1175</v>
      </c>
      <c r="F16" s="74" t="s">
        <v>683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684</v>
      </c>
    </row>
    <row r="17" spans="2:10">
      <c r="B17" s="72"/>
      <c r="C17" s="74" t="s">
        <v>248</v>
      </c>
      <c r="D17" s="74" t="s">
        <v>682</v>
      </c>
      <c r="E17" s="74">
        <v>50</v>
      </c>
      <c r="F17" s="74" t="s">
        <v>683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684</v>
      </c>
    </row>
    <row r="18" spans="2:10">
      <c r="B18" s="72"/>
      <c r="C18" s="74" t="s">
        <v>693</v>
      </c>
      <c r="D18" s="74" t="s">
        <v>682</v>
      </c>
      <c r="E18" s="74">
        <v>490.53</v>
      </c>
      <c r="F18" s="74" t="s">
        <v>683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686</v>
      </c>
    </row>
    <row r="19" spans="2:10">
      <c r="B19" s="72"/>
      <c r="C19" s="74" t="s">
        <v>694</v>
      </c>
      <c r="D19" s="74" t="s">
        <v>682</v>
      </c>
      <c r="E19" s="74">
        <v>5800</v>
      </c>
      <c r="F19" s="74" t="s">
        <v>683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684</v>
      </c>
    </row>
    <row r="20" spans="2:10">
      <c r="B20" s="72"/>
      <c r="C20" s="74" t="s">
        <v>695</v>
      </c>
      <c r="D20" s="74" t="s">
        <v>682</v>
      </c>
      <c r="E20" s="74">
        <v>648</v>
      </c>
      <c r="F20" s="74" t="s">
        <v>683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684</v>
      </c>
    </row>
    <row r="21" spans="2:10">
      <c r="B21" s="91" t="s">
        <v>696</v>
      </c>
      <c r="C21" s="74" t="s">
        <v>697</v>
      </c>
      <c r="D21" s="74" t="s">
        <v>682</v>
      </c>
      <c r="E21" s="74">
        <v>9.25</v>
      </c>
      <c r="F21" s="74" t="s">
        <v>683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684</v>
      </c>
    </row>
    <row r="22" spans="2:10">
      <c r="B22" s="72"/>
      <c r="C22" s="74" t="s">
        <v>698</v>
      </c>
      <c r="D22" s="74" t="s">
        <v>682</v>
      </c>
      <c r="E22" s="74">
        <v>5</v>
      </c>
      <c r="F22" s="74" t="s">
        <v>683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684</v>
      </c>
    </row>
    <row r="23" spans="2:10">
      <c r="B23" s="72"/>
      <c r="C23" s="74" t="s">
        <v>699</v>
      </c>
      <c r="D23" s="74" t="s">
        <v>682</v>
      </c>
      <c r="E23" s="74">
        <v>13.25</v>
      </c>
      <c r="F23" s="74" t="s">
        <v>683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684</v>
      </c>
    </row>
    <row r="24" spans="2:10">
      <c r="B24" s="91" t="s">
        <v>700</v>
      </c>
      <c r="C24" s="74" t="s">
        <v>701</v>
      </c>
      <c r="D24" s="74" t="s">
        <v>702</v>
      </c>
      <c r="E24" s="74">
        <v>37.700000000000003</v>
      </c>
      <c r="F24" s="74" t="s">
        <v>683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684</v>
      </c>
    </row>
    <row r="25" spans="2:10">
      <c r="B25" s="72"/>
      <c r="C25" s="74" t="s">
        <v>703</v>
      </c>
      <c r="D25" s="74"/>
      <c r="E25" s="74"/>
      <c r="F25" s="74" t="s">
        <v>683</v>
      </c>
      <c r="G25" s="481">
        <v>2011</v>
      </c>
      <c r="H25" s="74">
        <v>7.5574381672222009</v>
      </c>
      <c r="I25" s="486">
        <f>H25*E25</f>
        <v>0</v>
      </c>
      <c r="J25" s="482" t="s">
        <v>684</v>
      </c>
    </row>
    <row r="26" spans="2:10">
      <c r="B26" s="72"/>
      <c r="C26" s="74" t="s">
        <v>704</v>
      </c>
      <c r="D26" s="483" t="s">
        <v>705</v>
      </c>
      <c r="E26" s="74">
        <v>15</v>
      </c>
      <c r="F26" s="74" t="s">
        <v>683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684</v>
      </c>
    </row>
    <row r="27" spans="2:10">
      <c r="B27" s="72"/>
      <c r="C27" s="74" t="s">
        <v>706</v>
      </c>
      <c r="D27" s="483" t="s">
        <v>705</v>
      </c>
      <c r="E27" s="74">
        <v>-31.8</v>
      </c>
      <c r="F27" s="74" t="s">
        <v>683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684</v>
      </c>
    </row>
    <row r="33" spans="2:9" ht="18" thickBot="1">
      <c r="B33" s="24" t="s">
        <v>707</v>
      </c>
    </row>
    <row r="34" spans="2:9" ht="16.5" thickTop="1">
      <c r="B34" s="477"/>
      <c r="C34" s="478"/>
      <c r="D34" s="478" t="s">
        <v>708</v>
      </c>
      <c r="E34" s="478" t="s">
        <v>675</v>
      </c>
      <c r="F34" s="478" t="s">
        <v>7</v>
      </c>
      <c r="G34" s="478"/>
      <c r="H34" s="478" t="s">
        <v>7</v>
      </c>
      <c r="I34" s="479" t="s">
        <v>709</v>
      </c>
    </row>
    <row r="35" spans="2:9">
      <c r="B35" s="80"/>
      <c r="C35" s="92"/>
      <c r="D35" s="92"/>
      <c r="E35" s="92"/>
      <c r="F35" s="92" t="s">
        <v>710</v>
      </c>
      <c r="G35" s="92"/>
      <c r="H35" s="484" t="s">
        <v>711</v>
      </c>
      <c r="I35" s="480"/>
    </row>
    <row r="36" spans="2:9">
      <c r="B36" s="72" t="s">
        <v>712</v>
      </c>
      <c r="C36" s="74" t="s">
        <v>246</v>
      </c>
      <c r="D36" s="74" t="s">
        <v>713</v>
      </c>
      <c r="E36" s="74" t="s">
        <v>714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715</v>
      </c>
    </row>
    <row r="37" spans="2:9">
      <c r="B37" s="72"/>
      <c r="C37" s="74" t="s">
        <v>697</v>
      </c>
      <c r="D37" s="74" t="s">
        <v>716</v>
      </c>
      <c r="E37" s="74" t="s">
        <v>714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715</v>
      </c>
    </row>
    <row r="38" spans="2:9">
      <c r="B38" s="72"/>
      <c r="C38" s="74" t="s">
        <v>687</v>
      </c>
      <c r="D38" s="74" t="s">
        <v>713</v>
      </c>
      <c r="E38" s="74" t="s">
        <v>714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715</v>
      </c>
    </row>
    <row r="39" spans="2:9">
      <c r="B39" s="72"/>
      <c r="C39" s="74" t="s">
        <v>698</v>
      </c>
      <c r="D39" s="74" t="s">
        <v>716</v>
      </c>
      <c r="E39" s="74" t="s">
        <v>714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715</v>
      </c>
    </row>
    <row r="40" spans="2:9">
      <c r="B40" s="72"/>
      <c r="C40" s="74" t="s">
        <v>699</v>
      </c>
      <c r="D40" s="74" t="s">
        <v>716</v>
      </c>
      <c r="E40" s="74" t="s">
        <v>714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715</v>
      </c>
    </row>
    <row r="41" spans="2:9">
      <c r="B41" s="72"/>
      <c r="C41" s="74" t="s">
        <v>688</v>
      </c>
      <c r="D41" s="74" t="s">
        <v>713</v>
      </c>
      <c r="E41" s="74" t="s">
        <v>717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715</v>
      </c>
    </row>
    <row r="42" spans="2:9">
      <c r="B42" s="72"/>
      <c r="C42" s="74" t="s">
        <v>692</v>
      </c>
      <c r="D42" s="74" t="s">
        <v>713</v>
      </c>
      <c r="E42" s="74" t="s">
        <v>714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715</v>
      </c>
    </row>
    <row r="43" spans="2:9">
      <c r="B43" s="72"/>
      <c r="C43" s="74" t="s">
        <v>248</v>
      </c>
      <c r="D43" s="74" t="s">
        <v>713</v>
      </c>
      <c r="E43" s="74" t="s">
        <v>714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715</v>
      </c>
    </row>
    <row r="44" spans="2:9">
      <c r="B44" s="72"/>
      <c r="C44" s="74" t="s">
        <v>694</v>
      </c>
      <c r="D44" s="74" t="s">
        <v>713</v>
      </c>
      <c r="E44" s="74" t="s">
        <v>714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715</v>
      </c>
    </row>
    <row r="45" spans="2:9">
      <c r="B45" s="72"/>
      <c r="C45" s="74" t="s">
        <v>695</v>
      </c>
      <c r="D45" s="74" t="s">
        <v>713</v>
      </c>
      <c r="E45" s="74" t="s">
        <v>714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715</v>
      </c>
    </row>
    <row r="46" spans="2:9">
      <c r="B46" s="72" t="s">
        <v>700</v>
      </c>
      <c r="C46" s="74" t="s">
        <v>701</v>
      </c>
      <c r="D46" s="74" t="s">
        <v>713</v>
      </c>
      <c r="E46" s="74" t="s">
        <v>718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715</v>
      </c>
    </row>
    <row r="47" spans="2:9">
      <c r="B47" s="72"/>
      <c r="C47" s="74" t="s">
        <v>704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715</v>
      </c>
    </row>
    <row r="48" spans="2:9">
      <c r="B48" s="72"/>
      <c r="C48" s="74" t="s">
        <v>706</v>
      </c>
      <c r="D48" s="74" t="s">
        <v>713</v>
      </c>
      <c r="E48" s="74" t="s">
        <v>714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715</v>
      </c>
    </row>
    <row r="49" spans="2:9">
      <c r="B49" s="72"/>
      <c r="C49" s="74" t="s">
        <v>719</v>
      </c>
      <c r="D49" s="74"/>
      <c r="E49" s="74"/>
      <c r="F49" s="74"/>
      <c r="G49" s="74" t="e">
        <f t="shared" si="1"/>
        <v>#N/A</v>
      </c>
      <c r="H49" s="74"/>
      <c r="I49" s="476" t="s">
        <v>715</v>
      </c>
    </row>
    <row r="50" spans="2:9">
      <c r="B50" s="72"/>
      <c r="C50" s="74" t="s">
        <v>720</v>
      </c>
      <c r="D50" s="74"/>
      <c r="E50" s="74"/>
      <c r="F50" s="74"/>
      <c r="G50" s="74" t="e">
        <f t="shared" si="1"/>
        <v>#N/A</v>
      </c>
      <c r="H50" s="74"/>
      <c r="I50" s="476" t="s">
        <v>715</v>
      </c>
    </row>
    <row r="51" spans="2:9">
      <c r="B51" s="72"/>
      <c r="C51" s="74" t="s">
        <v>721</v>
      </c>
      <c r="D51" s="74"/>
      <c r="E51" s="74"/>
      <c r="F51" s="74"/>
      <c r="G51" s="74" t="e">
        <f t="shared" si="1"/>
        <v>#N/A</v>
      </c>
      <c r="H51" s="74"/>
      <c r="I51" s="476" t="s">
        <v>715</v>
      </c>
    </row>
    <row r="52" spans="2:9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>
      <c r="H53" s="23">
        <f>H52-H36</f>
        <v>1126.0677337138172</v>
      </c>
      <c r="I53" s="23" t="s">
        <v>738</v>
      </c>
    </row>
    <row r="55" spans="2:9" ht="18" thickBot="1">
      <c r="B55" s="24" t="s">
        <v>722</v>
      </c>
    </row>
    <row r="56" spans="2:9" ht="16.5" thickTop="1">
      <c r="B56" s="91"/>
      <c r="C56" s="94"/>
      <c r="D56" s="94" t="s">
        <v>708</v>
      </c>
      <c r="E56" s="94" t="s">
        <v>675</v>
      </c>
      <c r="F56" s="94" t="s">
        <v>9</v>
      </c>
      <c r="G56" s="94"/>
      <c r="H56" s="94" t="s">
        <v>9</v>
      </c>
      <c r="I56" s="95" t="s">
        <v>723</v>
      </c>
    </row>
    <row r="57" spans="2:9">
      <c r="B57" s="80"/>
      <c r="C57" s="92"/>
      <c r="D57" s="92"/>
      <c r="E57" s="92"/>
      <c r="F57" s="92" t="s">
        <v>710</v>
      </c>
      <c r="G57" s="92"/>
      <c r="H57" s="92" t="s">
        <v>724</v>
      </c>
      <c r="I57" s="480"/>
    </row>
    <row r="58" spans="2:9">
      <c r="B58" s="72" t="s">
        <v>712</v>
      </c>
      <c r="C58" s="74" t="s">
        <v>685</v>
      </c>
      <c r="D58" s="74" t="s">
        <v>713</v>
      </c>
      <c r="E58" s="74" t="s">
        <v>714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686</v>
      </c>
    </row>
    <row r="59" spans="2:9">
      <c r="B59" s="72"/>
      <c r="C59" s="74" t="s">
        <v>697</v>
      </c>
      <c r="D59" s="74" t="s">
        <v>716</v>
      </c>
      <c r="E59" s="74" t="s">
        <v>714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686</v>
      </c>
    </row>
    <row r="60" spans="2:9">
      <c r="B60" s="72"/>
      <c r="C60" s="74" t="s">
        <v>687</v>
      </c>
      <c r="D60" s="74" t="s">
        <v>713</v>
      </c>
      <c r="E60" s="74" t="s">
        <v>714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>
      <c r="B61" s="72"/>
      <c r="C61" s="74" t="s">
        <v>698</v>
      </c>
      <c r="D61" s="74" t="s">
        <v>716</v>
      </c>
      <c r="E61" s="74" t="s">
        <v>714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>
      <c r="B62" s="72"/>
      <c r="C62" s="74" t="s">
        <v>699</v>
      </c>
      <c r="D62" s="74" t="s">
        <v>716</v>
      </c>
      <c r="E62" s="74" t="s">
        <v>714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>
      <c r="B63" s="72"/>
      <c r="C63" s="74" t="s">
        <v>688</v>
      </c>
      <c r="D63" s="74" t="s">
        <v>713</v>
      </c>
      <c r="E63" s="74" t="s">
        <v>717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>
      <c r="B64" s="72"/>
      <c r="C64" s="74" t="s">
        <v>691</v>
      </c>
      <c r="D64" s="74" t="s">
        <v>713</v>
      </c>
      <c r="E64" s="74" t="s">
        <v>714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>
      <c r="B65" s="72"/>
      <c r="C65" s="74" t="s">
        <v>248</v>
      </c>
      <c r="D65" s="74" t="s">
        <v>713</v>
      </c>
      <c r="E65" s="74" t="s">
        <v>714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>
      <c r="B66" s="72"/>
      <c r="C66" s="74" t="s">
        <v>694</v>
      </c>
      <c r="D66" s="74" t="s">
        <v>713</v>
      </c>
      <c r="E66" s="74" t="s">
        <v>714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>
      <c r="B67" s="72"/>
      <c r="C67" s="74" t="s">
        <v>695</v>
      </c>
      <c r="D67" s="74" t="s">
        <v>713</v>
      </c>
      <c r="E67" s="74" t="s">
        <v>714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>
      <c r="B68" s="72" t="s">
        <v>700</v>
      </c>
      <c r="C68" s="74" t="s">
        <v>701</v>
      </c>
      <c r="D68" s="74" t="s">
        <v>713</v>
      </c>
      <c r="E68" s="74" t="s">
        <v>718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>
      <c r="B69" s="72"/>
      <c r="C69" s="74" t="s">
        <v>704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>
      <c r="B70" s="72"/>
      <c r="C70" s="74" t="s">
        <v>706</v>
      </c>
      <c r="D70" s="74" t="s">
        <v>713</v>
      </c>
      <c r="E70" s="74" t="s">
        <v>714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>
      <c r="B71" s="72"/>
      <c r="C71" s="74" t="s">
        <v>719</v>
      </c>
      <c r="D71" s="74"/>
      <c r="E71" s="74"/>
      <c r="F71" s="74"/>
      <c r="G71" s="74" t="e">
        <f t="shared" si="3"/>
        <v>#N/A</v>
      </c>
      <c r="H71" s="74"/>
      <c r="I71" s="476"/>
    </row>
    <row r="72" spans="2:9">
      <c r="B72" s="72"/>
      <c r="C72" s="74" t="s">
        <v>720</v>
      </c>
      <c r="D72" s="74"/>
      <c r="E72" s="74"/>
      <c r="F72" s="74"/>
      <c r="G72" s="74" t="e">
        <f t="shared" si="3"/>
        <v>#N/A</v>
      </c>
      <c r="H72" s="74"/>
      <c r="I72" s="476"/>
    </row>
    <row r="73" spans="2:9">
      <c r="B73" s="72"/>
      <c r="C73" s="74" t="s">
        <v>721</v>
      </c>
      <c r="D73" s="74"/>
      <c r="E73" s="74"/>
      <c r="F73" s="74"/>
      <c r="G73" s="74" t="e">
        <f t="shared" si="3"/>
        <v>#N/A</v>
      </c>
      <c r="H73" s="74"/>
      <c r="I73" s="476"/>
    </row>
    <row r="74" spans="2:9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>
      <c r="H75" s="487">
        <f>H74-H58</f>
        <v>1879.5943986421182</v>
      </c>
      <c r="I75" s="23" t="s">
        <v>738</v>
      </c>
    </row>
    <row r="77" spans="2:9" ht="18" thickBot="1">
      <c r="B77" s="24" t="s">
        <v>725</v>
      </c>
    </row>
    <row r="78" spans="2:9" ht="16.5" thickTop="1">
      <c r="B78" s="477"/>
      <c r="C78" s="478"/>
      <c r="D78" s="478" t="s">
        <v>708</v>
      </c>
      <c r="E78" s="478" t="s">
        <v>675</v>
      </c>
      <c r="F78" s="478" t="s">
        <v>8</v>
      </c>
      <c r="G78" s="478"/>
      <c r="H78" s="478" t="s">
        <v>8</v>
      </c>
      <c r="I78" s="479"/>
    </row>
    <row r="79" spans="2:9">
      <c r="B79" s="80"/>
      <c r="C79" s="92"/>
      <c r="D79" s="92"/>
      <c r="E79" s="92"/>
      <c r="F79" s="92" t="s">
        <v>710</v>
      </c>
      <c r="G79" s="92"/>
      <c r="H79" s="92" t="s">
        <v>724</v>
      </c>
      <c r="I79" s="480"/>
    </row>
    <row r="80" spans="2:9">
      <c r="B80" s="72" t="s">
        <v>712</v>
      </c>
      <c r="C80" s="74" t="s">
        <v>246</v>
      </c>
      <c r="D80" s="74" t="s">
        <v>713</v>
      </c>
      <c r="E80" s="74" t="s">
        <v>714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726</v>
      </c>
    </row>
    <row r="81" spans="2:9">
      <c r="B81" s="72"/>
      <c r="C81" s="74" t="s">
        <v>697</v>
      </c>
      <c r="D81" s="74" t="s">
        <v>716</v>
      </c>
      <c r="E81" s="74" t="s">
        <v>714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726</v>
      </c>
    </row>
    <row r="82" spans="2:9">
      <c r="B82" s="72"/>
      <c r="C82" s="74" t="s">
        <v>687</v>
      </c>
      <c r="D82" s="74" t="s">
        <v>713</v>
      </c>
      <c r="E82" s="74" t="s">
        <v>714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726</v>
      </c>
    </row>
    <row r="83" spans="2:9">
      <c r="B83" s="72"/>
      <c r="C83" s="74" t="s">
        <v>698</v>
      </c>
      <c r="D83" s="74" t="s">
        <v>716</v>
      </c>
      <c r="E83" s="74" t="s">
        <v>714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726</v>
      </c>
    </row>
    <row r="84" spans="2:9">
      <c r="B84" s="72"/>
      <c r="C84" s="74" t="s">
        <v>699</v>
      </c>
      <c r="D84" s="74" t="s">
        <v>716</v>
      </c>
      <c r="E84" s="74" t="s">
        <v>714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726</v>
      </c>
    </row>
    <row r="85" spans="2:9">
      <c r="B85" s="72"/>
      <c r="C85" s="74" t="s">
        <v>688</v>
      </c>
      <c r="D85" s="74" t="s">
        <v>713</v>
      </c>
      <c r="E85" s="74" t="s">
        <v>717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726</v>
      </c>
    </row>
    <row r="86" spans="2:9">
      <c r="B86" s="72"/>
      <c r="C86" s="74" t="s">
        <v>692</v>
      </c>
      <c r="D86" s="74" t="s">
        <v>713</v>
      </c>
      <c r="E86" s="74" t="s">
        <v>714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726</v>
      </c>
    </row>
    <row r="87" spans="2:9">
      <c r="B87" s="72"/>
      <c r="C87" s="74" t="s">
        <v>248</v>
      </c>
      <c r="D87" s="74" t="s">
        <v>713</v>
      </c>
      <c r="E87" s="74" t="s">
        <v>714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726</v>
      </c>
    </row>
    <row r="88" spans="2:9">
      <c r="B88" s="72"/>
      <c r="C88" s="74" t="s">
        <v>694</v>
      </c>
      <c r="D88" s="74" t="s">
        <v>713</v>
      </c>
      <c r="E88" s="74" t="s">
        <v>714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726</v>
      </c>
    </row>
    <row r="89" spans="2:9">
      <c r="B89" s="72"/>
      <c r="C89" s="74" t="s">
        <v>695</v>
      </c>
      <c r="D89" s="74" t="s">
        <v>713</v>
      </c>
      <c r="E89" s="74" t="s">
        <v>714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726</v>
      </c>
    </row>
    <row r="90" spans="2:9">
      <c r="B90" s="72" t="s">
        <v>700</v>
      </c>
      <c r="C90" s="74" t="s">
        <v>701</v>
      </c>
      <c r="D90" s="74" t="s">
        <v>713</v>
      </c>
      <c r="E90" s="74" t="s">
        <v>718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726</v>
      </c>
    </row>
    <row r="91" spans="2:9">
      <c r="B91" s="72"/>
      <c r="C91" s="74" t="s">
        <v>704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726</v>
      </c>
    </row>
    <row r="92" spans="2:9">
      <c r="B92" s="72"/>
      <c r="C92" s="74" t="s">
        <v>706</v>
      </c>
      <c r="D92" s="74" t="s">
        <v>713</v>
      </c>
      <c r="E92" s="74" t="s">
        <v>714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726</v>
      </c>
    </row>
    <row r="93" spans="2:9">
      <c r="B93" s="72"/>
      <c r="C93" s="74" t="s">
        <v>719</v>
      </c>
      <c r="D93" s="74"/>
      <c r="E93" s="74"/>
      <c r="F93" s="74"/>
      <c r="G93" s="74" t="e">
        <f t="shared" si="5"/>
        <v>#N/A</v>
      </c>
      <c r="H93" s="74"/>
      <c r="I93" s="476"/>
    </row>
    <row r="94" spans="2:9">
      <c r="B94" s="72"/>
      <c r="C94" s="74" t="s">
        <v>720</v>
      </c>
      <c r="D94" s="74"/>
      <c r="E94" s="74"/>
      <c r="F94" s="74"/>
      <c r="G94" s="74" t="e">
        <f t="shared" si="5"/>
        <v>#N/A</v>
      </c>
      <c r="H94" s="74"/>
      <c r="I94" s="476"/>
    </row>
    <row r="95" spans="2:9">
      <c r="B95" s="72"/>
      <c r="C95" s="74" t="s">
        <v>721</v>
      </c>
      <c r="D95" s="74"/>
      <c r="E95" s="74"/>
      <c r="F95" s="74"/>
      <c r="G95" s="74" t="e">
        <f t="shared" si="5"/>
        <v>#N/A</v>
      </c>
      <c r="H95" s="74"/>
      <c r="I95" s="476"/>
    </row>
    <row r="96" spans="2:9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>
      <c r="H97" s="23">
        <f>H96</f>
        <v>3348.619987307768</v>
      </c>
    </row>
    <row r="99" spans="2:9" ht="18" thickBot="1">
      <c r="B99" s="24" t="s">
        <v>727</v>
      </c>
    </row>
    <row r="100" spans="2:9" ht="16.5" thickTop="1">
      <c r="B100" s="477"/>
      <c r="C100" s="478"/>
      <c r="D100" s="478" t="s">
        <v>708</v>
      </c>
      <c r="E100" s="478" t="s">
        <v>675</v>
      </c>
      <c r="F100" s="478" t="s">
        <v>728</v>
      </c>
      <c r="G100" s="478"/>
      <c r="H100" s="478" t="s">
        <v>728</v>
      </c>
      <c r="I100" s="479" t="s">
        <v>729</v>
      </c>
    </row>
    <row r="101" spans="2:9">
      <c r="B101" s="80"/>
      <c r="C101" s="92"/>
      <c r="D101" s="92"/>
      <c r="E101" s="92"/>
      <c r="F101" s="92" t="s">
        <v>710</v>
      </c>
      <c r="G101" s="92"/>
      <c r="H101" s="92" t="s">
        <v>724</v>
      </c>
      <c r="I101" s="480"/>
    </row>
    <row r="102" spans="2:9">
      <c r="B102" s="72" t="s">
        <v>712</v>
      </c>
      <c r="C102" s="74" t="s">
        <v>685</v>
      </c>
      <c r="D102" s="74" t="s">
        <v>713</v>
      </c>
      <c r="E102" s="74" t="s">
        <v>714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>
      <c r="B103" s="72"/>
      <c r="C103" s="74" t="s">
        <v>697</v>
      </c>
      <c r="D103" s="74" t="s">
        <v>716</v>
      </c>
      <c r="E103" s="74" t="s">
        <v>714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>
      <c r="B104" s="72"/>
      <c r="C104" s="74" t="s">
        <v>687</v>
      </c>
      <c r="D104" s="74" t="s">
        <v>713</v>
      </c>
      <c r="E104" s="74" t="s">
        <v>714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>
      <c r="B105" s="72"/>
      <c r="C105" s="74" t="s">
        <v>698</v>
      </c>
      <c r="D105" s="74" t="s">
        <v>716</v>
      </c>
      <c r="E105" s="74" t="s">
        <v>714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>
      <c r="B106" s="72"/>
      <c r="C106" s="74" t="s">
        <v>699</v>
      </c>
      <c r="D106" s="74" t="s">
        <v>716</v>
      </c>
      <c r="E106" s="74" t="s">
        <v>714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>
      <c r="B107" s="72"/>
      <c r="C107" s="74" t="s">
        <v>688</v>
      </c>
      <c r="D107" s="74" t="s">
        <v>713</v>
      </c>
      <c r="E107" s="74" t="s">
        <v>717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>
      <c r="B108" s="72"/>
      <c r="C108" s="74" t="s">
        <v>690</v>
      </c>
      <c r="D108" s="74" t="s">
        <v>713</v>
      </c>
      <c r="E108" s="74" t="s">
        <v>714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>
      <c r="B109" s="72"/>
      <c r="C109" s="74" t="s">
        <v>693</v>
      </c>
      <c r="D109" s="74" t="s">
        <v>713</v>
      </c>
      <c r="E109" s="74" t="s">
        <v>714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>
      <c r="B110" s="72"/>
      <c r="C110" s="74" t="s">
        <v>694</v>
      </c>
      <c r="D110" s="74" t="s">
        <v>713</v>
      </c>
      <c r="E110" s="74" t="s">
        <v>714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>
      <c r="B111" s="72"/>
      <c r="C111" s="74" t="s">
        <v>691</v>
      </c>
      <c r="D111" s="74" t="s">
        <v>713</v>
      </c>
      <c r="E111" s="74" t="s">
        <v>714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>
      <c r="B112" s="72" t="s">
        <v>700</v>
      </c>
      <c r="C112" s="74" t="s">
        <v>701</v>
      </c>
      <c r="D112" s="74" t="s">
        <v>713</v>
      </c>
      <c r="E112" s="74" t="s">
        <v>718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>
      <c r="B114" s="72"/>
      <c r="C114" s="74" t="s">
        <v>706</v>
      </c>
      <c r="D114" s="74" t="s">
        <v>713</v>
      </c>
      <c r="E114" s="74" t="s">
        <v>714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>
      <c r="B115" s="72"/>
      <c r="C115" s="74" t="s">
        <v>719</v>
      </c>
      <c r="D115" s="74"/>
      <c r="E115" s="74"/>
      <c r="F115" s="74"/>
      <c r="G115" s="74"/>
      <c r="H115" s="74"/>
      <c r="I115" s="476"/>
    </row>
    <row r="116" spans="2:9">
      <c r="B116" s="72"/>
      <c r="C116" s="74" t="s">
        <v>720</v>
      </c>
      <c r="D116" s="74"/>
      <c r="E116" s="74"/>
      <c r="F116" s="74"/>
      <c r="G116" s="74"/>
      <c r="H116" s="74"/>
      <c r="I116" s="476"/>
    </row>
    <row r="117" spans="2:9">
      <c r="B117" s="72"/>
      <c r="C117" s="74" t="s">
        <v>721</v>
      </c>
      <c r="D117" s="74"/>
      <c r="E117" s="74"/>
      <c r="F117" s="74"/>
      <c r="G117" s="74"/>
      <c r="H117" s="74"/>
      <c r="I117" s="476"/>
    </row>
    <row r="118" spans="2:9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>
      <c r="B121" s="477" t="s">
        <v>730</v>
      </c>
      <c r="C121" s="478" t="s">
        <v>7</v>
      </c>
      <c r="D121" s="478" t="s">
        <v>9</v>
      </c>
      <c r="E121" s="478" t="s">
        <v>158</v>
      </c>
      <c r="F121" s="479" t="s">
        <v>728</v>
      </c>
    </row>
    <row r="122" spans="2:9">
      <c r="B122" s="72" t="s">
        <v>734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733</v>
      </c>
    </row>
    <row r="123" spans="2:9">
      <c r="B123" s="72" t="s">
        <v>735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739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workbookViewId="0"/>
  </sheetViews>
  <sheetFormatPr defaultColWidth="12.5703125" defaultRowHeight="15.7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>
      <c r="A1" s="22" t="s">
        <v>1180</v>
      </c>
    </row>
    <row r="2" spans="1:10" ht="16.5" thickTop="1"/>
    <row r="3" spans="1:10">
      <c r="A3" s="72" t="s">
        <v>1181</v>
      </c>
      <c r="B3" s="476">
        <v>2010</v>
      </c>
    </row>
    <row r="4" spans="1:10">
      <c r="A4" s="72" t="s">
        <v>672</v>
      </c>
      <c r="B4" s="606" t="s">
        <v>673</v>
      </c>
    </row>
    <row r="6" spans="1:10">
      <c r="A6" s="607" t="s">
        <v>1182</v>
      </c>
    </row>
    <row r="7" spans="1:10">
      <c r="A7" s="477" t="s">
        <v>124</v>
      </c>
      <c r="B7" s="25" t="s">
        <v>1183</v>
      </c>
      <c r="C7" s="26" t="s">
        <v>563</v>
      </c>
      <c r="D7" s="26" t="s">
        <v>1184</v>
      </c>
      <c r="E7" s="26" t="s">
        <v>1185</v>
      </c>
      <c r="F7" s="26" t="s">
        <v>672</v>
      </c>
      <c r="G7" s="26" t="s">
        <v>1186</v>
      </c>
      <c r="H7" s="26" t="s">
        <v>679</v>
      </c>
      <c r="I7" s="26" t="s">
        <v>708</v>
      </c>
      <c r="J7" s="27" t="s">
        <v>1187</v>
      </c>
    </row>
    <row r="8" spans="1:10">
      <c r="B8" s="72" t="s">
        <v>1188</v>
      </c>
      <c r="C8" s="74" t="s">
        <v>1189</v>
      </c>
      <c r="D8" s="74" t="s">
        <v>1190</v>
      </c>
      <c r="E8" s="74">
        <v>2000</v>
      </c>
      <c r="F8" s="74" t="s">
        <v>683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1191</v>
      </c>
      <c r="J8" s="485">
        <f t="shared" ref="J8:J20" si="1">G8*H8</f>
        <v>875.4161570840306</v>
      </c>
    </row>
    <row r="9" spans="1:10">
      <c r="A9" s="72"/>
      <c r="B9" s="72" t="s">
        <v>1188</v>
      </c>
      <c r="C9" s="74" t="s">
        <v>1189</v>
      </c>
      <c r="D9" s="74" t="s">
        <v>1190</v>
      </c>
      <c r="E9" s="74">
        <v>2000</v>
      </c>
      <c r="F9" s="74" t="s">
        <v>683</v>
      </c>
      <c r="G9" s="74">
        <v>275</v>
      </c>
      <c r="H9" s="74">
        <f t="shared" si="0"/>
        <v>5.914974034351558</v>
      </c>
      <c r="I9" s="74" t="s">
        <v>1191</v>
      </c>
      <c r="J9" s="485">
        <f t="shared" si="1"/>
        <v>1626.6178594466785</v>
      </c>
    </row>
    <row r="10" spans="1:10">
      <c r="A10" s="72"/>
      <c r="B10" s="72" t="s">
        <v>371</v>
      </c>
      <c r="C10" s="74" t="s">
        <v>1189</v>
      </c>
      <c r="D10" s="74" t="s">
        <v>1192</v>
      </c>
      <c r="E10" s="74">
        <v>2000</v>
      </c>
      <c r="F10" s="74" t="s">
        <v>683</v>
      </c>
      <c r="G10" s="74">
        <v>100</v>
      </c>
      <c r="H10" s="74">
        <f t="shared" si="0"/>
        <v>5.914974034351558</v>
      </c>
      <c r="I10" s="74" t="s">
        <v>1191</v>
      </c>
      <c r="J10" s="485">
        <f t="shared" si="1"/>
        <v>591.49740343515577</v>
      </c>
    </row>
    <row r="11" spans="1:10">
      <c r="A11" s="72"/>
      <c r="B11" s="72" t="s">
        <v>1193</v>
      </c>
      <c r="C11" s="74" t="s">
        <v>1189</v>
      </c>
      <c r="D11" s="74" t="s">
        <v>1190</v>
      </c>
      <c r="E11" s="74">
        <v>2000</v>
      </c>
      <c r="F11" s="74" t="s">
        <v>683</v>
      </c>
      <c r="G11" s="74">
        <v>143</v>
      </c>
      <c r="H11" s="74">
        <f t="shared" si="0"/>
        <v>5.914974034351558</v>
      </c>
      <c r="I11" s="74" t="s">
        <v>1191</v>
      </c>
      <c r="J11" s="485">
        <f t="shared" si="1"/>
        <v>845.84128691227284</v>
      </c>
    </row>
    <row r="12" spans="1:10">
      <c r="A12" s="72"/>
      <c r="B12" s="72" t="s">
        <v>1194</v>
      </c>
      <c r="C12" s="74" t="s">
        <v>1189</v>
      </c>
      <c r="D12" s="74" t="s">
        <v>1190</v>
      </c>
      <c r="E12" s="74">
        <v>2000</v>
      </c>
      <c r="F12" s="74" t="s">
        <v>683</v>
      </c>
      <c r="G12" s="74">
        <v>145</v>
      </c>
      <c r="H12" s="74">
        <f t="shared" si="0"/>
        <v>5.914974034351558</v>
      </c>
      <c r="I12" s="74" t="s">
        <v>1191</v>
      </c>
      <c r="J12" s="485">
        <f t="shared" si="1"/>
        <v>857.6712349809759</v>
      </c>
    </row>
    <row r="13" spans="1:10">
      <c r="A13" s="72"/>
      <c r="B13" s="72" t="s">
        <v>1195</v>
      </c>
      <c r="C13" s="74" t="s">
        <v>1189</v>
      </c>
      <c r="D13" s="74" t="s">
        <v>1190</v>
      </c>
      <c r="E13" s="74">
        <v>2000</v>
      </c>
      <c r="F13" s="74" t="s">
        <v>683</v>
      </c>
      <c r="G13" s="74">
        <v>122</v>
      </c>
      <c r="H13" s="74">
        <f t="shared" si="0"/>
        <v>5.914974034351558</v>
      </c>
      <c r="I13" s="74" t="s">
        <v>1191</v>
      </c>
      <c r="J13" s="485">
        <f t="shared" si="1"/>
        <v>721.62683219089013</v>
      </c>
    </row>
    <row r="14" spans="1:10">
      <c r="A14" s="72"/>
      <c r="B14" s="72" t="s">
        <v>1196</v>
      </c>
      <c r="C14" s="74" t="s">
        <v>1189</v>
      </c>
      <c r="D14" s="74" t="s">
        <v>1190</v>
      </c>
      <c r="E14" s="74">
        <v>2000</v>
      </c>
      <c r="F14" s="74" t="s">
        <v>683</v>
      </c>
      <c r="G14" s="74">
        <v>98</v>
      </c>
      <c r="H14" s="74">
        <f t="shared" si="0"/>
        <v>5.914974034351558</v>
      </c>
      <c r="I14" s="74" t="s">
        <v>1191</v>
      </c>
      <c r="J14" s="485">
        <f t="shared" si="1"/>
        <v>579.66745536645271</v>
      </c>
    </row>
    <row r="15" spans="1:10">
      <c r="A15" s="72"/>
      <c r="B15" s="72" t="s">
        <v>1197</v>
      </c>
      <c r="C15" s="74" t="s">
        <v>1189</v>
      </c>
      <c r="D15" s="74" t="s">
        <v>1190</v>
      </c>
      <c r="E15" s="74">
        <v>2000</v>
      </c>
      <c r="F15" s="74" t="s">
        <v>683</v>
      </c>
      <c r="G15" s="74">
        <v>320</v>
      </c>
      <c r="H15" s="74">
        <f t="shared" si="0"/>
        <v>5.914974034351558</v>
      </c>
      <c r="I15" s="74" t="s">
        <v>1191</v>
      </c>
      <c r="J15" s="485">
        <f t="shared" si="1"/>
        <v>1892.7916909924986</v>
      </c>
    </row>
    <row r="16" spans="1:10">
      <c r="A16" s="72"/>
      <c r="B16" s="72" t="s">
        <v>1</v>
      </c>
      <c r="C16" s="74" t="s">
        <v>1189</v>
      </c>
      <c r="D16" s="74" t="s">
        <v>1192</v>
      </c>
      <c r="E16" s="74">
        <v>2000</v>
      </c>
      <c r="F16" s="74" t="s">
        <v>683</v>
      </c>
      <c r="G16" s="74">
        <v>80</v>
      </c>
      <c r="H16" s="74">
        <f t="shared" si="0"/>
        <v>5.914974034351558</v>
      </c>
      <c r="I16" s="74" t="s">
        <v>1191</v>
      </c>
      <c r="J16" s="485">
        <f t="shared" si="1"/>
        <v>473.19792274812465</v>
      </c>
    </row>
    <row r="17" spans="1:10">
      <c r="A17" s="72"/>
      <c r="B17" s="72" t="s">
        <v>1198</v>
      </c>
      <c r="C17" s="74" t="s">
        <v>1189</v>
      </c>
      <c r="D17" s="74" t="s">
        <v>1190</v>
      </c>
      <c r="E17" s="74">
        <v>2010</v>
      </c>
      <c r="F17" s="74" t="s">
        <v>870</v>
      </c>
      <c r="G17" s="74">
        <v>273</v>
      </c>
      <c r="H17" s="74">
        <f t="shared" si="0"/>
        <v>9.7120768109592781</v>
      </c>
      <c r="I17" s="74" t="s">
        <v>1191</v>
      </c>
      <c r="J17" s="485">
        <f t="shared" si="1"/>
        <v>2651.396969391883</v>
      </c>
    </row>
    <row r="18" spans="1:10">
      <c r="A18" s="72"/>
      <c r="B18" s="72" t="s">
        <v>1199</v>
      </c>
      <c r="C18" s="74" t="s">
        <v>1189</v>
      </c>
      <c r="D18" s="74" t="s">
        <v>1190</v>
      </c>
      <c r="E18" s="74">
        <v>2010</v>
      </c>
      <c r="F18" s="74" t="s">
        <v>870</v>
      </c>
      <c r="G18" s="74">
        <v>500</v>
      </c>
      <c r="H18" s="74">
        <f t="shared" si="0"/>
        <v>9.7120768109592781</v>
      </c>
      <c r="I18" s="74" t="s">
        <v>1191</v>
      </c>
      <c r="J18" s="485">
        <f t="shared" si="1"/>
        <v>4856.0384054796386</v>
      </c>
    </row>
    <row r="19" spans="1:10">
      <c r="A19" s="72"/>
      <c r="B19" s="72" t="s">
        <v>193</v>
      </c>
      <c r="C19" s="74" t="s">
        <v>1189</v>
      </c>
      <c r="D19" s="74" t="s">
        <v>1190</v>
      </c>
      <c r="E19" s="74">
        <v>2010</v>
      </c>
      <c r="F19" s="74" t="s">
        <v>870</v>
      </c>
      <c r="G19" s="74">
        <v>200</v>
      </c>
      <c r="H19" s="74">
        <f t="shared" si="0"/>
        <v>9.7120768109592781</v>
      </c>
      <c r="I19" s="74" t="s">
        <v>1191</v>
      </c>
      <c r="J19" s="485">
        <f t="shared" si="1"/>
        <v>1942.4153621918556</v>
      </c>
    </row>
    <row r="20" spans="1:10">
      <c r="A20" s="72"/>
      <c r="B20" s="72" t="s">
        <v>1200</v>
      </c>
      <c r="C20" s="74" t="s">
        <v>1189</v>
      </c>
      <c r="D20" s="74" t="s">
        <v>1190</v>
      </c>
      <c r="E20" s="74">
        <v>2010</v>
      </c>
      <c r="F20" s="74" t="s">
        <v>870</v>
      </c>
      <c r="G20" s="74">
        <v>400</v>
      </c>
      <c r="H20" s="74">
        <f t="shared" si="0"/>
        <v>9.7120768109592781</v>
      </c>
      <c r="I20" s="74" t="s">
        <v>1191</v>
      </c>
      <c r="J20" s="485">
        <f t="shared" si="1"/>
        <v>3884.8307243837112</v>
      </c>
    </row>
    <row r="22" spans="1:10">
      <c r="A22" s="607" t="s">
        <v>1201</v>
      </c>
      <c r="H22" s="608"/>
    </row>
    <row r="23" spans="1:10">
      <c r="A23" s="72" t="s">
        <v>7</v>
      </c>
      <c r="B23" s="74" t="s">
        <v>1202</v>
      </c>
      <c r="C23" s="74" t="s">
        <v>1203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>
      <c r="A24" s="72" t="s">
        <v>7</v>
      </c>
      <c r="B24" s="74" t="s">
        <v>774</v>
      </c>
      <c r="C24" s="74" t="s">
        <v>1204</v>
      </c>
      <c r="D24" s="74" t="s">
        <v>1205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>
      <c r="A25" s="72" t="s">
        <v>9</v>
      </c>
      <c r="B25" s="74" t="s">
        <v>1206</v>
      </c>
      <c r="C25" s="74" t="s">
        <v>1207</v>
      </c>
      <c r="D25" s="74"/>
      <c r="E25" s="74">
        <v>2000</v>
      </c>
      <c r="F25" s="74" t="s">
        <v>683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1191</v>
      </c>
      <c r="J25" s="485">
        <f>G25*H25</f>
        <v>2144.7695848558751</v>
      </c>
    </row>
    <row r="26" spans="1:10">
      <c r="A26" s="72" t="s">
        <v>9</v>
      </c>
      <c r="B26" s="74" t="s">
        <v>1208</v>
      </c>
      <c r="C26" s="74" t="s">
        <v>1207</v>
      </c>
      <c r="D26" s="74"/>
      <c r="E26" s="74">
        <v>2000</v>
      </c>
      <c r="F26" s="74" t="s">
        <v>683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1191</v>
      </c>
      <c r="J26" s="485">
        <f>G26*H26</f>
        <v>2209.2428018303067</v>
      </c>
    </row>
    <row r="27" spans="1:10">
      <c r="A27" s="72" t="s">
        <v>9</v>
      </c>
      <c r="B27" s="74" t="s">
        <v>1209</v>
      </c>
      <c r="C27" s="74" t="s">
        <v>1203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>
      <c r="A28" s="72" t="s">
        <v>9</v>
      </c>
      <c r="B28" s="74" t="s">
        <v>1210</v>
      </c>
      <c r="C28" s="74" t="s">
        <v>1207</v>
      </c>
      <c r="D28" s="74"/>
      <c r="E28" s="74">
        <v>2000</v>
      </c>
      <c r="F28" s="74" t="s">
        <v>683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1191</v>
      </c>
      <c r="J28" s="485">
        <f t="shared" ref="J28:J33" si="3">G28*H28</f>
        <v>1535.7047085386951</v>
      </c>
    </row>
    <row r="29" spans="1:10">
      <c r="A29" s="72" t="s">
        <v>9</v>
      </c>
      <c r="B29" s="74" t="s">
        <v>1211</v>
      </c>
      <c r="C29" s="74" t="s">
        <v>1207</v>
      </c>
      <c r="D29" s="74"/>
      <c r="E29" s="74">
        <v>2000</v>
      </c>
      <c r="F29" s="74" t="s">
        <v>683</v>
      </c>
      <c r="G29" s="74">
        <v>334.67</v>
      </c>
      <c r="H29" s="74">
        <f t="shared" si="2"/>
        <v>5.914974034351558</v>
      </c>
      <c r="I29" s="74" t="s">
        <v>1191</v>
      </c>
      <c r="J29" s="485">
        <f t="shared" si="3"/>
        <v>1979.5643600764361</v>
      </c>
    </row>
    <row r="30" spans="1:10">
      <c r="A30" s="72" t="s">
        <v>8</v>
      </c>
      <c r="B30" s="74" t="s">
        <v>1212</v>
      </c>
      <c r="C30" s="74" t="s">
        <v>1207</v>
      </c>
      <c r="D30" s="74"/>
      <c r="E30" s="74">
        <v>2000</v>
      </c>
      <c r="F30" s="74" t="s">
        <v>683</v>
      </c>
      <c r="G30" s="74">
        <v>296.10000000000002</v>
      </c>
      <c r="H30" s="74">
        <f t="shared" si="2"/>
        <v>5.914974034351558</v>
      </c>
      <c r="I30" s="74" t="s">
        <v>1191</v>
      </c>
      <c r="J30" s="485">
        <f t="shared" si="3"/>
        <v>1751.4238115714963</v>
      </c>
    </row>
    <row r="31" spans="1:10">
      <c r="A31" s="72" t="s">
        <v>8</v>
      </c>
      <c r="B31" s="74" t="s">
        <v>1213</v>
      </c>
      <c r="C31" s="74" t="s">
        <v>1207</v>
      </c>
      <c r="D31" s="74"/>
      <c r="E31" s="74">
        <v>2000</v>
      </c>
      <c r="F31" s="74" t="s">
        <v>683</v>
      </c>
      <c r="G31" s="74">
        <v>232.37</v>
      </c>
      <c r="H31" s="74">
        <f t="shared" si="2"/>
        <v>5.914974034351558</v>
      </c>
      <c r="I31" s="74" t="s">
        <v>1191</v>
      </c>
      <c r="J31" s="485">
        <f t="shared" si="3"/>
        <v>1374.4625163622716</v>
      </c>
    </row>
    <row r="32" spans="1:10">
      <c r="A32" s="72" t="s">
        <v>8</v>
      </c>
      <c r="B32" s="74" t="s">
        <v>1214</v>
      </c>
      <c r="C32" s="74" t="s">
        <v>1207</v>
      </c>
      <c r="D32" s="74"/>
      <c r="E32" s="74">
        <v>2000</v>
      </c>
      <c r="F32" s="74" t="s">
        <v>683</v>
      </c>
      <c r="G32" s="74">
        <v>239.63</v>
      </c>
      <c r="H32" s="74">
        <f t="shared" si="2"/>
        <v>5.914974034351558</v>
      </c>
      <c r="I32" s="74" t="s">
        <v>1191</v>
      </c>
      <c r="J32" s="485">
        <f t="shared" si="3"/>
        <v>1417.4052278516638</v>
      </c>
    </row>
    <row r="33" spans="1:10">
      <c r="A33" s="72" t="s">
        <v>8</v>
      </c>
      <c r="B33" s="74" t="s">
        <v>1215</v>
      </c>
      <c r="C33" s="74" t="s">
        <v>1207</v>
      </c>
      <c r="D33" s="74"/>
      <c r="E33" s="74">
        <v>2000</v>
      </c>
      <c r="F33" s="74" t="s">
        <v>683</v>
      </c>
      <c r="G33" s="74">
        <v>263.47000000000003</v>
      </c>
      <c r="H33" s="74">
        <f t="shared" si="2"/>
        <v>5.914974034351558</v>
      </c>
      <c r="I33" s="74" t="s">
        <v>1191</v>
      </c>
      <c r="J33" s="485">
        <f t="shared" si="3"/>
        <v>1558.4182088306052</v>
      </c>
    </row>
    <row r="34" spans="1:10">
      <c r="A34" s="72" t="s">
        <v>7</v>
      </c>
      <c r="B34" s="74" t="s">
        <v>1216</v>
      </c>
      <c r="C34" s="74" t="s">
        <v>1203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>
      <c r="A35" s="72" t="s">
        <v>7</v>
      </c>
      <c r="B35" s="74" t="s">
        <v>1217</v>
      </c>
      <c r="C35" s="74" t="s">
        <v>1203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>
      <c r="A36" s="72" t="s">
        <v>7</v>
      </c>
      <c r="B36" s="74" t="s">
        <v>7</v>
      </c>
      <c r="C36" s="74" t="s">
        <v>1204</v>
      </c>
      <c r="D36" s="74" t="s">
        <v>1205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>
      <c r="A37" s="72" t="s">
        <v>1218</v>
      </c>
      <c r="B37" s="74" t="s">
        <v>1219</v>
      </c>
      <c r="C37" s="74" t="s">
        <v>1203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>
      <c r="A38" s="72" t="s">
        <v>1218</v>
      </c>
      <c r="B38" s="74" t="s">
        <v>1220</v>
      </c>
      <c r="C38" s="74" t="s">
        <v>1203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>
      <c r="A39" s="72" t="s">
        <v>9</v>
      </c>
      <c r="B39" s="74" t="s">
        <v>1221</v>
      </c>
      <c r="C39" s="74" t="s">
        <v>1203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>
      <c r="A40" s="72" t="s">
        <v>9</v>
      </c>
      <c r="B40" s="74" t="s">
        <v>1222</v>
      </c>
      <c r="C40" s="74" t="s">
        <v>1203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>
      <c r="A41" s="72" t="s">
        <v>9</v>
      </c>
      <c r="B41" s="74" t="s">
        <v>9</v>
      </c>
      <c r="C41" s="74" t="s">
        <v>1204</v>
      </c>
      <c r="D41" s="74" t="s">
        <v>1205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>
      <c r="A42" s="72" t="s">
        <v>9</v>
      </c>
      <c r="B42" s="74" t="s">
        <v>1223</v>
      </c>
      <c r="C42" s="74" t="s">
        <v>1207</v>
      </c>
      <c r="D42" s="74"/>
      <c r="E42" s="74">
        <v>2000</v>
      </c>
      <c r="F42" s="74" t="s">
        <v>683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1191</v>
      </c>
      <c r="J42" s="485">
        <f t="shared" ref="J42:J48" si="5">G42*H42</f>
        <v>2161.0949131906855</v>
      </c>
    </row>
    <row r="43" spans="1:10">
      <c r="A43" s="72" t="s">
        <v>9</v>
      </c>
      <c r="B43" s="74" t="s">
        <v>1224</v>
      </c>
      <c r="C43" s="74" t="s">
        <v>1207</v>
      </c>
      <c r="D43" s="74"/>
      <c r="E43" s="74">
        <v>2000</v>
      </c>
      <c r="F43" s="74" t="s">
        <v>683</v>
      </c>
      <c r="G43" s="74">
        <v>365.45</v>
      </c>
      <c r="H43" s="74">
        <f t="shared" si="4"/>
        <v>5.914974034351558</v>
      </c>
      <c r="I43" s="74" t="s">
        <v>1191</v>
      </c>
      <c r="J43" s="485">
        <f t="shared" si="5"/>
        <v>2161.627260853777</v>
      </c>
    </row>
    <row r="44" spans="1:10">
      <c r="A44" s="72"/>
      <c r="B44" s="74" t="s">
        <v>1225</v>
      </c>
      <c r="C44" s="74" t="s">
        <v>1207</v>
      </c>
      <c r="D44" s="74"/>
      <c r="E44" s="74">
        <v>2000</v>
      </c>
      <c r="F44" s="74" t="s">
        <v>683</v>
      </c>
      <c r="G44" s="74">
        <v>231.85</v>
      </c>
      <c r="H44" s="74">
        <f t="shared" si="4"/>
        <v>5.914974034351558</v>
      </c>
      <c r="I44" s="74" t="s">
        <v>1191</v>
      </c>
      <c r="J44" s="485">
        <f t="shared" si="5"/>
        <v>1371.3867298644086</v>
      </c>
    </row>
    <row r="45" spans="1:10">
      <c r="A45" s="72"/>
      <c r="B45" s="74" t="s">
        <v>1226</v>
      </c>
      <c r="C45" s="74" t="s">
        <v>1207</v>
      </c>
      <c r="D45" s="74"/>
      <c r="E45" s="74">
        <v>2000</v>
      </c>
      <c r="F45" s="74" t="s">
        <v>683</v>
      </c>
      <c r="G45" s="74">
        <v>232.7</v>
      </c>
      <c r="H45" s="74">
        <f t="shared" si="4"/>
        <v>5.914974034351558</v>
      </c>
      <c r="I45" s="74" t="s">
        <v>1191</v>
      </c>
      <c r="J45" s="485">
        <f t="shared" si="5"/>
        <v>1376.4144577936074</v>
      </c>
    </row>
    <row r="46" spans="1:10">
      <c r="A46" s="72"/>
      <c r="B46" s="74" t="s">
        <v>1227</v>
      </c>
      <c r="C46" s="74" t="s">
        <v>1207</v>
      </c>
      <c r="D46" s="74"/>
      <c r="E46" s="74">
        <v>2000</v>
      </c>
      <c r="F46" s="74" t="s">
        <v>683</v>
      </c>
      <c r="G46" s="74">
        <v>292.32</v>
      </c>
      <c r="H46" s="74">
        <f t="shared" si="4"/>
        <v>5.914974034351558</v>
      </c>
      <c r="I46" s="74" t="s">
        <v>1191</v>
      </c>
      <c r="J46" s="485">
        <f t="shared" si="5"/>
        <v>1729.0652097216473</v>
      </c>
    </row>
    <row r="47" spans="1:10">
      <c r="A47" s="72"/>
      <c r="B47" s="74" t="s">
        <v>1228</v>
      </c>
      <c r="C47" s="74" t="s">
        <v>1207</v>
      </c>
      <c r="D47" s="74"/>
      <c r="E47" s="74">
        <v>2000</v>
      </c>
      <c r="F47" s="74" t="s">
        <v>683</v>
      </c>
      <c r="G47" s="74">
        <v>347.59</v>
      </c>
      <c r="H47" s="74">
        <f t="shared" si="4"/>
        <v>5.914974034351558</v>
      </c>
      <c r="I47" s="74" t="s">
        <v>1191</v>
      </c>
      <c r="J47" s="485">
        <f t="shared" si="5"/>
        <v>2055.9858246002577</v>
      </c>
    </row>
    <row r="48" spans="1:10">
      <c r="A48" s="72"/>
      <c r="B48" s="74" t="s">
        <v>1229</v>
      </c>
      <c r="C48" s="74" t="s">
        <v>1207</v>
      </c>
      <c r="D48" s="74"/>
      <c r="E48" s="74">
        <v>2000</v>
      </c>
      <c r="F48" s="74" t="s">
        <v>683</v>
      </c>
      <c r="G48" s="74">
        <v>257.24</v>
      </c>
      <c r="H48" s="74">
        <f t="shared" si="4"/>
        <v>5.914974034351558</v>
      </c>
      <c r="I48" s="74" t="s">
        <v>1191</v>
      </c>
      <c r="J48" s="485">
        <f t="shared" si="5"/>
        <v>1521.5679205965948</v>
      </c>
    </row>
    <row r="49" spans="1:10">
      <c r="A49" s="72" t="s">
        <v>1230</v>
      </c>
      <c r="B49" s="74" t="s">
        <v>1231</v>
      </c>
      <c r="C49" s="74" t="s">
        <v>1204</v>
      </c>
      <c r="D49" s="74" t="s">
        <v>1190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>
      <c r="A50" s="72" t="s">
        <v>8</v>
      </c>
      <c r="B50" s="74" t="s">
        <v>773</v>
      </c>
      <c r="C50" s="74" t="s">
        <v>1204</v>
      </c>
      <c r="D50" s="74" t="s">
        <v>1192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>
      <c r="A51" s="72" t="s">
        <v>8</v>
      </c>
      <c r="B51" s="74" t="s">
        <v>1232</v>
      </c>
      <c r="C51" s="74" t="s">
        <v>1204</v>
      </c>
      <c r="D51" s="74" t="s">
        <v>1192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>
      <c r="A52" s="72" t="s">
        <v>8</v>
      </c>
      <c r="B52" s="74" t="s">
        <v>1233</v>
      </c>
      <c r="C52" s="74" t="s">
        <v>1207</v>
      </c>
      <c r="D52" s="74"/>
      <c r="E52" s="74">
        <v>2000</v>
      </c>
      <c r="F52" s="74" t="s">
        <v>683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1191</v>
      </c>
      <c r="J52" s="485">
        <f>G52*H52</f>
        <v>1027.3126902861786</v>
      </c>
    </row>
    <row r="53" spans="1:10">
      <c r="A53" s="72"/>
      <c r="B53" s="74" t="s">
        <v>1234</v>
      </c>
      <c r="C53" s="74" t="s">
        <v>1207</v>
      </c>
      <c r="D53" s="74"/>
      <c r="E53" s="74">
        <v>2000</v>
      </c>
      <c r="F53" s="74" t="s">
        <v>683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1191</v>
      </c>
      <c r="J53" s="485">
        <f>G53*H53</f>
        <v>1467.2684589612475</v>
      </c>
    </row>
    <row r="54" spans="1:10">
      <c r="A54" s="72"/>
      <c r="B54" s="74" t="s">
        <v>1235</v>
      </c>
      <c r="C54" s="74" t="s">
        <v>1203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>
      <c r="A55" s="72"/>
      <c r="B55" s="74" t="s">
        <v>1236</v>
      </c>
      <c r="C55" s="74" t="s">
        <v>1203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>
      <c r="A56" s="72" t="s">
        <v>7</v>
      </c>
      <c r="B56" s="74" t="s">
        <v>1237</v>
      </c>
      <c r="C56" s="74" t="s">
        <v>1203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>
      <c r="A57" s="72" t="s">
        <v>7</v>
      </c>
      <c r="B57" s="74" t="s">
        <v>1238</v>
      </c>
      <c r="C57" s="74" t="s">
        <v>1204</v>
      </c>
      <c r="D57" s="74" t="s">
        <v>1205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>
      <c r="A58" s="72"/>
      <c r="B58" s="74" t="s">
        <v>1239</v>
      </c>
      <c r="C58" s="74" t="s">
        <v>1207</v>
      </c>
      <c r="D58" s="74"/>
      <c r="E58" s="74">
        <v>2000</v>
      </c>
      <c r="F58" s="74" t="s">
        <v>683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1191</v>
      </c>
      <c r="J58" s="485">
        <f t="shared" ref="J58:J63" si="7">G58*H58</f>
        <v>1441.1242737294135</v>
      </c>
    </row>
    <row r="59" spans="1:10">
      <c r="A59" s="72"/>
      <c r="B59" s="74" t="s">
        <v>1240</v>
      </c>
      <c r="C59" s="74" t="s">
        <v>1207</v>
      </c>
      <c r="D59" s="74"/>
      <c r="E59" s="74">
        <v>2000</v>
      </c>
      <c r="F59" s="74" t="s">
        <v>683</v>
      </c>
      <c r="G59" s="74">
        <v>198.05</v>
      </c>
      <c r="H59" s="74">
        <f t="shared" si="6"/>
        <v>5.914974034351558</v>
      </c>
      <c r="I59" s="74" t="s">
        <v>1191</v>
      </c>
      <c r="J59" s="485">
        <f t="shared" si="7"/>
        <v>1171.4606075033262</v>
      </c>
    </row>
    <row r="60" spans="1:10">
      <c r="A60" s="72"/>
      <c r="B60" s="74" t="s">
        <v>1241</v>
      </c>
      <c r="C60" s="74" t="s">
        <v>1207</v>
      </c>
      <c r="D60" s="74"/>
      <c r="E60" s="74">
        <v>2000</v>
      </c>
      <c r="F60" s="74" t="s">
        <v>683</v>
      </c>
      <c r="G60" s="74">
        <v>243.63</v>
      </c>
      <c r="H60" s="74">
        <f t="shared" si="6"/>
        <v>5.914974034351558</v>
      </c>
      <c r="I60" s="74" t="s">
        <v>1191</v>
      </c>
      <c r="J60" s="485">
        <f t="shared" si="7"/>
        <v>1441.0651239890701</v>
      </c>
    </row>
    <row r="61" spans="1:10">
      <c r="A61" s="72"/>
      <c r="B61" s="74" t="s">
        <v>1242</v>
      </c>
      <c r="C61" s="74" t="s">
        <v>1207</v>
      </c>
      <c r="D61" s="74"/>
      <c r="E61" s="74">
        <v>2000</v>
      </c>
      <c r="F61" s="74" t="s">
        <v>683</v>
      </c>
      <c r="G61" s="74">
        <v>196.48</v>
      </c>
      <c r="H61" s="74">
        <f t="shared" si="6"/>
        <v>5.914974034351558</v>
      </c>
      <c r="I61" s="74" t="s">
        <v>1191</v>
      </c>
      <c r="J61" s="485">
        <f t="shared" si="7"/>
        <v>1162.1740982693941</v>
      </c>
    </row>
    <row r="62" spans="1:10">
      <c r="A62" s="72"/>
      <c r="B62" s="74" t="s">
        <v>1243</v>
      </c>
      <c r="C62" s="74" t="s">
        <v>1207</v>
      </c>
      <c r="D62" s="74"/>
      <c r="E62" s="74">
        <v>2000</v>
      </c>
      <c r="F62" s="74" t="s">
        <v>683</v>
      </c>
      <c r="G62" s="74">
        <v>187.71</v>
      </c>
      <c r="H62" s="74">
        <f t="shared" si="6"/>
        <v>5.914974034351558</v>
      </c>
      <c r="I62" s="74" t="s">
        <v>1191</v>
      </c>
      <c r="J62" s="485">
        <f t="shared" si="7"/>
        <v>1110.2997759881309</v>
      </c>
    </row>
    <row r="63" spans="1:10">
      <c r="A63" s="72" t="s">
        <v>8</v>
      </c>
      <c r="B63" s="74" t="s">
        <v>1244</v>
      </c>
      <c r="C63" s="74" t="s">
        <v>1207</v>
      </c>
      <c r="D63" s="74"/>
      <c r="E63" s="74">
        <v>2000</v>
      </c>
      <c r="F63" s="74" t="s">
        <v>683</v>
      </c>
      <c r="G63" s="74">
        <v>344.39</v>
      </c>
      <c r="H63" s="74">
        <f t="shared" si="6"/>
        <v>5.914974034351558</v>
      </c>
      <c r="I63" s="74" t="s">
        <v>1191</v>
      </c>
      <c r="J63" s="485">
        <f t="shared" si="7"/>
        <v>2037.057907690333</v>
      </c>
    </row>
    <row r="64" spans="1:10">
      <c r="I64" s="101"/>
    </row>
    <row r="65" spans="1:4">
      <c r="A65" s="39" t="s">
        <v>1245</v>
      </c>
    </row>
    <row r="66" spans="1:4">
      <c r="A66" s="39" t="s">
        <v>1246</v>
      </c>
    </row>
    <row r="67" spans="1:4">
      <c r="A67" s="39" t="s">
        <v>1247</v>
      </c>
    </row>
    <row r="70" spans="1:4">
      <c r="B70" s="609" t="s">
        <v>770</v>
      </c>
      <c r="C70" s="610" t="s">
        <v>771</v>
      </c>
    </row>
    <row r="71" spans="1:4">
      <c r="B71" s="80"/>
      <c r="C71" s="491" t="s">
        <v>772</v>
      </c>
    </row>
    <row r="72" spans="1:4">
      <c r="B72" s="72" t="s">
        <v>8</v>
      </c>
      <c r="C72" s="485">
        <f t="array" ref="C72">AVERAGE(IF($A$23:$A$63=B72,$J$23:$J$63))</f>
        <v>1384.2074360838658</v>
      </c>
    </row>
    <row r="73" spans="1:4">
      <c r="B73" s="72" t="s">
        <v>9</v>
      </c>
      <c r="C73" s="485">
        <f t="array" ref="C73">AVERAGE(IF($A$23:$A$63=B73,$J$23:$J$63))</f>
        <v>1878.2763447122002</v>
      </c>
      <c r="D73" s="23" t="s">
        <v>1248</v>
      </c>
    </row>
    <row r="74" spans="1:4">
      <c r="B74" s="72" t="s">
        <v>7</v>
      </c>
      <c r="C74" s="485">
        <f t="array" ref="C74">AVERAGE(IF($A$23:$A$63=B74,$J$23:$J$63))</f>
        <v>2261.1181094751337</v>
      </c>
    </row>
    <row r="75" spans="1:4">
      <c r="B75" s="72" t="s">
        <v>9</v>
      </c>
      <c r="C75" s="485">
        <f>C73*1.2</f>
        <v>2253.9316136546399</v>
      </c>
      <c r="D75" s="23" t="s">
        <v>1249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>
      <c r="B1" s="22" t="s">
        <v>43</v>
      </c>
      <c r="C1" s="22"/>
    </row>
    <row r="2" spans="2:11" ht="16.5" thickTop="1"/>
    <row r="3" spans="2:11" ht="18" thickBot="1">
      <c r="B3" s="24" t="s">
        <v>44</v>
      </c>
      <c r="C3" s="24"/>
    </row>
    <row r="4" spans="2:11" ht="16.5" thickTop="1">
      <c r="B4" s="25" t="s">
        <v>45</v>
      </c>
      <c r="C4" s="26"/>
      <c r="D4" s="26" t="s">
        <v>7</v>
      </c>
      <c r="E4" s="26" t="s">
        <v>46</v>
      </c>
      <c r="F4" s="26" t="s">
        <v>47</v>
      </c>
      <c r="G4" s="26" t="s">
        <v>8</v>
      </c>
      <c r="H4" s="26" t="s">
        <v>48</v>
      </c>
      <c r="I4" s="26" t="s">
        <v>10</v>
      </c>
      <c r="J4" s="27" t="s">
        <v>3</v>
      </c>
    </row>
    <row r="5" spans="2:11">
      <c r="B5" s="28" t="s">
        <v>49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>
      <c r="B6" s="28" t="s">
        <v>50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>
      <c r="B7" s="28" t="s">
        <v>51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>
      <c r="B8" s="28" t="s">
        <v>52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>
      <c r="B9" s="28" t="s">
        <v>53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>
      <c r="B10" s="28" t="s">
        <v>54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>
      <c r="B11" s="28" t="s">
        <v>55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>
      <c r="B12" s="31" t="s">
        <v>56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>
      <c r="B13" s="35" t="s">
        <v>57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>
      <c r="B15" s="24" t="s">
        <v>58</v>
      </c>
      <c r="C15" s="24"/>
    </row>
    <row r="16" spans="2:11" ht="16.5" thickTop="1">
      <c r="B16" s="25" t="s">
        <v>45</v>
      </c>
      <c r="C16" s="26"/>
      <c r="D16" s="26" t="s">
        <v>7</v>
      </c>
      <c r="E16" s="26" t="s">
        <v>46</v>
      </c>
      <c r="F16" s="26" t="s">
        <v>47</v>
      </c>
      <c r="G16" s="26" t="s">
        <v>8</v>
      </c>
      <c r="H16" s="26" t="s">
        <v>48</v>
      </c>
      <c r="I16" s="26" t="s">
        <v>10</v>
      </c>
      <c r="J16" s="27" t="s">
        <v>3</v>
      </c>
    </row>
    <row r="17" spans="2:14">
      <c r="B17" s="28" t="s">
        <v>49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>
      <c r="B18" s="28" t="s">
        <v>50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>
      <c r="B19" s="28" t="s">
        <v>51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>
      <c r="B20" s="28" t="s">
        <v>52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>
      <c r="B21" s="28" t="s">
        <v>53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>
      <c r="B22" s="28" t="s">
        <v>54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>
      <c r="B23" s="28" t="s">
        <v>55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>
      <c r="B24" s="31" t="s">
        <v>56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>
      <c r="B25" s="35" t="s">
        <v>57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>
      <c r="B29" s="24" t="s">
        <v>59</v>
      </c>
      <c r="C29" s="24"/>
      <c r="M29" s="39" t="s">
        <v>60</v>
      </c>
    </row>
    <row r="30" spans="2:14" ht="16.5" thickTop="1">
      <c r="B30" s="25" t="s">
        <v>45</v>
      </c>
      <c r="C30" s="26"/>
      <c r="D30" s="26" t="s">
        <v>7</v>
      </c>
      <c r="E30" s="26" t="s">
        <v>46</v>
      </c>
      <c r="F30" s="26" t="s">
        <v>47</v>
      </c>
      <c r="G30" s="26" t="s">
        <v>8</v>
      </c>
      <c r="H30" s="26" t="s">
        <v>48</v>
      </c>
      <c r="I30" s="26" t="s">
        <v>10</v>
      </c>
      <c r="J30" s="27" t="s">
        <v>3</v>
      </c>
      <c r="M30" s="25" t="s">
        <v>61</v>
      </c>
      <c r="N30" s="27" t="s">
        <v>62</v>
      </c>
    </row>
    <row r="31" spans="2:14">
      <c r="B31" s="28" t="s">
        <v>49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>
      <c r="B32" s="28" t="s">
        <v>50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>
      <c r="B33" s="28" t="s">
        <v>51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>
      <c r="B34" s="28" t="s">
        <v>52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>
      <c r="B35" s="28" t="s">
        <v>53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>
      <c r="B36" s="28" t="s">
        <v>54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>
      <c r="B37" s="28" t="s">
        <v>55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>
      <c r="B38" s="31" t="s">
        <v>56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63</v>
      </c>
      <c r="N38" s="47">
        <f>[8]Production!AO13/1000</f>
        <v>9.718</v>
      </c>
      <c r="O38" s="23">
        <f>N38/0.85</f>
        <v>11.432941176470589</v>
      </c>
    </row>
    <row r="39" spans="2:15" ht="16.5" thickTop="1">
      <c r="B39" s="35" t="s">
        <v>57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>
      <c r="B41" s="50" t="s">
        <v>64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65</v>
      </c>
      <c r="N41" s="52">
        <f>[8]Production!AO22</f>
        <v>0.18573780613294916</v>
      </c>
    </row>
    <row r="42" spans="2:15" ht="16.5" thickTop="1">
      <c r="B42" s="50" t="s">
        <v>66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>
      <c r="B43" s="50"/>
      <c r="C43" s="48"/>
      <c r="D43" s="53"/>
      <c r="E43" s="53"/>
      <c r="F43" s="53"/>
      <c r="G43" s="53"/>
      <c r="H43" s="53"/>
      <c r="I43" s="53"/>
      <c r="J43" s="53"/>
    </row>
    <row r="44" spans="2:15">
      <c r="B44" s="54" t="s">
        <v>67</v>
      </c>
      <c r="C44" s="48"/>
      <c r="D44" s="53"/>
      <c r="E44" s="53"/>
      <c r="F44" s="53"/>
      <c r="G44" s="53"/>
      <c r="H44" s="53"/>
      <c r="I44" s="53"/>
      <c r="J44" s="53"/>
    </row>
    <row r="45" spans="2:15">
      <c r="B45" s="55" t="s">
        <v>68</v>
      </c>
      <c r="C45" s="48"/>
      <c r="D45" s="53"/>
      <c r="E45" s="53"/>
      <c r="F45" s="53"/>
      <c r="G45" s="53"/>
      <c r="H45" s="53"/>
      <c r="I45" s="53"/>
      <c r="J45" s="53"/>
    </row>
    <row r="46" spans="2:1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>
      <c r="B48" s="24" t="s">
        <v>69</v>
      </c>
      <c r="C48" s="24"/>
    </row>
    <row r="49" spans="2:21" ht="16.5" thickTop="1">
      <c r="B49" s="25" t="s">
        <v>70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48</v>
      </c>
      <c r="I49" s="26" t="str">
        <f>I30</f>
        <v>Other-EAF</v>
      </c>
      <c r="J49" s="27" t="s">
        <v>3</v>
      </c>
      <c r="M49" s="25" t="s">
        <v>71</v>
      </c>
      <c r="N49" s="25" t="s">
        <v>72</v>
      </c>
      <c r="O49" s="25" t="s">
        <v>73</v>
      </c>
      <c r="P49" s="25" t="s">
        <v>74</v>
      </c>
      <c r="Q49" s="25" t="s">
        <v>75</v>
      </c>
      <c r="R49" s="25" t="s">
        <v>76</v>
      </c>
      <c r="S49" s="56" t="s">
        <v>77</v>
      </c>
      <c r="T49" s="56" t="s">
        <v>18</v>
      </c>
      <c r="U49" s="27" t="s">
        <v>3</v>
      </c>
    </row>
    <row r="50" spans="2:21">
      <c r="B50" s="28" t="s">
        <v>78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78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>
      <c r="B51" s="28" t="s">
        <v>79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79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>
      <c r="B52" s="28" t="s">
        <v>80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80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>
      <c r="B53" s="28" t="s">
        <v>81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81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>
      <c r="B54" s="28" t="s">
        <v>82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82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>
      <c r="B55" s="28" t="s">
        <v>83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83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>
      <c r="B57" s="28" t="s">
        <v>84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84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>
      <c r="B59" s="66" t="s">
        <v>85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>
      <c r="B60" s="54" t="s">
        <v>86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87</v>
      </c>
      <c r="N60" s="50"/>
      <c r="O60" s="50"/>
      <c r="P60" s="50"/>
      <c r="Q60" s="50"/>
      <c r="R60" s="50"/>
      <c r="S60" s="50"/>
    </row>
    <row r="61" spans="2:21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>
      <c r="B62" s="24" t="s">
        <v>88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>
      <c r="B63" s="25" t="s">
        <v>89</v>
      </c>
      <c r="C63" s="26"/>
      <c r="D63" s="26" t="s">
        <v>7</v>
      </c>
      <c r="E63" s="26" t="s">
        <v>46</v>
      </c>
      <c r="F63" s="26" t="s">
        <v>47</v>
      </c>
      <c r="G63" s="26" t="s">
        <v>8</v>
      </c>
      <c r="H63" s="26" t="s">
        <v>48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>
      <c r="B64" s="28" t="s">
        <v>90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>
      <c r="B65" s="28" t="s">
        <v>91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>
      <c r="B67" s="25" t="s">
        <v>92</v>
      </c>
      <c r="C67" s="26"/>
      <c r="D67" s="26" t="s">
        <v>7</v>
      </c>
      <c r="E67" s="26" t="s">
        <v>46</v>
      </c>
      <c r="F67" s="26" t="s">
        <v>47</v>
      </c>
      <c r="G67" s="26" t="s">
        <v>8</v>
      </c>
      <c r="H67" s="26" t="s">
        <v>48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>
      <c r="B69" s="28" t="s">
        <v>93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>
      <c r="B70" s="28" t="s">
        <v>94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>
      <c r="B71" s="63" t="s">
        <v>95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>
      <c r="B72" s="25" t="s">
        <v>96</v>
      </c>
      <c r="C72" s="26"/>
      <c r="D72" s="26" t="s">
        <v>7</v>
      </c>
      <c r="E72" s="26" t="s">
        <v>46</v>
      </c>
      <c r="F72" s="26" t="s">
        <v>47</v>
      </c>
      <c r="G72" s="26" t="s">
        <v>8</v>
      </c>
      <c r="H72" s="26" t="s">
        <v>48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>
      <c r="B75" s="28" t="s">
        <v>97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>
      <c r="B76" s="28" t="s">
        <v>98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>
      <c r="B77" s="60" t="s">
        <v>99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>
      <c r="K78" s="67"/>
      <c r="M78" s="55"/>
      <c r="N78" s="50"/>
      <c r="O78" s="50"/>
      <c r="P78" s="50"/>
      <c r="Q78" s="50"/>
      <c r="R78" s="50"/>
      <c r="S78" s="50"/>
    </row>
    <row r="79" spans="2:19">
      <c r="B79" s="25" t="s">
        <v>100</v>
      </c>
      <c r="C79" s="26"/>
      <c r="D79" s="26" t="s">
        <v>27</v>
      </c>
      <c r="E79" s="26" t="s">
        <v>101</v>
      </c>
      <c r="F79" s="26" t="s">
        <v>102</v>
      </c>
      <c r="G79" s="26" t="s">
        <v>48</v>
      </c>
      <c r="H79" s="26" t="s">
        <v>103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>
      <c r="B80" s="28" t="s">
        <v>78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>
      <c r="B81" s="28" t="s">
        <v>104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>
      <c r="B82" s="28" t="s">
        <v>80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>
      <c r="B83" s="28" t="s">
        <v>81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>
      <c r="B84" s="28" t="s">
        <v>82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>
      <c r="B85" s="28" t="s">
        <v>83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>
      <c r="B87" s="63" t="s">
        <v>84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>
      <c r="B88" s="54" t="s">
        <v>105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>
      <c r="B90" s="25" t="s">
        <v>106</v>
      </c>
      <c r="C90" s="26"/>
      <c r="D90" s="26" t="s">
        <v>7</v>
      </c>
      <c r="E90" s="26" t="s">
        <v>46</v>
      </c>
      <c r="F90" s="26" t="s">
        <v>47</v>
      </c>
      <c r="G90" s="26" t="s">
        <v>8</v>
      </c>
      <c r="H90" s="26" t="s">
        <v>48</v>
      </c>
      <c r="I90" s="26" t="s">
        <v>10</v>
      </c>
    </row>
    <row r="91" spans="2:19">
      <c r="B91" s="63" t="s">
        <v>107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>
      <c r="B93" s="71" t="s">
        <v>108</v>
      </c>
      <c r="C93" s="26"/>
      <c r="D93" s="26" t="s">
        <v>7</v>
      </c>
      <c r="E93" s="26" t="s">
        <v>46</v>
      </c>
      <c r="F93" s="26" t="s">
        <v>47</v>
      </c>
      <c r="G93" s="26" t="s">
        <v>8</v>
      </c>
      <c r="H93" s="26" t="s">
        <v>48</v>
      </c>
      <c r="I93" s="26" t="s">
        <v>10</v>
      </c>
    </row>
    <row r="94" spans="2:19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>
      <c r="B103" s="24" t="s">
        <v>109</v>
      </c>
      <c r="C103" s="24"/>
    </row>
    <row r="104" spans="2:10" ht="16.5" thickTop="1">
      <c r="B104" s="39" t="s">
        <v>110</v>
      </c>
    </row>
    <row r="105" spans="2:10">
      <c r="C105" s="26"/>
      <c r="D105" s="26" t="str">
        <f>D49</f>
        <v>BF-BOF</v>
      </c>
      <c r="E105" s="26" t="s">
        <v>46</v>
      </c>
      <c r="F105" s="26" t="s">
        <v>47</v>
      </c>
      <c r="G105" s="26" t="str">
        <f>G49</f>
        <v>Scrap-EAF</v>
      </c>
      <c r="H105" s="26" t="s">
        <v>48</v>
      </c>
      <c r="I105" s="26" t="str">
        <f>I49</f>
        <v>Other-EAF</v>
      </c>
      <c r="J105" s="27" t="s">
        <v>3</v>
      </c>
    </row>
    <row r="106" spans="2:10">
      <c r="B106" s="25" t="s">
        <v>89</v>
      </c>
      <c r="C106" s="28" t="s">
        <v>90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>
      <c r="C107" s="28" t="s">
        <v>91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>
      <c r="B109" s="25" t="s">
        <v>92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>
      <c r="C110" s="28" t="s">
        <v>93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>
      <c r="C111" s="28" t="s">
        <v>94</v>
      </c>
      <c r="D111" s="57"/>
      <c r="E111" s="57"/>
      <c r="F111" s="57"/>
      <c r="G111" s="57"/>
      <c r="H111" s="57"/>
      <c r="I111" s="57"/>
      <c r="J111" s="41"/>
    </row>
    <row r="112" spans="2:10">
      <c r="C112" s="63" t="s">
        <v>95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>
      <c r="B113" s="25" t="s">
        <v>96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>
      <c r="C115" s="28" t="s">
        <v>97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>
      <c r="C116" s="28" t="s">
        <v>98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>
      <c r="C117" s="60" t="s">
        <v>111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>
      <c r="B118" s="25" t="s">
        <v>112</v>
      </c>
      <c r="C118" s="28" t="s">
        <v>78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>
      <c r="C119" s="28" t="s">
        <v>79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>
      <c r="C120" s="28" t="s">
        <v>80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>
      <c r="C121" s="28" t="s">
        <v>81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>
      <c r="C122" s="28" t="s">
        <v>82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>
      <c r="C123" s="28" t="s">
        <v>83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>
      <c r="C125" s="28" t="s">
        <v>84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>
      <c r="B126" s="79" t="s">
        <v>113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>
      <c r="B127" s="79" t="s">
        <v>114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>
      <c r="B128" s="83" t="s">
        <v>115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>
      <c r="B129" s="83" t="s">
        <v>116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>
      <c r="B130" s="83" t="s">
        <v>117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>
      <c r="B132" s="89" t="s">
        <v>118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>
      <c r="B133" s="39" t="s">
        <v>119</v>
      </c>
    </row>
    <row r="135" spans="2:12" ht="18" thickBot="1">
      <c r="B135" s="24" t="s">
        <v>120</v>
      </c>
    </row>
    <row r="136" spans="2:12" ht="16.5" thickTop="1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47</v>
      </c>
    </row>
    <row r="137" spans="2:12">
      <c r="B137" s="91" t="s">
        <v>121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>
      <c r="B138" s="91" t="s">
        <v>122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>
      <c r="B141" s="24" t="s">
        <v>123</v>
      </c>
    </row>
    <row r="142" spans="2:12" ht="16.5" thickTop="1"/>
    <row r="144" spans="2:12">
      <c r="C144" s="91" t="s">
        <v>124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125</v>
      </c>
    </row>
    <row r="145" spans="2:16">
      <c r="C145" s="72" t="s">
        <v>126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127</v>
      </c>
    </row>
    <row r="146" spans="2:16" ht="16.5" thickBot="1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128</v>
      </c>
      <c r="O146" s="95" t="s">
        <v>129</v>
      </c>
      <c r="P146" s="23" t="s">
        <v>130</v>
      </c>
    </row>
    <row r="147" spans="2:16" ht="17.25" thickTop="1" thickBot="1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131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>
      <c r="C149" s="72" t="s">
        <v>132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132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>
      <c r="C150" s="72" t="s">
        <v>133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133</v>
      </c>
      <c r="N150" s="47">
        <f>J150</f>
        <v>5.92964824120603E-3</v>
      </c>
      <c r="O150" s="47">
        <f>[8]Production!AO118</f>
        <v>0</v>
      </c>
    </row>
    <row r="151" spans="2:16" ht="17.25" thickTop="1" thickBot="1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>
      <c r="M152" s="39" t="s">
        <v>134</v>
      </c>
    </row>
    <row r="153" spans="2:16">
      <c r="C153" s="39" t="s">
        <v>135</v>
      </c>
    </row>
    <row r="154" spans="2:16">
      <c r="C154" s="39" t="s">
        <v>136</v>
      </c>
    </row>
    <row r="155" spans="2:16">
      <c r="C155" s="99" t="s">
        <v>137</v>
      </c>
    </row>
    <row r="156" spans="2:16">
      <c r="H156" s="23">
        <v>2010</v>
      </c>
    </row>
    <row r="157" spans="2:16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138</v>
      </c>
      <c r="I157" s="26" t="s">
        <v>10</v>
      </c>
      <c r="J157" s="27" t="s">
        <v>3</v>
      </c>
    </row>
    <row r="158" spans="2:16">
      <c r="B158" s="25" t="s">
        <v>139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>
      <c r="C161" s="28" t="s">
        <v>132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>
      <c r="C162" s="28" t="s">
        <v>140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>
      <c r="H164" s="100">
        <f>SUM(H158:H163)</f>
        <v>25.06</v>
      </c>
    </row>
    <row r="166" spans="2:13">
      <c r="B166" s="23" t="s">
        <v>141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>
      <c r="C169" s="28" t="s">
        <v>132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>
      <c r="C170" s="28" t="s">
        <v>140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>
      <c r="C174" s="23" t="s">
        <v>13</v>
      </c>
      <c r="D174" s="23" t="s">
        <v>142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>
      <c r="C175" s="23" t="s">
        <v>11</v>
      </c>
      <c r="D175" s="23" t="s">
        <v>142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>
      <c r="C176" s="23" t="s">
        <v>14</v>
      </c>
      <c r="D176" s="23" t="s">
        <v>142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>
      <c r="C177" s="23" t="s">
        <v>132</v>
      </c>
      <c r="D177" s="23" t="s">
        <v>142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>
      <c r="C178" s="23" t="s">
        <v>133</v>
      </c>
      <c r="D178" s="23" t="s">
        <v>142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>
      <c r="E179" s="23">
        <v>22.616394649572651</v>
      </c>
      <c r="F179" s="23">
        <v>33.573444891168094</v>
      </c>
      <c r="I179" s="23">
        <v>2.9164588190883189</v>
      </c>
    </row>
    <row r="182" spans="2:10">
      <c r="B182" s="23" t="s">
        <v>508</v>
      </c>
    </row>
    <row r="183" spans="2:10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>
      <c r="B184" s="370" t="s">
        <v>509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>
      <c r="B188" s="370"/>
      <c r="C188" s="28" t="s">
        <v>132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>
      <c r="B189" s="408"/>
      <c r="C189" s="409" t="s">
        <v>140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>
      <c r="I192" s="23" t="s">
        <v>7</v>
      </c>
      <c r="J192" s="23">
        <v>3</v>
      </c>
    </row>
    <row r="193" spans="2:11">
      <c r="I193" s="23" t="s">
        <v>9</v>
      </c>
      <c r="J193" s="23">
        <v>1.44</v>
      </c>
    </row>
    <row r="194" spans="2:11">
      <c r="B194" s="23" t="s">
        <v>143</v>
      </c>
    </row>
    <row r="195" spans="2:11">
      <c r="C195" s="23" t="s">
        <v>144</v>
      </c>
      <c r="D195" s="23" t="s">
        <v>145</v>
      </c>
      <c r="G195" s="23" t="s">
        <v>146</v>
      </c>
      <c r="I195" s="23" t="s">
        <v>7</v>
      </c>
      <c r="J195" s="23" t="s">
        <v>9</v>
      </c>
    </row>
    <row r="196" spans="2:11">
      <c r="B196" s="23" t="s">
        <v>13</v>
      </c>
      <c r="C196" s="23" t="s">
        <v>147</v>
      </c>
      <c r="D196" s="23">
        <v>27.8</v>
      </c>
      <c r="E196" s="23" t="s">
        <v>148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>
      <c r="B197" s="23" t="s">
        <v>11</v>
      </c>
      <c r="C197" s="23" t="s">
        <v>147</v>
      </c>
      <c r="D197" s="23">
        <v>28.2</v>
      </c>
      <c r="E197" s="23" t="s">
        <v>148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>
      <c r="B198" s="23" t="s">
        <v>14</v>
      </c>
      <c r="C198" s="23" t="s">
        <v>149</v>
      </c>
      <c r="D198" s="23">
        <v>3.6</v>
      </c>
      <c r="E198" s="23" t="s">
        <v>150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>
      <c r="B199" s="23" t="s">
        <v>132</v>
      </c>
      <c r="C199" s="23" t="s">
        <v>151</v>
      </c>
      <c r="D199" s="23">
        <v>1</v>
      </c>
      <c r="E199" s="23" t="s">
        <v>152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>
      <c r="B200" s="23" t="s">
        <v>153</v>
      </c>
      <c r="C200" s="23" t="s">
        <v>151</v>
      </c>
      <c r="D200" s="23">
        <v>1</v>
      </c>
      <c r="E200" s="23" t="s">
        <v>152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>
      <c r="B201" s="23" t="s">
        <v>154</v>
      </c>
      <c r="C201" s="23" t="s">
        <v>155</v>
      </c>
      <c r="D201" s="23">
        <v>41.716000000000001</v>
      </c>
      <c r="E201" s="23" t="s">
        <v>156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>
      <c r="G202" s="101"/>
      <c r="H202" s="101"/>
      <c r="I202" s="101"/>
      <c r="J202" s="101"/>
    </row>
    <row r="203" spans="2:11">
      <c r="G203" s="23" t="s">
        <v>125</v>
      </c>
      <c r="I203" s="23" t="s">
        <v>0</v>
      </c>
      <c r="J203" s="23" t="s">
        <v>157</v>
      </c>
      <c r="K203" s="23" t="s">
        <v>158</v>
      </c>
    </row>
    <row r="204" spans="2:11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>
      <c r="D207" s="23" t="s">
        <v>132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>
      <c r="D208" s="23" t="s">
        <v>153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>
      <c r="D209" s="23" t="s">
        <v>154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>
      <c r="D216" s="23" t="s">
        <v>132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>
      <c r="D217" s="23" t="s">
        <v>153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>
      <c r="D218" s="23" t="s">
        <v>154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/>
  </sheetViews>
  <sheetFormatPr defaultRowHeight="15"/>
  <sheetData>
    <row r="2" spans="3:25">
      <c r="C2" t="s">
        <v>510</v>
      </c>
      <c r="M2" t="s">
        <v>510</v>
      </c>
    </row>
    <row r="3" spans="3: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667</v>
      </c>
    </row>
    <row r="5" spans="3:25">
      <c r="C5" s="4" t="s">
        <v>403</v>
      </c>
      <c r="D5" s="12">
        <v>2.33</v>
      </c>
      <c r="E5" s="12">
        <v>2.34</v>
      </c>
      <c r="F5" s="12">
        <v>2.3199999999999998</v>
      </c>
      <c r="G5" s="12" t="s">
        <v>407</v>
      </c>
      <c r="H5" s="12"/>
      <c r="I5" s="5"/>
      <c r="M5" s="6" t="s">
        <v>429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668</v>
      </c>
    </row>
    <row r="6" spans="3:25">
      <c r="C6" s="4" t="s">
        <v>403</v>
      </c>
      <c r="D6" s="12">
        <v>2.91</v>
      </c>
      <c r="E6" s="12">
        <v>3.01</v>
      </c>
      <c r="F6" s="12">
        <v>3</v>
      </c>
      <c r="G6" s="12" t="s">
        <v>405</v>
      </c>
      <c r="H6" s="12"/>
      <c r="I6" s="5"/>
      <c r="M6" s="4"/>
      <c r="N6" s="12"/>
      <c r="O6" s="12" t="s">
        <v>1000</v>
      </c>
      <c r="P6" s="12"/>
      <c r="Q6" s="12"/>
      <c r="R6" s="12"/>
      <c r="S6" s="12"/>
      <c r="T6" s="12"/>
      <c r="U6" s="12"/>
      <c r="V6" s="5"/>
    </row>
    <row r="7" spans="3:25">
      <c r="C7" s="4" t="s">
        <v>404</v>
      </c>
      <c r="D7" s="12">
        <v>14.84</v>
      </c>
      <c r="E7" s="12">
        <v>14.71</v>
      </c>
      <c r="F7" s="12">
        <v>14.3</v>
      </c>
      <c r="G7" s="12" t="s">
        <v>410</v>
      </c>
      <c r="H7" s="12"/>
      <c r="I7" s="5"/>
      <c r="M7" s="4" t="s">
        <v>1001</v>
      </c>
      <c r="N7" s="12"/>
      <c r="O7" s="12">
        <v>4493</v>
      </c>
      <c r="P7" s="12"/>
      <c r="Q7" s="12" t="s">
        <v>1002</v>
      </c>
      <c r="R7" s="12"/>
      <c r="S7" s="12"/>
      <c r="T7" s="12"/>
      <c r="U7" s="12"/>
      <c r="V7" s="5"/>
    </row>
    <row r="8" spans="3:25">
      <c r="C8" s="4"/>
      <c r="D8" s="12"/>
      <c r="E8" s="12"/>
      <c r="F8" s="12"/>
      <c r="G8" s="12"/>
      <c r="H8" s="12"/>
      <c r="I8" s="5"/>
      <c r="M8" s="4"/>
      <c r="N8" s="12"/>
      <c r="O8" s="12" t="s">
        <v>428</v>
      </c>
      <c r="P8" s="12"/>
      <c r="Q8" s="12"/>
      <c r="R8" s="12"/>
      <c r="S8" s="12"/>
      <c r="T8" s="12"/>
      <c r="U8" s="12"/>
      <c r="V8" s="5"/>
    </row>
    <row r="9" spans="3:25">
      <c r="C9" s="4" t="s">
        <v>409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406</v>
      </c>
      <c r="H9" s="12"/>
      <c r="I9" s="5"/>
      <c r="M9" s="4" t="s">
        <v>1003</v>
      </c>
      <c r="N9" s="12"/>
      <c r="O9" s="12">
        <v>3098</v>
      </c>
      <c r="P9" s="12" t="s">
        <v>1004</v>
      </c>
      <c r="Q9" s="12" t="s">
        <v>1005</v>
      </c>
      <c r="R9" s="12"/>
      <c r="S9" s="12"/>
      <c r="T9" s="12"/>
      <c r="U9" s="12"/>
      <c r="V9" s="5"/>
    </row>
    <row r="10" spans="3:25">
      <c r="C10" s="4"/>
      <c r="D10" s="288"/>
      <c r="E10" s="288"/>
      <c r="F10" s="288"/>
      <c r="G10" s="12"/>
      <c r="H10" s="12"/>
      <c r="I10" s="5"/>
      <c r="M10" s="4" t="s">
        <v>1006</v>
      </c>
      <c r="N10" s="12"/>
      <c r="O10" s="12">
        <v>1393</v>
      </c>
      <c r="P10" s="12" t="s">
        <v>1004</v>
      </c>
      <c r="Q10" s="12" t="s">
        <v>1005</v>
      </c>
      <c r="R10" s="12"/>
      <c r="S10" s="12"/>
      <c r="T10" s="12"/>
      <c r="U10" s="12"/>
      <c r="V10" s="5"/>
    </row>
    <row r="11" spans="3: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408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>
      <c r="M13" s="6" t="s">
        <v>1007</v>
      </c>
      <c r="N13" s="19"/>
      <c r="O13" s="554">
        <f>O7*1000000/(O9*1000)</f>
        <v>1450.2905100064559</v>
      </c>
      <c r="P13" s="19" t="s">
        <v>1008</v>
      </c>
      <c r="Q13" s="19" t="s">
        <v>1009</v>
      </c>
      <c r="R13" s="12"/>
      <c r="S13" s="12"/>
      <c r="T13" s="12"/>
      <c r="U13" s="12"/>
      <c r="V13" s="5"/>
    </row>
    <row r="14" spans="3: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>
      <c r="C15" t="s">
        <v>511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>
      <c r="C17" s="4" t="s">
        <v>513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>
      <c r="C18" s="4">
        <v>2017</v>
      </c>
      <c r="D18" s="399">
        <v>7581</v>
      </c>
      <c r="E18" s="12" t="s">
        <v>512</v>
      </c>
      <c r="F18" s="12"/>
      <c r="G18" s="12"/>
      <c r="H18" s="12"/>
      <c r="I18" s="5"/>
      <c r="M18" s="4" t="s">
        <v>1010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>
      <c r="C19" s="4">
        <v>2016</v>
      </c>
      <c r="D19" s="399">
        <v>6544</v>
      </c>
      <c r="E19" s="12" t="s">
        <v>512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>
      <c r="C20" s="4"/>
      <c r="D20" s="12"/>
      <c r="E20" s="12"/>
      <c r="F20" s="12"/>
      <c r="G20" s="12"/>
      <c r="H20" s="12"/>
      <c r="I20" s="5"/>
      <c r="M20" s="4" t="s">
        <v>1011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>
      <c r="C21" s="4"/>
      <c r="D21" s="12"/>
      <c r="E21" s="12"/>
      <c r="F21" s="12"/>
      <c r="G21" s="12"/>
      <c r="H21" s="12"/>
      <c r="I21" s="5"/>
      <c r="M21" s="131"/>
      <c r="N21" s="131" t="s">
        <v>1008</v>
      </c>
      <c r="O21" s="12"/>
      <c r="P21" s="12" t="s">
        <v>1012</v>
      </c>
      <c r="Q21" s="12"/>
      <c r="R21" s="12"/>
      <c r="S21" s="12"/>
      <c r="T21" s="12"/>
      <c r="U21" s="12"/>
      <c r="V21" s="5"/>
    </row>
    <row r="22" spans="3:22">
      <c r="C22" s="4" t="s">
        <v>514</v>
      </c>
      <c r="D22" s="12"/>
      <c r="E22" s="12"/>
      <c r="F22" s="12"/>
      <c r="G22" s="12"/>
      <c r="H22" s="12"/>
      <c r="I22" s="5"/>
      <c r="M22" s="131" t="s">
        <v>1013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>
      <c r="C23" s="4">
        <v>515</v>
      </c>
      <c r="D23" s="12" t="s">
        <v>515</v>
      </c>
      <c r="E23" s="12"/>
      <c r="F23" s="12"/>
      <c r="G23" s="12"/>
      <c r="H23" s="12"/>
      <c r="I23" s="5"/>
      <c r="M23" s="131" t="s">
        <v>138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>
      <c r="C26" s="400">
        <v>0.74270000000000003</v>
      </c>
      <c r="D26" s="12" t="s">
        <v>516</v>
      </c>
      <c r="E26" s="12"/>
      <c r="F26" s="12"/>
      <c r="G26" s="12"/>
      <c r="H26" s="12"/>
      <c r="I26" s="5"/>
    </row>
    <row r="27" spans="3:22">
      <c r="C27" s="4"/>
      <c r="D27" s="12"/>
      <c r="E27" s="12"/>
      <c r="F27" s="12"/>
      <c r="G27" s="12"/>
      <c r="H27" s="12"/>
      <c r="I27" s="5"/>
    </row>
    <row r="28" spans="3:22">
      <c r="C28" s="7"/>
      <c r="D28" s="8"/>
      <c r="E28" s="8"/>
      <c r="F28" s="8"/>
      <c r="G28" s="8"/>
      <c r="H28" s="8"/>
      <c r="I28" s="9"/>
    </row>
    <row r="34" spans="3:17">
      <c r="C34" t="s">
        <v>751</v>
      </c>
    </row>
    <row r="35" spans="3:17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748</v>
      </c>
    </row>
    <row r="36" spans="3:17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749</v>
      </c>
    </row>
    <row r="38" spans="3:17">
      <c r="C38" s="4"/>
      <c r="D38" s="12"/>
      <c r="E38" s="12"/>
      <c r="F38" s="12"/>
      <c r="G38" s="12"/>
      <c r="H38" s="12"/>
      <c r="I38" s="12" t="s">
        <v>752</v>
      </c>
      <c r="J38" s="12"/>
      <c r="K38" s="12"/>
      <c r="L38" s="12"/>
      <c r="M38" s="5"/>
      <c r="P38">
        <v>1.4</v>
      </c>
      <c r="Q38" t="s">
        <v>750</v>
      </c>
    </row>
    <row r="39" spans="3:17">
      <c r="C39" s="4"/>
      <c r="D39" s="12"/>
      <c r="E39" s="12"/>
      <c r="F39" s="12"/>
      <c r="G39" s="12"/>
      <c r="H39" s="12"/>
      <c r="I39" s="12" t="s">
        <v>753</v>
      </c>
      <c r="J39" s="12"/>
      <c r="K39" s="12"/>
      <c r="L39" s="12"/>
      <c r="M39" s="5"/>
    </row>
    <row r="40" spans="3:17">
      <c r="C40" s="4"/>
      <c r="D40" s="12"/>
      <c r="E40" s="12"/>
      <c r="F40" s="12"/>
      <c r="G40" s="12"/>
      <c r="H40" s="12"/>
      <c r="I40" s="12" t="s">
        <v>754</v>
      </c>
      <c r="J40" s="12"/>
      <c r="K40" s="12"/>
      <c r="L40" s="12"/>
      <c r="M40" s="5"/>
    </row>
    <row r="41" spans="3:17">
      <c r="C41" s="4"/>
      <c r="D41" s="12"/>
      <c r="E41" s="12"/>
      <c r="F41" s="12"/>
      <c r="G41" s="12"/>
      <c r="H41" s="12"/>
      <c r="I41" s="12" t="s">
        <v>755</v>
      </c>
      <c r="J41" s="12"/>
      <c r="K41" s="12"/>
      <c r="L41" s="12"/>
      <c r="M41" s="5"/>
    </row>
    <row r="42" spans="3:17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>
      <c r="D78" t="s">
        <v>1156</v>
      </c>
    </row>
    <row r="79" spans="3:13">
      <c r="D79" t="s">
        <v>665</v>
      </c>
    </row>
    <row r="94" spans="21:23">
      <c r="V94" t="s">
        <v>669</v>
      </c>
    </row>
    <row r="95" spans="21:23">
      <c r="U95" t="s">
        <v>335</v>
      </c>
      <c r="V95">
        <v>1072</v>
      </c>
      <c r="W95" t="s">
        <v>428</v>
      </c>
    </row>
    <row r="96" spans="21:23">
      <c r="U96" t="s">
        <v>670</v>
      </c>
      <c r="V96">
        <v>1406</v>
      </c>
    </row>
    <row r="124" spans="3:3">
      <c r="C124" t="s">
        <v>666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>
      <c r="A1" s="151" t="s">
        <v>223</v>
      </c>
    </row>
    <row r="2" spans="1:46">
      <c r="A2" s="14" t="s">
        <v>224</v>
      </c>
    </row>
    <row r="4" spans="1:46" ht="13.5" thickBot="1">
      <c r="A4" s="14" t="s">
        <v>225</v>
      </c>
    </row>
    <row r="5" spans="1:46">
      <c r="A5" s="717" t="s">
        <v>226</v>
      </c>
      <c r="B5" s="705" t="s">
        <v>227</v>
      </c>
      <c r="C5" s="706"/>
      <c r="D5" s="706"/>
      <c r="E5" s="712"/>
      <c r="F5" s="713" t="s">
        <v>228</v>
      </c>
      <c r="G5" s="706"/>
      <c r="H5" s="712"/>
      <c r="I5" s="706" t="s">
        <v>229</v>
      </c>
      <c r="J5" s="706"/>
      <c r="K5" s="706"/>
      <c r="L5" s="706"/>
      <c r="M5" s="706"/>
      <c r="N5" s="706"/>
      <c r="O5" s="706"/>
      <c r="P5" s="712"/>
      <c r="Q5" s="713" t="s">
        <v>230</v>
      </c>
      <c r="R5" s="706"/>
      <c r="S5" s="706"/>
      <c r="T5" s="706"/>
      <c r="U5" s="706"/>
      <c r="V5" s="706"/>
      <c r="W5" s="706"/>
      <c r="X5" s="712"/>
      <c r="Y5" s="706" t="s">
        <v>231</v>
      </c>
      <c r="Z5" s="706"/>
      <c r="AA5" s="706"/>
      <c r="AB5" s="707"/>
      <c r="AC5" s="705" t="s">
        <v>232</v>
      </c>
      <c r="AD5" s="706"/>
      <c r="AE5" s="706"/>
      <c r="AF5" s="706"/>
      <c r="AG5" s="152"/>
      <c r="AH5" s="152"/>
      <c r="AI5" s="153" t="s">
        <v>233</v>
      </c>
      <c r="AJ5" s="707" t="s">
        <v>234</v>
      </c>
      <c r="AK5" s="708"/>
      <c r="AL5" s="708"/>
      <c r="AM5" s="708"/>
      <c r="AN5" s="708"/>
      <c r="AO5" s="708"/>
      <c r="AP5" s="708"/>
      <c r="AQ5" s="708"/>
      <c r="AR5" s="708"/>
      <c r="AS5" s="708"/>
      <c r="AT5" s="709"/>
    </row>
    <row r="6" spans="1:46" s="166" customFormat="1" ht="26.25" customHeight="1">
      <c r="A6" s="718"/>
      <c r="B6" s="154" t="s">
        <v>6</v>
      </c>
      <c r="C6" s="155" t="s">
        <v>235</v>
      </c>
      <c r="D6" s="154" t="s">
        <v>236</v>
      </c>
      <c r="E6" s="156" t="s">
        <v>237</v>
      </c>
      <c r="F6" s="157" t="s">
        <v>238</v>
      </c>
      <c r="G6" s="154" t="s">
        <v>239</v>
      </c>
      <c r="H6" s="158" t="s">
        <v>240</v>
      </c>
      <c r="I6" s="159" t="s">
        <v>6</v>
      </c>
      <c r="J6" s="160" t="s">
        <v>235</v>
      </c>
      <c r="K6" s="154" t="s">
        <v>241</v>
      </c>
      <c r="L6" s="154" t="s">
        <v>138</v>
      </c>
      <c r="M6" s="154" t="s">
        <v>237</v>
      </c>
      <c r="N6" s="154" t="s">
        <v>236</v>
      </c>
      <c r="O6" s="154" t="s">
        <v>242</v>
      </c>
      <c r="P6" s="161" t="s">
        <v>243</v>
      </c>
      <c r="Q6" s="157" t="s">
        <v>6</v>
      </c>
      <c r="R6" s="155" t="s">
        <v>235</v>
      </c>
      <c r="S6" s="154" t="s">
        <v>244</v>
      </c>
      <c r="T6" s="154" t="s">
        <v>245</v>
      </c>
      <c r="U6" s="154" t="s">
        <v>237</v>
      </c>
      <c r="V6" s="154" t="s">
        <v>236</v>
      </c>
      <c r="W6" s="154" t="s">
        <v>242</v>
      </c>
      <c r="X6" s="159" t="s">
        <v>243</v>
      </c>
      <c r="Y6" s="162" t="s">
        <v>246</v>
      </c>
      <c r="Z6" s="155" t="s">
        <v>13</v>
      </c>
      <c r="AA6" s="154" t="s">
        <v>247</v>
      </c>
      <c r="AB6" s="154" t="s">
        <v>248</v>
      </c>
      <c r="AC6" s="710" t="s">
        <v>249</v>
      </c>
      <c r="AD6" s="711"/>
      <c r="AE6" s="155" t="s">
        <v>250</v>
      </c>
      <c r="AF6" s="163" t="s">
        <v>251</v>
      </c>
      <c r="AG6" s="164" t="s">
        <v>252</v>
      </c>
      <c r="AH6" s="156" t="s">
        <v>253</v>
      </c>
      <c r="AI6" s="165" t="s">
        <v>233</v>
      </c>
      <c r="AJ6" s="162" t="s">
        <v>254</v>
      </c>
      <c r="AK6" s="154" t="s">
        <v>255</v>
      </c>
      <c r="AL6" s="154" t="s">
        <v>256</v>
      </c>
      <c r="AM6" s="154" t="s">
        <v>14</v>
      </c>
      <c r="AN6" s="154" t="s">
        <v>257</v>
      </c>
      <c r="AO6" s="154" t="s">
        <v>258</v>
      </c>
      <c r="AP6" s="154" t="s">
        <v>259</v>
      </c>
      <c r="AQ6" s="154" t="s">
        <v>260</v>
      </c>
      <c r="AR6" s="154" t="s">
        <v>261</v>
      </c>
      <c r="AS6" s="154" t="s">
        <v>3</v>
      </c>
      <c r="AT6" s="156" t="s">
        <v>262</v>
      </c>
    </row>
    <row r="7" spans="1:46">
      <c r="A7" s="719"/>
      <c r="B7" s="167" t="s">
        <v>263</v>
      </c>
      <c r="C7" s="167" t="s">
        <v>263</v>
      </c>
      <c r="D7" s="167" t="s">
        <v>264</v>
      </c>
      <c r="E7" s="168" t="s">
        <v>263</v>
      </c>
      <c r="F7" s="169"/>
      <c r="G7" s="167"/>
      <c r="H7" s="168"/>
      <c r="I7" s="170" t="s">
        <v>263</v>
      </c>
      <c r="J7" s="171" t="s">
        <v>263</v>
      </c>
      <c r="K7" s="167" t="s">
        <v>263</v>
      </c>
      <c r="L7" s="167" t="s">
        <v>263</v>
      </c>
      <c r="M7" s="167" t="s">
        <v>263</v>
      </c>
      <c r="N7" s="167" t="s">
        <v>265</v>
      </c>
      <c r="O7" s="167" t="s">
        <v>266</v>
      </c>
      <c r="P7" s="172" t="s">
        <v>267</v>
      </c>
      <c r="Q7" s="169" t="s">
        <v>263</v>
      </c>
      <c r="R7" s="167" t="s">
        <v>263</v>
      </c>
      <c r="S7" s="167" t="s">
        <v>263</v>
      </c>
      <c r="T7" s="167" t="s">
        <v>263</v>
      </c>
      <c r="U7" s="167" t="s">
        <v>263</v>
      </c>
      <c r="V7" s="167" t="s">
        <v>265</v>
      </c>
      <c r="W7" s="167" t="s">
        <v>266</v>
      </c>
      <c r="X7" s="170" t="s">
        <v>267</v>
      </c>
      <c r="Y7" s="171" t="s">
        <v>268</v>
      </c>
      <c r="Z7" s="167" t="s">
        <v>268</v>
      </c>
      <c r="AA7" s="167" t="s">
        <v>268</v>
      </c>
      <c r="AB7" s="167" t="s">
        <v>268</v>
      </c>
      <c r="AC7" s="167" t="s">
        <v>269</v>
      </c>
      <c r="AD7" s="167" t="s">
        <v>270</v>
      </c>
      <c r="AE7" s="167" t="s">
        <v>270</v>
      </c>
      <c r="AF7" s="173" t="s">
        <v>270</v>
      </c>
      <c r="AG7" s="174" t="s">
        <v>271</v>
      </c>
      <c r="AH7" s="175" t="s">
        <v>272</v>
      </c>
      <c r="AI7" s="176" t="s">
        <v>273</v>
      </c>
      <c r="AJ7" s="171" t="s">
        <v>274</v>
      </c>
      <c r="AK7" s="167" t="s">
        <v>274</v>
      </c>
      <c r="AL7" s="167" t="s">
        <v>274</v>
      </c>
      <c r="AM7" s="167" t="s">
        <v>274</v>
      </c>
      <c r="AN7" s="167" t="s">
        <v>274</v>
      </c>
      <c r="AO7" s="167" t="s">
        <v>274</v>
      </c>
      <c r="AP7" s="167" t="s">
        <v>274</v>
      </c>
      <c r="AQ7" s="167" t="s">
        <v>274</v>
      </c>
      <c r="AR7" s="167" t="s">
        <v>274</v>
      </c>
      <c r="AS7" s="167" t="s">
        <v>274</v>
      </c>
      <c r="AT7" s="175" t="s">
        <v>275</v>
      </c>
    </row>
    <row r="8" spans="1:46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>
      <c r="A20" s="14" t="s">
        <v>276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>
      <c r="A21" s="714" t="s">
        <v>226</v>
      </c>
      <c r="B21" s="716" t="s">
        <v>277</v>
      </c>
      <c r="C21" s="709"/>
      <c r="D21" s="713" t="s">
        <v>278</v>
      </c>
      <c r="E21" s="706"/>
      <c r="F21" s="712"/>
      <c r="G21" s="713" t="s">
        <v>279</v>
      </c>
      <c r="H21" s="712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>
      <c r="A22" s="715"/>
      <c r="B22" s="177" t="s">
        <v>280</v>
      </c>
      <c r="C22" s="236" t="s">
        <v>281</v>
      </c>
      <c r="D22" s="177" t="s">
        <v>282</v>
      </c>
      <c r="E22" s="237" t="s">
        <v>283</v>
      </c>
      <c r="F22" s="236" t="s">
        <v>284</v>
      </c>
      <c r="G22" s="177" t="s">
        <v>285</v>
      </c>
      <c r="H22" s="236" t="s">
        <v>286</v>
      </c>
      <c r="AE22" s="254"/>
    </row>
    <row r="23" spans="1:47">
      <c r="A23" s="715"/>
      <c r="B23" s="169" t="s">
        <v>266</v>
      </c>
      <c r="C23" s="168" t="s">
        <v>266</v>
      </c>
      <c r="D23" s="169" t="s">
        <v>266</v>
      </c>
      <c r="E23" s="167" t="s">
        <v>266</v>
      </c>
      <c r="F23" s="168" t="s">
        <v>266</v>
      </c>
      <c r="G23" s="169" t="s">
        <v>266</v>
      </c>
      <c r="H23" s="168" t="s">
        <v>266</v>
      </c>
      <c r="J23" s="242"/>
    </row>
    <row r="24" spans="1:47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704"/>
      <c r="T26" s="704"/>
      <c r="U26" s="704"/>
      <c r="V26" s="704"/>
      <c r="W26" s="704"/>
      <c r="X26" s="704"/>
    </row>
    <row r="27" spans="1:47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>
      <c r="V35" s="242"/>
      <c r="W35" s="242"/>
      <c r="X35" s="243"/>
      <c r="Y35" s="246"/>
      <c r="Z35" s="244"/>
      <c r="AA35" s="246"/>
      <c r="AB35" s="242"/>
    </row>
    <row r="36" spans="1:29">
      <c r="AC36" s="251"/>
    </row>
    <row r="37" spans="1:29">
      <c r="AC37" s="251"/>
    </row>
    <row r="38" spans="1:29">
      <c r="F38" s="14">
        <v>24</v>
      </c>
      <c r="AC38" s="251"/>
    </row>
    <row r="39" spans="1:29" ht="15">
      <c r="D39" s="14">
        <v>2012</v>
      </c>
      <c r="F39" s="14" t="s">
        <v>13</v>
      </c>
      <c r="G39" s="14" t="s">
        <v>247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>
      <c r="D40" s="14" t="s">
        <v>287</v>
      </c>
      <c r="F40" s="14" t="s">
        <v>288</v>
      </c>
      <c r="G40" s="14" t="s">
        <v>288</v>
      </c>
      <c r="H40" s="14" t="s">
        <v>289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>
      <c r="C41" s="14" t="s">
        <v>290</v>
      </c>
      <c r="D41" s="242">
        <f>J14*K15/J15</f>
        <v>2311.3657479095696</v>
      </c>
      <c r="K41" s="14" t="s">
        <v>138</v>
      </c>
      <c r="L41" s="14" t="s">
        <v>608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>
      <c r="C42" s="14" t="s">
        <v>138</v>
      </c>
      <c r="D42" s="242">
        <f>J14-D41</f>
        <v>1242.6342520904304</v>
      </c>
      <c r="K42" s="14" t="s">
        <v>293</v>
      </c>
      <c r="L42" s="14" t="s">
        <v>608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>
      <c r="C43" s="14" t="s">
        <v>291</v>
      </c>
      <c r="D43" s="243">
        <f>R14*(S15/R15)</f>
        <v>1290.0096411355116</v>
      </c>
      <c r="K43" s="14" t="s">
        <v>244</v>
      </c>
      <c r="L43" s="14" t="s">
        <v>518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>
      <c r="C44" s="14" t="s">
        <v>292</v>
      </c>
      <c r="D44" s="242">
        <f>R14-D43</f>
        <v>245.99035886448837</v>
      </c>
      <c r="K44" s="14" t="s">
        <v>245</v>
      </c>
      <c r="L44" s="14" t="s">
        <v>518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>
      <c r="F46" s="343">
        <f>F45*24/1000</f>
        <v>108301.008</v>
      </c>
      <c r="H46" s="346">
        <f>H45*3.6/1000</f>
        <v>14.112</v>
      </c>
      <c r="I46" s="14" t="s">
        <v>142</v>
      </c>
    </row>
    <row r="47" spans="1:29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25" workbookViewId="0">
      <selection activeCell="M63" sqref="M63"/>
    </sheetView>
  </sheetViews>
  <sheetFormatPr defaultRowHeight="1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>
      <c r="C2" s="132" t="s">
        <v>192</v>
      </c>
    </row>
    <row r="20" spans="32:32">
      <c r="AF20" s="137"/>
    </row>
    <row r="21" spans="32:32">
      <c r="AF21" s="137"/>
    </row>
    <row r="40" spans="3:17">
      <c r="C40" s="15"/>
      <c r="D40" s="16"/>
      <c r="E40" s="720" t="s">
        <v>202</v>
      </c>
      <c r="F40" s="720"/>
      <c r="G40" s="720"/>
      <c r="H40" s="720"/>
      <c r="I40" s="720"/>
      <c r="J40" s="720"/>
      <c r="K40" s="720"/>
      <c r="L40" s="16"/>
      <c r="M40" s="720" t="s">
        <v>203</v>
      </c>
      <c r="N40" s="720"/>
      <c r="O40" s="721"/>
    </row>
    <row r="41" spans="3:17">
      <c r="C41" s="4"/>
      <c r="D41" s="12"/>
      <c r="E41" s="19" t="s">
        <v>13</v>
      </c>
      <c r="F41" s="19" t="s">
        <v>11</v>
      </c>
      <c r="G41" s="19" t="s">
        <v>194</v>
      </c>
      <c r="H41" s="19" t="s">
        <v>196</v>
      </c>
      <c r="I41" s="19" t="s">
        <v>201</v>
      </c>
      <c r="J41" s="19" t="s">
        <v>197</v>
      </c>
      <c r="K41" s="19" t="s">
        <v>195</v>
      </c>
      <c r="L41" s="12"/>
      <c r="M41" s="19" t="s">
        <v>195</v>
      </c>
      <c r="N41" s="19" t="s">
        <v>200</v>
      </c>
      <c r="O41" s="146" t="s">
        <v>205</v>
      </c>
    </row>
    <row r="42" spans="3:17">
      <c r="C42" s="722" t="s">
        <v>92</v>
      </c>
      <c r="D42" s="19" t="s">
        <v>193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198</v>
      </c>
      <c r="O42" s="5"/>
    </row>
    <row r="43" spans="3:17">
      <c r="C43" s="722"/>
      <c r="D43" s="19" t="s">
        <v>199</v>
      </c>
      <c r="E43" s="1"/>
      <c r="F43" s="1"/>
      <c r="G43" s="1">
        <v>596000</v>
      </c>
      <c r="H43" s="1"/>
      <c r="I43" s="1">
        <v>297000</v>
      </c>
      <c r="J43" s="1" t="s">
        <v>198</v>
      </c>
      <c r="K43" s="1"/>
      <c r="L43" s="12"/>
      <c r="M43" s="1">
        <v>640000</v>
      </c>
      <c r="N43" s="12"/>
      <c r="O43" s="5"/>
    </row>
    <row r="44" spans="3:17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>
      <c r="C45" s="138" t="s">
        <v>204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>
      <c r="C47" s="140" t="s">
        <v>206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>
      <c r="G51" t="s">
        <v>348</v>
      </c>
      <c r="H51" s="347">
        <f>SUM(G42:G43,I42:I43)</f>
        <v>2010000</v>
      </c>
    </row>
    <row r="52" spans="2:21">
      <c r="G52" t="s">
        <v>195</v>
      </c>
      <c r="H52" s="347">
        <f>M44</f>
        <v>1400000</v>
      </c>
      <c r="I52">
        <f>H52/H51</f>
        <v>0.69651741293532343</v>
      </c>
    </row>
    <row r="54" spans="2:21">
      <c r="B54" t="s">
        <v>384</v>
      </c>
      <c r="G54" t="s">
        <v>193</v>
      </c>
      <c r="H54" s="347">
        <f>M42</f>
        <v>760000</v>
      </c>
      <c r="I54" s="137">
        <f>H54/SUM(H54:H55)</f>
        <v>0.54285714285714282</v>
      </c>
    </row>
    <row r="55" spans="2:21">
      <c r="B55" t="s">
        <v>385</v>
      </c>
      <c r="G55" t="s">
        <v>386</v>
      </c>
      <c r="H55" s="347">
        <f>M43</f>
        <v>640000</v>
      </c>
      <c r="I55" s="137">
        <f>1-I54</f>
        <v>0.45714285714285718</v>
      </c>
      <c r="N55" t="s">
        <v>1591</v>
      </c>
    </row>
    <row r="56" spans="2:21">
      <c r="N56" t="s">
        <v>1592</v>
      </c>
    </row>
    <row r="57" spans="2:21">
      <c r="N57" t="s">
        <v>1590</v>
      </c>
      <c r="O57">
        <v>12</v>
      </c>
      <c r="P57" s="137">
        <f>1-P58</f>
        <v>0.27272727272727271</v>
      </c>
    </row>
    <row r="58" spans="2:21">
      <c r="C58" t="s">
        <v>413</v>
      </c>
      <c r="J58" t="s">
        <v>862</v>
      </c>
      <c r="N58" t="s">
        <v>1593</v>
      </c>
      <c r="O58">
        <f>2*16</f>
        <v>32</v>
      </c>
      <c r="P58" s="137">
        <f>O58/O59</f>
        <v>0.72727272727272729</v>
      </c>
    </row>
    <row r="59" spans="2:21">
      <c r="J59" t="s">
        <v>1589</v>
      </c>
      <c r="L59" t="s">
        <v>1590</v>
      </c>
      <c r="M59" t="s">
        <v>404</v>
      </c>
      <c r="O59">
        <f>SUM(O57:O58)</f>
        <v>44</v>
      </c>
    </row>
    <row r="60" spans="2:21">
      <c r="C60" t="s">
        <v>13</v>
      </c>
      <c r="D60" s="368">
        <f>E42/O47</f>
        <v>0.54441454869243722</v>
      </c>
      <c r="E60" t="s">
        <v>414</v>
      </c>
      <c r="H60" s="349">
        <f>D60*24</f>
        <v>13.065949168618493</v>
      </c>
      <c r="I60" s="349"/>
      <c r="J60" s="367">
        <v>0.8</v>
      </c>
      <c r="K60" s="349"/>
      <c r="L60" s="349">
        <f>J60*D60</f>
        <v>0.43553163895394981</v>
      </c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>
      <c r="C61" t="s">
        <v>11</v>
      </c>
      <c r="D61" s="368">
        <f>F42/O47</f>
        <v>8.0654007213694409E-2</v>
      </c>
      <c r="E61" t="s">
        <v>414</v>
      </c>
      <c r="H61" s="349">
        <f>D61*30</f>
        <v>2.4196202164108325</v>
      </c>
      <c r="J61" s="367">
        <v>0.85</v>
      </c>
      <c r="L61" s="349">
        <f>J61*D61</f>
        <v>6.855590613164024E-2</v>
      </c>
    </row>
    <row r="63" spans="2:21">
      <c r="H63" s="349">
        <f>SUM(H60:H61)</f>
        <v>15.485569385029326</v>
      </c>
      <c r="L63" s="349">
        <f>SUM(L60:L61)</f>
        <v>0.50408754508559006</v>
      </c>
      <c r="M63" s="349">
        <f>L63/P57</f>
        <v>1.8483209986471636</v>
      </c>
    </row>
    <row r="66" spans="1:14" ht="21">
      <c r="A66" s="384" t="s">
        <v>153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>
      <c r="B68" t="s">
        <v>436</v>
      </c>
    </row>
    <row r="69" spans="1:14">
      <c r="B69" s="136" t="s">
        <v>443</v>
      </c>
    </row>
    <row r="70" spans="1:14">
      <c r="B70" s="385" t="s">
        <v>445</v>
      </c>
    </row>
    <row r="72" spans="1:14">
      <c r="B72" s="367">
        <v>0.26</v>
      </c>
      <c r="C72" t="s">
        <v>437</v>
      </c>
    </row>
    <row r="73" spans="1:14">
      <c r="B73">
        <v>1.5</v>
      </c>
      <c r="C73" t="s">
        <v>440</v>
      </c>
      <c r="H73">
        <v>12.3</v>
      </c>
      <c r="I73" t="s">
        <v>439</v>
      </c>
    </row>
    <row r="74" spans="1:14">
      <c r="B74">
        <v>949570</v>
      </c>
      <c r="C74" t="s">
        <v>438</v>
      </c>
    </row>
    <row r="75" spans="1:14">
      <c r="A75" t="s">
        <v>444</v>
      </c>
    </row>
    <row r="76" spans="1:14">
      <c r="B76">
        <f>B73*B74</f>
        <v>1424355</v>
      </c>
      <c r="C76" t="s">
        <v>599</v>
      </c>
    </row>
    <row r="77" spans="1:14">
      <c r="B77" s="133">
        <f>B76/B72</f>
        <v>5478288.461538461</v>
      </c>
      <c r="C77" t="s">
        <v>442</v>
      </c>
    </row>
    <row r="79" spans="1:14">
      <c r="B79" s="349">
        <f>B77*H73/1000</f>
        <v>67382.948076923072</v>
      </c>
      <c r="C79" t="s">
        <v>441</v>
      </c>
    </row>
    <row r="81" spans="2:3">
      <c r="B81" s="349">
        <f>B79*3.6/1000</f>
        <v>242.57861307692306</v>
      </c>
      <c r="C81" t="s">
        <v>330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workbookViewId="0">
      <selection activeCell="W51" sqref="W51"/>
    </sheetView>
  </sheetViews>
  <sheetFormatPr defaultRowHeight="15"/>
  <sheetData>
    <row r="28" spans="23:23">
      <c r="W28">
        <f>250+120</f>
        <v>370</v>
      </c>
    </row>
    <row r="29" spans="23:23">
      <c r="W29">
        <f>W28*12</f>
        <v>4440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/>
  <sheetData>
    <row r="2" spans="2:9">
      <c r="B2" t="s">
        <v>345</v>
      </c>
    </row>
    <row r="3" spans="2:9">
      <c r="B3" t="s">
        <v>346</v>
      </c>
    </row>
    <row r="6" spans="2:9">
      <c r="B6" t="s">
        <v>598</v>
      </c>
    </row>
    <row r="7" spans="2:9">
      <c r="B7" t="s">
        <v>347</v>
      </c>
    </row>
    <row r="8" spans="2:9">
      <c r="E8" t="s">
        <v>334</v>
      </c>
    </row>
    <row r="9" spans="2:9">
      <c r="C9" s="136" t="s">
        <v>331</v>
      </c>
    </row>
    <row r="10" spans="2:9">
      <c r="C10" t="s">
        <v>332</v>
      </c>
      <c r="D10">
        <v>1600</v>
      </c>
      <c r="E10" t="s">
        <v>333</v>
      </c>
      <c r="I10" t="s">
        <v>504</v>
      </c>
    </row>
    <row r="11" spans="2:9">
      <c r="C11" t="s">
        <v>335</v>
      </c>
      <c r="D11">
        <v>275</v>
      </c>
      <c r="E11" t="s">
        <v>336</v>
      </c>
      <c r="H11">
        <v>30</v>
      </c>
      <c r="I11">
        <f>H11*D11/1000</f>
        <v>8.25</v>
      </c>
    </row>
    <row r="12" spans="2:9">
      <c r="C12" t="s">
        <v>337</v>
      </c>
      <c r="D12">
        <v>205</v>
      </c>
      <c r="E12" t="s">
        <v>336</v>
      </c>
      <c r="H12">
        <v>24</v>
      </c>
      <c r="I12">
        <f>H12*D12/1000</f>
        <v>4.92</v>
      </c>
    </row>
    <row r="13" spans="2:9">
      <c r="C13" t="s">
        <v>338</v>
      </c>
      <c r="D13">
        <v>1000</v>
      </c>
      <c r="E13" t="s">
        <v>339</v>
      </c>
    </row>
    <row r="15" spans="2:9">
      <c r="C15" s="136" t="s">
        <v>340</v>
      </c>
    </row>
    <row r="16" spans="2:9">
      <c r="C16" t="s">
        <v>341</v>
      </c>
      <c r="D16">
        <v>12000</v>
      </c>
      <c r="E16" t="s">
        <v>342</v>
      </c>
    </row>
    <row r="17" spans="3:5">
      <c r="C17" t="s">
        <v>343</v>
      </c>
      <c r="D17">
        <v>320</v>
      </c>
      <c r="E17" t="s">
        <v>344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/>
  <sheetData>
    <row r="3" spans="19:19">
      <c r="S3" t="s">
        <v>1571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workbookViewId="0">
      <selection activeCell="H28" sqref="H28"/>
    </sheetView>
  </sheetViews>
  <sheetFormatPr defaultRowHeight="15"/>
  <cols>
    <col min="2" max="2" width="10.85546875" bestFit="1" customWidth="1"/>
  </cols>
  <sheetData>
    <row r="2" spans="2:10">
      <c r="B2" t="s">
        <v>210</v>
      </c>
    </row>
    <row r="3" spans="2:10">
      <c r="B3" t="s">
        <v>209</v>
      </c>
    </row>
    <row r="4" spans="2:10">
      <c r="B4" s="147" t="s">
        <v>597</v>
      </c>
    </row>
    <row r="5" spans="2:10">
      <c r="B5" t="s">
        <v>211</v>
      </c>
    </row>
    <row r="6" spans="2:10">
      <c r="J6" t="s">
        <v>217</v>
      </c>
    </row>
    <row r="8" spans="2:10">
      <c r="B8" s="149" t="s">
        <v>213</v>
      </c>
    </row>
    <row r="9" spans="2:10">
      <c r="B9" t="s">
        <v>212</v>
      </c>
    </row>
    <row r="11" spans="2:10">
      <c r="B11" s="148" t="s">
        <v>219</v>
      </c>
    </row>
    <row r="12" spans="2:10">
      <c r="C12" t="s">
        <v>220</v>
      </c>
    </row>
    <row r="13" spans="2:10">
      <c r="C13" t="s">
        <v>218</v>
      </c>
    </row>
    <row r="15" spans="2:10">
      <c r="B15" s="148" t="s">
        <v>221</v>
      </c>
    </row>
    <row r="16" spans="2:10">
      <c r="C16" t="s">
        <v>216</v>
      </c>
    </row>
    <row r="19" spans="2:3">
      <c r="B19" s="149" t="s">
        <v>214</v>
      </c>
    </row>
    <row r="21" spans="2:3">
      <c r="B21" s="133">
        <v>900000</v>
      </c>
      <c r="C21" t="s">
        <v>215</v>
      </c>
    </row>
    <row r="25" spans="2:3">
      <c r="B25" s="136" t="s">
        <v>352</v>
      </c>
    </row>
    <row r="26" spans="2:3">
      <c r="B26">
        <v>1915</v>
      </c>
      <c r="C26" t="s">
        <v>350</v>
      </c>
    </row>
    <row r="27" spans="2:3">
      <c r="B27">
        <v>478</v>
      </c>
      <c r="C27" t="s">
        <v>351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Log</vt:lpstr>
      <vt:lpstr>PAMS and scenarios</vt:lpstr>
      <vt:lpstr>HDRI scenarios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2017GHG inv Emissions factors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2022-08-31T09:17:28Z</dcterms:modified>
</cp:coreProperties>
</file>