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1.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2.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omments10.xml" ContentType="application/vnd.openxmlformats-officedocument.spreadsheetml.comments+xml"/>
  <Override PartName="/xl/threadedComments/threadedComment7.xml" ContentType="application/vnd.ms-excel.threadedcomments+xml"/>
  <Override PartName="/xl/comments11.xml" ContentType="application/vnd.openxmlformats-officedocument.spreadsheetml.comments+xml"/>
  <Override PartName="/xl/threadedComments/threadedComment8.xml" ContentType="application/vnd.ms-excel.threadedcomments+xml"/>
  <Override PartName="/xl/drawings/drawing14.xml" ContentType="application/vnd.openxmlformats-officedocument.drawing+xml"/>
  <Override PartName="/xl/comments12.xml" ContentType="application/vnd.openxmlformats-officedocument.spreadsheetml.comments+xml"/>
  <Override PartName="/xl/threadedComments/threadedComment9.xml" ContentType="application/vnd.ms-excel.threadedcomments+xml"/>
  <Override PartName="/xl/comments13.xml" ContentType="application/vnd.openxmlformats-officedocument.spreadsheetml.comments+xml"/>
  <Override PartName="/xl/threadedComments/threadedComment10.xml" ContentType="application/vnd.ms-excel.threadedcomments+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omments16.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7.xml" ContentType="application/vnd.openxmlformats-officedocument.drawing+xml"/>
  <Override PartName="/xl/comments17.xml" ContentType="application/vnd.openxmlformats-officedocument.spreadsheetml.comments+xml"/>
  <Override PartName="/xl/threadedComments/threadedComment12.xml" ContentType="application/vnd.ms-excel.threadedcomments+xml"/>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2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2.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2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18.xml" ContentType="application/vnd.openxmlformats-officedocument.spreadsheetml.comments+xml"/>
  <Override PartName="/xl/drawings/drawing2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comments19.xml" ContentType="application/vnd.openxmlformats-officedocument.spreadsheetml.comments+xml"/>
  <Override PartName="/xl/drawings/drawing25.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drawings/drawing26.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drawings/drawing27.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8.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drawings/drawing29.xml" ContentType="application/vnd.openxmlformats-officedocument.drawing+xml"/>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drawings/drawing30.xml" ContentType="application/vnd.openxmlformats-officedocument.drawing+xml"/>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drawings/drawing31.xml" ContentType="application/vnd.openxmlformats-officedocument.drawing+xml"/>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1488A3F2-689A-4F01-B252-2023F5968170}" xr6:coauthVersionLast="45" xr6:coauthVersionMax="45" xr10:uidLastSave="{00000000-0000-0000-0000-000000000000}"/>
  <bookViews>
    <workbookView xWindow="7200" yWindow="1200" windowWidth="21600" windowHeight="13695" activeTab="1" xr2:uid="{1D185B9C-AA1D-4C56-BC4C-EE2F6C8DC541}"/>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CostProfiles" sheetId="80" r:id="rId7"/>
    <sheet name="ProcDataTnD" sheetId="81" r:id="rId8"/>
    <sheet name="ProcDataExports" sheetId="100" r:id="rId9"/>
    <sheet name="ProcDataMines" sheetId="82" r:id="rId10"/>
    <sheet name="Commodities" sheetId="77" r:id="rId11"/>
    <sheet name="CommData" sheetId="83" r:id="rId12"/>
    <sheet name="ProcDataRM" sheetId="106" r:id="rId13"/>
    <sheet name="EskomCoalPrice2019" sheetId="84" r:id="rId14"/>
    <sheet name="eskom production 2009-YTD" sheetId="85" r:id="rId15"/>
    <sheet name="eskom fuel 2009-YTD" sheetId="86" r:id="rId16"/>
    <sheet name="HistoricalDispatch" sheetId="87" r:id="rId17"/>
    <sheet name="DecomSchedule" sheetId="88" r:id="rId18"/>
    <sheet name="NERSA2017" sheetId="89" r:id="rId19"/>
    <sheet name="NERSA2018" sheetId="90" r:id="rId20"/>
    <sheet name="EskomCoalNERSACombined" sheetId="91" r:id="rId21"/>
    <sheet name="REIPPP" sheetId="92" r:id="rId22"/>
    <sheet name="IRP Costs" sheetId="93" r:id="rId23"/>
    <sheet name="PWR_Lab" sheetId="94" r:id="rId24"/>
    <sheet name="Lab.Calcs.Assumptions" sheetId="95" r:id="rId25"/>
    <sheet name="SAM" sheetId="96" r:id="rId26"/>
    <sheet name="From SAM" sheetId="97" r:id="rId27"/>
    <sheet name="ElecBY" sheetId="98" r:id="rId28"/>
    <sheet name="Deflator" sheetId="99" r:id="rId29"/>
    <sheet name="ANSv2-692-REGIONS" sheetId="18" state="veryHidden" r:id="rId30"/>
    <sheet name="ANSv2-692-Commodities" sheetId="19" state="veryHidden" r:id="rId31"/>
    <sheet name="ANSv2-692-Processes" sheetId="20" state="veryHidden" r:id="rId32"/>
    <sheet name="ANSv2-692-Constraints" sheetId="23" state="veryHidden" r:id="rId33"/>
    <sheet name="ANSv2-692-CommData" sheetId="21" state="veryHidden" r:id="rId34"/>
    <sheet name="ANSv2-692-ProcData" sheetId="25" state="veryHidden" r:id="rId35"/>
    <sheet name="ANSv2-692-ConstrData" sheetId="24" state="veryHidden" r:id="rId36"/>
    <sheet name="ANSv2-692-ITEMS" sheetId="10" state="veryHidden" r:id="rId37"/>
    <sheet name="ANSv2-692-TS DATA" sheetId="12" state="veryHidden" r:id="rId38"/>
    <sheet name="ANSv2-692-TID DATA" sheetId="13" state="veryHidden" r:id="rId39"/>
    <sheet name="ANSv2-692-TS&amp;TID DATA" sheetId="14" state="veryHidden" r:id="rId40"/>
    <sheet name="ANSv2-692-TS TRADE" sheetId="15" state="veryHidden" r:id="rId41"/>
    <sheet name="ANSv2-692-TID TRADE" sheetId="16" state="veryHidden" r:id="rId42"/>
    <sheet name="ANSv2-692-TS&amp;TID TRADE" sheetId="17" state="veryHidden" r:id="rId43"/>
  </sheets>
  <functionGroups builtInGroupCount="19"/>
  <externalReferences>
    <externalReference r:id="rId44"/>
    <externalReference r:id="rId45"/>
    <externalReference r:id="rId46"/>
    <externalReference r:id="rId47"/>
    <externalReference r:id="rId48"/>
  </externalReferences>
  <definedNames>
    <definedName name="\I" localSheetId="28">#REF!</definedName>
    <definedName name="\I">#REF!</definedName>
    <definedName name="\P" localSheetId="28">#REF!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8" hidden="1">NERSA2017!$A$1:$O$131</definedName>
    <definedName name="_xlnm._FilterDatabase" localSheetId="19" hidden="1">NERSA2018!$A$1:$P$141</definedName>
    <definedName name="aa" localSheetId="28">'[1]Oil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28">#REF!</definedName>
    <definedName name="INIT">#REF!</definedName>
    <definedName name="InvConstraint">#REF!</definedName>
    <definedName name="LEAP" localSheetId="28">#REF!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2"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28">#REF!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28">#REF!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28"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27" i="79" l="1"/>
  <c r="BE29" i="79" s="1"/>
  <c r="BD27" i="79"/>
  <c r="BD30" i="79" s="1"/>
  <c r="BD31" i="79" s="1"/>
  <c r="BC29" i="79"/>
  <c r="BC30" i="79"/>
  <c r="BC31" i="79"/>
  <c r="BB31" i="79"/>
  <c r="BB30" i="79"/>
  <c r="BB29" i="79"/>
  <c r="BB27" i="79"/>
  <c r="BC27" i="79"/>
  <c r="BD20" i="79"/>
  <c r="BC20" i="79"/>
  <c r="BE20" i="79"/>
  <c r="BE30" i="79" l="1"/>
  <c r="BE31" i="79" s="1"/>
  <c r="BD29" i="79"/>
  <c r="P107" i="89" l="1"/>
  <c r="I44" i="106" l="1"/>
  <c r="I43" i="106"/>
  <c r="I42" i="106"/>
  <c r="I41" i="106"/>
  <c r="I40" i="106"/>
  <c r="I39" i="106"/>
  <c r="I37" i="106"/>
  <c r="I34" i="106"/>
  <c r="I33" i="106"/>
  <c r="I32" i="106"/>
  <c r="I29" i="106"/>
  <c r="I28" i="106"/>
  <c r="I27" i="106"/>
  <c r="I25" i="106"/>
  <c r="I24" i="106"/>
  <c r="I23" i="106"/>
  <c r="I22" i="106"/>
  <c r="I21" i="106"/>
  <c r="I20" i="106"/>
  <c r="I19" i="106"/>
  <c r="I18" i="106"/>
  <c r="I17" i="106"/>
  <c r="I16" i="106"/>
  <c r="I15" i="106"/>
  <c r="I14" i="106"/>
  <c r="I13" i="106"/>
  <c r="I12" i="106"/>
  <c r="I11" i="106"/>
  <c r="I10" i="106"/>
  <c r="I9" i="106"/>
  <c r="J44" i="106"/>
  <c r="J43" i="106"/>
  <c r="J42" i="106"/>
  <c r="J41" i="106"/>
  <c r="J40" i="106"/>
  <c r="J39" i="106"/>
  <c r="J37" i="106"/>
  <c r="J34" i="106"/>
  <c r="J32" i="106"/>
  <c r="J29" i="106"/>
  <c r="J28" i="106"/>
  <c r="J27" i="106"/>
  <c r="J25" i="106"/>
  <c r="J24" i="106"/>
  <c r="J23" i="106"/>
  <c r="J22" i="106"/>
  <c r="J21" i="106"/>
  <c r="J20" i="106"/>
  <c r="J19" i="106"/>
  <c r="J18" i="106"/>
  <c r="J17" i="106"/>
  <c r="J16" i="106"/>
  <c r="J15" i="106"/>
  <c r="J14" i="106"/>
  <c r="J13" i="106"/>
  <c r="J12" i="106"/>
  <c r="J11" i="106"/>
  <c r="J10" i="106"/>
  <c r="J9" i="106"/>
  <c r="M43" i="106" l="1"/>
  <c r="K43" i="106"/>
  <c r="L28" i="106"/>
  <c r="M28" i="106"/>
  <c r="L29" i="106"/>
  <c r="M34" i="106"/>
  <c r="M23" i="106"/>
  <c r="M22" i="106"/>
  <c r="M21" i="106"/>
  <c r="M20" i="106"/>
  <c r="M19" i="106"/>
  <c r="M18" i="106"/>
  <c r="M17" i="106"/>
  <c r="M16" i="106"/>
  <c r="M15" i="106"/>
  <c r="M14" i="106"/>
  <c r="M13" i="106"/>
  <c r="M12" i="106"/>
  <c r="M11" i="106"/>
  <c r="M10" i="106"/>
  <c r="M9" i="106"/>
  <c r="L34" i="106"/>
  <c r="L23" i="106"/>
  <c r="L22" i="106"/>
  <c r="L21" i="106"/>
  <c r="L20" i="106"/>
  <c r="L19" i="106"/>
  <c r="L18" i="106"/>
  <c r="L17" i="106"/>
  <c r="L16" i="106"/>
  <c r="L15" i="106"/>
  <c r="L14" i="106"/>
  <c r="L13" i="106"/>
  <c r="L12" i="106"/>
  <c r="L11" i="106"/>
  <c r="L10" i="106"/>
  <c r="L9" i="106"/>
  <c r="K44" i="106"/>
  <c r="K39" i="106"/>
  <c r="K37" i="106"/>
  <c r="K34" i="106"/>
  <c r="S30" i="106"/>
  <c r="F30" i="106"/>
  <c r="E30" i="106"/>
  <c r="D30" i="106"/>
  <c r="C30" i="106"/>
  <c r="B30" i="106"/>
  <c r="K41" i="106"/>
  <c r="K42" i="106"/>
  <c r="K40" i="106"/>
  <c r="S34" i="106"/>
  <c r="S35" i="106"/>
  <c r="S36" i="106"/>
  <c r="S37" i="106"/>
  <c r="S38" i="106"/>
  <c r="S39" i="106"/>
  <c r="K28" i="106"/>
  <c r="K29" i="106"/>
  <c r="K27" i="106"/>
  <c r="U35" i="106" l="1"/>
  <c r="T30" i="106"/>
  <c r="L37" i="106"/>
  <c r="L39" i="106"/>
  <c r="L27"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10" i="106"/>
  <c r="S11" i="106"/>
  <c r="S12" i="106"/>
  <c r="S13" i="106"/>
  <c r="S14" i="106"/>
  <c r="S15" i="106"/>
  <c r="S16" i="106"/>
  <c r="S17" i="106"/>
  <c r="S18" i="106"/>
  <c r="S19" i="106"/>
  <c r="S20" i="106"/>
  <c r="S21" i="106"/>
  <c r="S22" i="106"/>
  <c r="S23" i="106"/>
  <c r="S9" i="106"/>
  <c r="P23" i="106"/>
  <c r="P24" i="106"/>
  <c r="P25" i="106"/>
  <c r="K25" i="106"/>
  <c r="K23" i="106"/>
  <c r="K10" i="106"/>
  <c r="K11" i="106"/>
  <c r="K12" i="106"/>
  <c r="K13" i="106"/>
  <c r="K14" i="106"/>
  <c r="K15" i="106"/>
  <c r="K16" i="106"/>
  <c r="K17" i="106"/>
  <c r="K18" i="106"/>
  <c r="K19" i="106"/>
  <c r="K20" i="106"/>
  <c r="K21" i="106"/>
  <c r="K22" i="106"/>
  <c r="K9"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B28" i="106"/>
  <c r="C28" i="106"/>
  <c r="D28" i="106"/>
  <c r="F28" i="106"/>
  <c r="B29" i="106"/>
  <c r="C29" i="106"/>
  <c r="D29" i="106"/>
  <c r="E29" i="106"/>
  <c r="F29" i="106"/>
  <c r="B10" i="106"/>
  <c r="C10" i="106"/>
  <c r="D10" i="106"/>
  <c r="E10" i="106"/>
  <c r="F10" i="106"/>
  <c r="B11" i="106"/>
  <c r="C11" i="106"/>
  <c r="D11" i="106"/>
  <c r="E11" i="106"/>
  <c r="F11" i="106"/>
  <c r="B12" i="106"/>
  <c r="C12" i="106"/>
  <c r="D12" i="106"/>
  <c r="E12" i="106"/>
  <c r="F12" i="106"/>
  <c r="B13" i="106"/>
  <c r="C13" i="106"/>
  <c r="D13" i="106"/>
  <c r="E13" i="106"/>
  <c r="F13" i="106"/>
  <c r="B14" i="106"/>
  <c r="C14" i="106"/>
  <c r="D14" i="106"/>
  <c r="E14" i="106"/>
  <c r="F14" i="106"/>
  <c r="B15" i="106"/>
  <c r="C15" i="106"/>
  <c r="D15" i="106"/>
  <c r="E15" i="106"/>
  <c r="F15" i="106"/>
  <c r="B16" i="106"/>
  <c r="C16" i="106"/>
  <c r="D16" i="106"/>
  <c r="E16" i="106"/>
  <c r="F16" i="106"/>
  <c r="B17" i="106"/>
  <c r="C17" i="106"/>
  <c r="D17" i="106"/>
  <c r="E17" i="106"/>
  <c r="F17" i="106"/>
  <c r="B18" i="106"/>
  <c r="C18" i="106"/>
  <c r="D18" i="106"/>
  <c r="E18" i="106"/>
  <c r="F18" i="106"/>
  <c r="B19" i="106"/>
  <c r="C19" i="106"/>
  <c r="D19" i="106"/>
  <c r="E19" i="106"/>
  <c r="F19" i="106"/>
  <c r="B20" i="106"/>
  <c r="C20" i="106"/>
  <c r="D20" i="106"/>
  <c r="E20" i="106"/>
  <c r="F20" i="106"/>
  <c r="B21" i="106"/>
  <c r="C21" i="106"/>
  <c r="D21" i="106"/>
  <c r="E21" i="106"/>
  <c r="F21" i="106"/>
  <c r="B22" i="106"/>
  <c r="C22" i="106"/>
  <c r="D22" i="106"/>
  <c r="E22" i="106"/>
  <c r="F22" i="106"/>
  <c r="B23" i="106"/>
  <c r="C23" i="106"/>
  <c r="D23" i="106"/>
  <c r="E23" i="106"/>
  <c r="F23" i="106"/>
  <c r="B24" i="106"/>
  <c r="C24" i="106"/>
  <c r="D24" i="106"/>
  <c r="E24" i="106"/>
  <c r="F24" i="106"/>
  <c r="B25" i="106"/>
  <c r="C25" i="106"/>
  <c r="D25" i="106"/>
  <c r="E25" i="106"/>
  <c r="F25" i="106"/>
  <c r="B26" i="106"/>
  <c r="C26" i="106"/>
  <c r="D26" i="106"/>
  <c r="E26" i="106"/>
  <c r="F26" i="106"/>
  <c r="B27" i="106"/>
  <c r="C27" i="106"/>
  <c r="D27" i="106"/>
  <c r="E27" i="106"/>
  <c r="F27" i="106"/>
  <c r="C9" i="106"/>
  <c r="D9" i="106"/>
  <c r="E9" i="106"/>
  <c r="F9" i="106"/>
  <c r="B9" i="106"/>
  <c r="A8" i="106"/>
  <c r="A2" i="106"/>
  <c r="B19" i="102" s="1"/>
  <c r="M44" i="106" l="1"/>
  <c r="M27" i="106"/>
  <c r="H15" i="106"/>
  <c r="M40" i="106"/>
  <c r="M41" i="106"/>
  <c r="H9" i="106"/>
  <c r="H11" i="106"/>
  <c r="H10" i="106"/>
  <c r="U29" i="106"/>
  <c r="M39" i="106"/>
  <c r="H17" i="106"/>
  <c r="T28" i="106"/>
  <c r="H18" i="106"/>
  <c r="H13" i="106"/>
  <c r="H22" i="106"/>
  <c r="H12" i="106"/>
  <c r="U27" i="106"/>
  <c r="M37" i="106"/>
  <c r="H20" i="106"/>
  <c r="H19" i="106"/>
  <c r="U26" i="106"/>
  <c r="H14" i="106"/>
  <c r="T25" i="106"/>
  <c r="H21" i="106"/>
  <c r="H32" i="106"/>
  <c r="M42" i="106"/>
  <c r="H16" i="106"/>
  <c r="L25" i="106"/>
  <c r="U20" i="106"/>
  <c r="U19" i="106"/>
  <c r="T23" i="106"/>
  <c r="T29" i="106"/>
  <c r="T24" i="106"/>
  <c r="U22" i="106"/>
  <c r="U10" i="106"/>
  <c r="U18" i="106"/>
  <c r="U28" i="106"/>
  <c r="U13" i="106"/>
  <c r="U16" i="106"/>
  <c r="U15" i="106"/>
  <c r="U14" i="106"/>
  <c r="U12" i="106"/>
  <c r="U9" i="106"/>
  <c r="U11" i="106"/>
  <c r="U21" i="106"/>
  <c r="U23" i="106"/>
  <c r="T27" i="106"/>
  <c r="U25" i="106"/>
  <c r="T26" i="106"/>
  <c r="U17" i="106"/>
  <c r="P17" i="106" l="1"/>
  <c r="P9" i="106"/>
  <c r="P12" i="106"/>
  <c r="P16" i="106"/>
  <c r="P19" i="106"/>
  <c r="P15" i="106"/>
  <c r="P22" i="106"/>
  <c r="P20" i="106"/>
  <c r="P10" i="106"/>
  <c r="M25" i="106"/>
  <c r="P32" i="106"/>
  <c r="P13" i="106"/>
  <c r="P14" i="106"/>
  <c r="P21" i="106"/>
  <c r="P18" i="106"/>
  <c r="P11" i="106"/>
  <c r="T11" i="106" l="1"/>
  <c r="T19" i="106"/>
  <c r="T18" i="106"/>
  <c r="T10" i="106"/>
  <c r="T13" i="106"/>
  <c r="T15" i="106"/>
  <c r="T32" i="106"/>
  <c r="T12" i="106"/>
  <c r="T21" i="106"/>
  <c r="T20" i="106"/>
  <c r="T17" i="106"/>
  <c r="T16" i="106"/>
  <c r="T14" i="106"/>
  <c r="T22" i="106"/>
  <c r="T9" i="106"/>
  <c r="C12" i="102" l="1"/>
  <c r="C7" i="102"/>
  <c r="C17" i="102" s="1"/>
  <c r="L26" i="101" l="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18" i="102" s="1"/>
  <c r="A2" i="77"/>
  <c r="B17" i="102" s="1"/>
  <c r="C18" i="102"/>
  <c r="A2" i="82"/>
  <c r="B16" i="102" s="1"/>
  <c r="A2" i="100"/>
  <c r="B15" i="102" s="1"/>
  <c r="C11" i="102"/>
  <c r="C13" i="102"/>
  <c r="C14" i="102"/>
  <c r="C15" i="102"/>
  <c r="C16" i="102"/>
  <c r="C10" i="102"/>
  <c r="A2" i="81"/>
  <c r="B14" i="102" s="1"/>
  <c r="A2" i="80"/>
  <c r="B13" i="102" s="1"/>
  <c r="A2" i="101"/>
  <c r="B12" i="102" s="1"/>
  <c r="A2" i="79"/>
  <c r="B11" i="102" s="1"/>
  <c r="A2" i="78"/>
  <c r="A2" i="76"/>
  <c r="B9" i="102" s="1"/>
  <c r="P82" i="92" l="1"/>
  <c r="P88" i="92" s="1"/>
  <c r="P68" i="92"/>
  <c r="N25" i="101"/>
  <c r="M25" i="101"/>
  <c r="O85" i="92"/>
  <c r="B10" i="102"/>
  <c r="A1" i="101" s="1"/>
  <c r="A1" i="76"/>
  <c r="A1" i="106" l="1"/>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X26" i="78"/>
  <c r="Q110" i="90" l="1"/>
  <c r="Q109" i="90"/>
  <c r="P109" i="89"/>
  <c r="S32" i="79" s="1"/>
  <c r="P108" i="89"/>
  <c r="S33" i="79" s="1"/>
  <c r="S24" i="78"/>
  <c r="K24" i="106" s="1"/>
  <c r="P106" i="89"/>
  <c r="S25" i="78" s="1"/>
  <c r="Q108" i="90"/>
  <c r="Q107" i="90"/>
  <c r="L24" i="106" l="1"/>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O20" i="79" s="1"/>
  <c r="H8" i="92"/>
  <c r="I8" i="92"/>
  <c r="J8" i="92"/>
  <c r="D9" i="92"/>
  <c r="E9" i="92"/>
  <c r="F9" i="92"/>
  <c r="G9" i="92"/>
  <c r="H9" i="92"/>
  <c r="I9" i="92"/>
  <c r="J9" i="92"/>
  <c r="D10" i="92"/>
  <c r="E10" i="92"/>
  <c r="F10" i="92"/>
  <c r="G10" i="92"/>
  <c r="H10" i="92"/>
  <c r="I10" i="92"/>
  <c r="J10" i="92"/>
  <c r="D45" i="92"/>
  <c r="I45" i="92"/>
  <c r="D46" i="92"/>
  <c r="I46" i="92"/>
  <c r="D71" i="92"/>
  <c r="D82" i="92" s="1"/>
  <c r="D77" i="92" s="1"/>
  <c r="AN31" i="79" s="1"/>
  <c r="E71" i="92"/>
  <c r="F71" i="92"/>
  <c r="F77" i="92" s="1"/>
  <c r="AP31" i="79" s="1"/>
  <c r="G71" i="92"/>
  <c r="G77" i="92" s="1"/>
  <c r="AQ31" i="79" s="1"/>
  <c r="H71" i="92"/>
  <c r="I71" i="92"/>
  <c r="I82" i="92" s="1"/>
  <c r="I88" i="92" s="1"/>
  <c r="J71" i="92"/>
  <c r="J77" i="92" s="1"/>
  <c r="AT31" i="79" s="1"/>
  <c r="K71" i="92"/>
  <c r="L71" i="92"/>
  <c r="M71" i="92"/>
  <c r="N71" i="92"/>
  <c r="N77" i="92" s="1"/>
  <c r="K27" i="101" s="1"/>
  <c r="E74" i="92"/>
  <c r="E75" i="92" s="1"/>
  <c r="F74" i="92"/>
  <c r="F76" i="92" s="1"/>
  <c r="AP30" i="79" s="1"/>
  <c r="G74" i="92"/>
  <c r="H74" i="92"/>
  <c r="H76" i="92" s="1"/>
  <c r="AR30" i="79" s="1"/>
  <c r="I74" i="92"/>
  <c r="I77" i="92" s="1"/>
  <c r="AS31" i="79" s="1"/>
  <c r="J74" i="92"/>
  <c r="J75" i="92" s="1"/>
  <c r="AT29" i="79" s="1"/>
  <c r="K74" i="92"/>
  <c r="K76" i="92" s="1"/>
  <c r="H26" i="101" s="1"/>
  <c r="L74" i="92"/>
  <c r="L76" i="92" s="1"/>
  <c r="I26" i="101" s="1"/>
  <c r="M74" i="92"/>
  <c r="N74" i="92"/>
  <c r="N76" i="92" s="1"/>
  <c r="K26" i="101" s="1"/>
  <c r="F75" i="92"/>
  <c r="AP29" i="79" s="1"/>
  <c r="G75" i="92"/>
  <c r="AQ29" i="79" s="1"/>
  <c r="K75" i="92"/>
  <c r="H25" i="101" s="1"/>
  <c r="L75" i="92"/>
  <c r="I25" i="101" s="1"/>
  <c r="M75" i="92"/>
  <c r="J25" i="101" s="1"/>
  <c r="N75" i="92"/>
  <c r="K25" i="101" s="1"/>
  <c r="E76" i="92"/>
  <c r="AO30" i="79" s="1"/>
  <c r="G76" i="92"/>
  <c r="AQ30" i="79" s="1"/>
  <c r="J76" i="92"/>
  <c r="AT30" i="79" s="1"/>
  <c r="M76" i="92"/>
  <c r="J26" i="101" s="1"/>
  <c r="E77" i="92"/>
  <c r="AO31" i="79" s="1"/>
  <c r="K77" i="92"/>
  <c r="H27" i="101" s="1"/>
  <c r="C80" i="92"/>
  <c r="C75" i="92" s="1"/>
  <c r="D80" i="92"/>
  <c r="D75" i="92" s="1"/>
  <c r="AN29" i="79" s="1"/>
  <c r="C81" i="92"/>
  <c r="C76" i="92" s="1"/>
  <c r="D81" i="92"/>
  <c r="D76" i="92" s="1"/>
  <c r="AN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85"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M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P9" i="86"/>
  <c r="P10" i="86"/>
  <c r="T49" i="86" s="1"/>
  <c r="P12" i="86"/>
  <c r="T51" i="86" s="1"/>
  <c r="P13" i="86"/>
  <c r="T52" i="86" s="1"/>
  <c r="P15" i="86"/>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T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O51" i="91" s="1"/>
  <c r="Q9" i="85"/>
  <c r="M51" i="91" s="1"/>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O50" i="91" s="1"/>
  <c r="Q32" i="85"/>
  <c r="M50" i="91" s="1"/>
  <c r="T32" i="85"/>
  <c r="O34" i="85"/>
  <c r="G35" i="85"/>
  <c r="H35" i="85"/>
  <c r="I35" i="85"/>
  <c r="J35" i="85"/>
  <c r="K35" i="85"/>
  <c r="N35" i="85"/>
  <c r="O35" i="85"/>
  <c r="T5" i="86" s="1"/>
  <c r="G36" i="85"/>
  <c r="J36" i="85"/>
  <c r="K36" i="85"/>
  <c r="L36" i="85"/>
  <c r="N36" i="85"/>
  <c r="I37" i="85"/>
  <c r="J37" i="85"/>
  <c r="K37" i="85"/>
  <c r="L37" i="85"/>
  <c r="O37" i="85"/>
  <c r="T7" i="86" s="1"/>
  <c r="S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P43" i="85"/>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P61" i="85"/>
  <c r="G62" i="85"/>
  <c r="J62" i="85"/>
  <c r="K62" i="85"/>
  <c r="L62" i="85"/>
  <c r="M62" i="85"/>
  <c r="N62" i="85"/>
  <c r="O62" i="85"/>
  <c r="T32" i="86" s="1"/>
  <c r="P62" i="85"/>
  <c r="Q66" i="85"/>
  <c r="Q67" i="85"/>
  <c r="J68" i="85"/>
  <c r="J86" i="85" s="1"/>
  <c r="Q68" i="85"/>
  <c r="J69" i="85"/>
  <c r="J87" i="85" s="1"/>
  <c r="Q69" i="85"/>
  <c r="J70" i="85"/>
  <c r="Q70" i="85"/>
  <c r="J71" i="85"/>
  <c r="J89" i="85" s="1"/>
  <c r="Q71" i="85"/>
  <c r="J72" i="85"/>
  <c r="Q72" i="85"/>
  <c r="J73" i="85"/>
  <c r="J91" i="85" s="1"/>
  <c r="R18" i="78" s="1"/>
  <c r="R19" i="78" s="1"/>
  <c r="W19" i="78" s="1"/>
  <c r="Q73" i="85"/>
  <c r="J74" i="85"/>
  <c r="J92" i="85" s="1"/>
  <c r="Q74" i="85"/>
  <c r="Q75" i="85"/>
  <c r="R75" i="85" s="1"/>
  <c r="S75" i="85"/>
  <c r="T75" i="85" s="1"/>
  <c r="J76" i="85"/>
  <c r="J94" i="85" s="1"/>
  <c r="Q76" i="85"/>
  <c r="Q78" i="85"/>
  <c r="J79" i="85"/>
  <c r="J97" i="85" s="1"/>
  <c r="R10" i="78" s="1"/>
  <c r="W10" i="78" s="1"/>
  <c r="Q79" i="85"/>
  <c r="J80" i="85"/>
  <c r="J98" i="85" s="1"/>
  <c r="Q80" i="85"/>
  <c r="S84" i="85"/>
  <c r="T84" i="85"/>
  <c r="S85" i="85"/>
  <c r="T85" i="85"/>
  <c r="T86" i="85"/>
  <c r="V86" i="85"/>
  <c r="S86" i="85" s="1"/>
  <c r="S87" i="85"/>
  <c r="T87" i="85"/>
  <c r="J88" i="85"/>
  <c r="S88" i="85"/>
  <c r="T88" i="85"/>
  <c r="S89" i="85"/>
  <c r="T89" i="85"/>
  <c r="J90" i="85"/>
  <c r="S90" i="85"/>
  <c r="T90" i="85"/>
  <c r="S91" i="85"/>
  <c r="T91" i="85"/>
  <c r="S92" i="85"/>
  <c r="T92" i="85"/>
  <c r="T93" i="85"/>
  <c r="S94" i="85"/>
  <c r="T94" i="85"/>
  <c r="T95" i="85"/>
  <c r="S96" i="85"/>
  <c r="V96" i="85"/>
  <c r="W96" i="85" s="1"/>
  <c r="T96" i="85" s="1"/>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N104" i="85"/>
  <c r="O104" i="85"/>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s="1"/>
  <c r="C125" i="85"/>
  <c r="C127"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I11" i="81"/>
  <c r="B12" i="81"/>
  <c r="F12" i="81" s="1"/>
  <c r="C12" i="81"/>
  <c r="D12" i="81"/>
  <c r="I12" i="81"/>
  <c r="B13" i="81"/>
  <c r="F13" i="81" s="1"/>
  <c r="C13" i="81"/>
  <c r="D13" i="81"/>
  <c r="I13" i="81"/>
  <c r="B14" i="81"/>
  <c r="C14" i="81"/>
  <c r="D14" i="81"/>
  <c r="I14" i="81"/>
  <c r="B15" i="81"/>
  <c r="C15" i="81"/>
  <c r="D15" i="81"/>
  <c r="I15" i="81"/>
  <c r="B16" i="81"/>
  <c r="C16" i="81"/>
  <c r="D16" i="81"/>
  <c r="I16" i="81"/>
  <c r="B17" i="81"/>
  <c r="C17" i="81"/>
  <c r="D17" i="81"/>
  <c r="F17" i="81"/>
  <c r="I17" i="81"/>
  <c r="B18" i="81"/>
  <c r="C18" i="81"/>
  <c r="D18" i="81"/>
  <c r="I18" i="81"/>
  <c r="B19" i="81"/>
  <c r="C19" i="81"/>
  <c r="D19" i="81"/>
  <c r="I19" i="81"/>
  <c r="B20" i="81"/>
  <c r="C20" i="81"/>
  <c r="D20" i="81"/>
  <c r="I20" i="81"/>
  <c r="B21" i="81"/>
  <c r="C21" i="81"/>
  <c r="D21" i="81"/>
  <c r="I21" i="81"/>
  <c r="B22" i="81"/>
  <c r="C22" i="81"/>
  <c r="D22" i="81"/>
  <c r="I22" i="81"/>
  <c r="B23" i="81"/>
  <c r="C23" i="81"/>
  <c r="D23" i="81"/>
  <c r="I23" i="81"/>
  <c r="B24" i="81"/>
  <c r="C24" i="81"/>
  <c r="D24" i="81"/>
  <c r="I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C9" i="79"/>
  <c r="C32" i="106" s="1"/>
  <c r="D9" i="79"/>
  <c r="D32" i="106" s="1"/>
  <c r="K9" i="79"/>
  <c r="L9" i="79"/>
  <c r="AJ9" i="79"/>
  <c r="B10" i="79"/>
  <c r="C10" i="79"/>
  <c r="C33" i="106" s="1"/>
  <c r="D10" i="79"/>
  <c r="D33" i="106" s="1"/>
  <c r="AA10" i="79"/>
  <c r="AB10" i="79"/>
  <c r="AB11" i="79" s="1"/>
  <c r="AB14" i="79" s="1"/>
  <c r="AC10" i="79"/>
  <c r="AC11" i="79" s="1"/>
  <c r="AC14" i="79" s="1"/>
  <c r="AD10" i="79"/>
  <c r="AD11" i="79" s="1"/>
  <c r="AD14" i="79" s="1"/>
  <c r="AE10" i="79"/>
  <c r="AE11" i="79" s="1"/>
  <c r="AE14" i="79" s="1"/>
  <c r="AF10" i="79"/>
  <c r="AF11" i="79" s="1"/>
  <c r="AF14" i="79" s="1"/>
  <c r="AG10" i="79"/>
  <c r="AG11" i="79" s="1"/>
  <c r="AG14" i="79" s="1"/>
  <c r="AS10" i="79"/>
  <c r="B11" i="79"/>
  <c r="C11" i="79"/>
  <c r="D11" i="79"/>
  <c r="D34" i="106" s="1"/>
  <c r="AA11" i="79"/>
  <c r="B12" i="79"/>
  <c r="B35" i="106" s="1"/>
  <c r="C12" i="79"/>
  <c r="D12" i="79"/>
  <c r="D35" i="106" s="1"/>
  <c r="AJ12" i="79"/>
  <c r="B13" i="79"/>
  <c r="B36" i="106" s="1"/>
  <c r="C13" i="79"/>
  <c r="C36" i="106" s="1"/>
  <c r="D13" i="79"/>
  <c r="D36" i="106" s="1"/>
  <c r="AJ13" i="79"/>
  <c r="B14" i="79"/>
  <c r="B37" i="106" s="1"/>
  <c r="C14" i="79"/>
  <c r="D14" i="79"/>
  <c r="D37" i="106" s="1"/>
  <c r="AA14" i="79"/>
  <c r="B15" i="79"/>
  <c r="B38" i="106" s="1"/>
  <c r="C15" i="79"/>
  <c r="D15" i="79"/>
  <c r="D38" i="106" s="1"/>
  <c r="B16" i="79"/>
  <c r="B39" i="106" s="1"/>
  <c r="C16" i="79"/>
  <c r="C39" i="106" s="1"/>
  <c r="D16" i="79"/>
  <c r="D39" i="106" s="1"/>
  <c r="B17" i="79"/>
  <c r="B40" i="106" s="1"/>
  <c r="C17" i="79"/>
  <c r="D17" i="79"/>
  <c r="D40" i="106" s="1"/>
  <c r="AL17" i="79"/>
  <c r="AM17" i="79"/>
  <c r="AN17" i="79"/>
  <c r="AO17" i="79"/>
  <c r="AP17" i="79"/>
  <c r="AQ17" i="79"/>
  <c r="AR17" i="79"/>
  <c r="B18" i="79"/>
  <c r="B41" i="106" s="1"/>
  <c r="C18" i="79"/>
  <c r="D18" i="79"/>
  <c r="D41" i="106" s="1"/>
  <c r="AL18" i="79"/>
  <c r="AM18" i="79"/>
  <c r="B19" i="79"/>
  <c r="B42" i="106" s="1"/>
  <c r="C19" i="79"/>
  <c r="C42" i="106" s="1"/>
  <c r="D19" i="79"/>
  <c r="D42" i="106" s="1"/>
  <c r="AN19" i="79"/>
  <c r="AO19" i="79"/>
  <c r="AP19" i="79"/>
  <c r="AQ19" i="79"/>
  <c r="AR19" i="79"/>
  <c r="AS19" i="79"/>
  <c r="AT19" i="79"/>
  <c r="AU19" i="79"/>
  <c r="B20" i="79"/>
  <c r="B43" i="106" s="1"/>
  <c r="C20" i="79"/>
  <c r="C43" i="106" s="1"/>
  <c r="D20" i="79"/>
  <c r="D43" i="106" s="1"/>
  <c r="AL20" i="79"/>
  <c r="AM20" i="79"/>
  <c r="AP20" i="79"/>
  <c r="AQ20" i="79"/>
  <c r="AR20" i="79"/>
  <c r="AS20" i="79"/>
  <c r="AT20" i="79"/>
  <c r="AU20" i="79"/>
  <c r="AV20" i="79"/>
  <c r="B21" i="79"/>
  <c r="B44" i="106" s="1"/>
  <c r="C21" i="79"/>
  <c r="C44" i="106" s="1"/>
  <c r="D21" i="79"/>
  <c r="D44" i="106" s="1"/>
  <c r="L21" i="79"/>
  <c r="B22" i="79"/>
  <c r="B45" i="106" s="1"/>
  <c r="C22" i="79"/>
  <c r="D22" i="79"/>
  <c r="D45" i="106" s="1"/>
  <c r="B23" i="79"/>
  <c r="B46" i="106" s="1"/>
  <c r="C23" i="79"/>
  <c r="D23" i="79"/>
  <c r="D46" i="106" s="1"/>
  <c r="B24" i="79"/>
  <c r="B47" i="106" s="1"/>
  <c r="C24" i="79"/>
  <c r="D24" i="79"/>
  <c r="D47" i="106" s="1"/>
  <c r="B25" i="79"/>
  <c r="B48" i="106" s="1"/>
  <c r="C25" i="79"/>
  <c r="D25" i="79"/>
  <c r="D48" i="106" s="1"/>
  <c r="B26" i="79"/>
  <c r="B49" i="106" s="1"/>
  <c r="C26" i="79"/>
  <c r="D26" i="79"/>
  <c r="D49" i="106" s="1"/>
  <c r="B27" i="79"/>
  <c r="C27" i="79"/>
  <c r="D27" i="79"/>
  <c r="A28" i="79"/>
  <c r="B29" i="79"/>
  <c r="B52" i="106" s="1"/>
  <c r="C29" i="79"/>
  <c r="C52" i="106" s="1"/>
  <c r="D29" i="79"/>
  <c r="D52" i="106" s="1"/>
  <c r="B30" i="79"/>
  <c r="B53" i="106" s="1"/>
  <c r="C30" i="79"/>
  <c r="C53" i="106" s="1"/>
  <c r="D30" i="79"/>
  <c r="D53" i="106" s="1"/>
  <c r="B31" i="79"/>
  <c r="B54" i="106" s="1"/>
  <c r="C31" i="79"/>
  <c r="C54" i="106" s="1"/>
  <c r="D31" i="79"/>
  <c r="D54" i="106" s="1"/>
  <c r="B32" i="79"/>
  <c r="B55" i="106" s="1"/>
  <c r="C32" i="79"/>
  <c r="C55" i="106" s="1"/>
  <c r="D32" i="79"/>
  <c r="D55" i="106" s="1"/>
  <c r="AK32" i="79"/>
  <c r="AJ32" i="79" s="1"/>
  <c r="B33" i="79"/>
  <c r="B56" i="106" s="1"/>
  <c r="C33" i="79"/>
  <c r="C56" i="106" s="1"/>
  <c r="D33" i="79"/>
  <c r="D56" i="106" s="1"/>
  <c r="AK33" i="79"/>
  <c r="AJ33" i="79" s="1"/>
  <c r="B9" i="78"/>
  <c r="E9" i="78" s="1"/>
  <c r="C9" i="78"/>
  <c r="D9" i="78"/>
  <c r="B10" i="78"/>
  <c r="C10" i="78"/>
  <c r="V10" i="78" s="1"/>
  <c r="D10" i="78"/>
  <c r="E10" i="78"/>
  <c r="H10" i="78"/>
  <c r="AB10" i="78"/>
  <c r="AB11" i="78" s="1"/>
  <c r="AB12" i="78" s="1"/>
  <c r="AB13" i="78" s="1"/>
  <c r="AB14" i="78" s="1"/>
  <c r="AB15" i="78" s="1"/>
  <c r="AB16" i="78" s="1"/>
  <c r="AB17" i="78" s="1"/>
  <c r="AB18" i="78" s="1"/>
  <c r="AB19" i="78" s="1"/>
  <c r="AB20" i="78" s="1"/>
  <c r="AB21" i="78" s="1"/>
  <c r="AB22" i="78" s="1"/>
  <c r="AC10" i="78"/>
  <c r="AC11" i="78" s="1"/>
  <c r="AC12" i="78" s="1"/>
  <c r="AC13" i="78" s="1"/>
  <c r="AC14" i="78" s="1"/>
  <c r="AC15" i="78" s="1"/>
  <c r="AC16" i="78" s="1"/>
  <c r="AC17" i="78" s="1"/>
  <c r="AC18" i="78" s="1"/>
  <c r="AC19" i="78" s="1"/>
  <c r="AC20" i="78" s="1"/>
  <c r="AC21" i="78" s="1"/>
  <c r="AC22" i="78" s="1"/>
  <c r="AD10" i="78"/>
  <c r="AE10" i="78"/>
  <c r="AE11" i="78" s="1"/>
  <c r="AE12" i="78" s="1"/>
  <c r="AE13" i="78" s="1"/>
  <c r="AE14" i="78" s="1"/>
  <c r="AE15" i="78" s="1"/>
  <c r="AE16" i="78" s="1"/>
  <c r="AE17" i="78" s="1"/>
  <c r="AE18" i="78" s="1"/>
  <c r="AE19" i="78" s="1"/>
  <c r="AE20" i="78" s="1"/>
  <c r="AE21" i="78" s="1"/>
  <c r="AE22" i="78" s="1"/>
  <c r="AF10" i="78"/>
  <c r="AF11" i="78" s="1"/>
  <c r="AF12" i="78" s="1"/>
  <c r="AF13" i="78" s="1"/>
  <c r="AF14" i="78" s="1"/>
  <c r="AF15" i="78" s="1"/>
  <c r="AF16" i="78" s="1"/>
  <c r="AF17" i="78" s="1"/>
  <c r="AF18" i="78" s="1"/>
  <c r="AF19" i="78" s="1"/>
  <c r="AF20" i="78" s="1"/>
  <c r="AF21" i="78" s="1"/>
  <c r="AF22" i="78" s="1"/>
  <c r="AG10" i="78"/>
  <c r="AH10" i="78"/>
  <c r="AH11" i="78" s="1"/>
  <c r="AH12" i="78" s="1"/>
  <c r="AH13" i="78" s="1"/>
  <c r="AH14" i="78" s="1"/>
  <c r="AH15" i="78" s="1"/>
  <c r="AH16" i="78" s="1"/>
  <c r="AH17" i="78" s="1"/>
  <c r="AH18" i="78" s="1"/>
  <c r="AH19" i="78" s="1"/>
  <c r="AH20" i="78" s="1"/>
  <c r="AH21" i="78" s="1"/>
  <c r="AH22" i="78" s="1"/>
  <c r="AJ10" i="78"/>
  <c r="AK10" i="78"/>
  <c r="N5" i="88" s="1"/>
  <c r="B11" i="78"/>
  <c r="C11" i="78"/>
  <c r="R11" i="78" s="1"/>
  <c r="W11" i="78" s="1"/>
  <c r="D11" i="78"/>
  <c r="E11" i="78"/>
  <c r="V11" i="78"/>
  <c r="AD11" i="78"/>
  <c r="AD12" i="78" s="1"/>
  <c r="AD13" i="78" s="1"/>
  <c r="AD14" i="78" s="1"/>
  <c r="AD15" i="78" s="1"/>
  <c r="AD16" i="78" s="1"/>
  <c r="AG11" i="78"/>
  <c r="AG12" i="78" s="1"/>
  <c r="AG13" i="78" s="1"/>
  <c r="AG14" i="78" s="1"/>
  <c r="AG15" i="78" s="1"/>
  <c r="AG16" i="78" s="1"/>
  <c r="AG17" i="78" s="1"/>
  <c r="AG18" i="78" s="1"/>
  <c r="AG19" i="78" s="1"/>
  <c r="AG20" i="78" s="1"/>
  <c r="AG21" i="78" s="1"/>
  <c r="AG22" i="78" s="1"/>
  <c r="AK11" i="78"/>
  <c r="N6" i="88" s="1"/>
  <c r="B12" i="78"/>
  <c r="C12" i="78"/>
  <c r="U12" i="78" s="1"/>
  <c r="D12" i="78"/>
  <c r="E12" i="78"/>
  <c r="B13" i="78"/>
  <c r="E13" i="78" s="1"/>
  <c r="C13" i="78"/>
  <c r="U13" i="78" s="1"/>
  <c r="D13" i="78"/>
  <c r="AJ13" i="78"/>
  <c r="B14" i="78"/>
  <c r="C14" i="78"/>
  <c r="V14" i="78" s="1"/>
  <c r="D14" i="78"/>
  <c r="B15" i="78"/>
  <c r="E15" i="78" s="1"/>
  <c r="C15" i="78"/>
  <c r="D15" i="78"/>
  <c r="B16" i="78"/>
  <c r="E16" i="78" s="1"/>
  <c r="C16" i="78"/>
  <c r="D16" i="78"/>
  <c r="B17" i="78"/>
  <c r="E17" i="78" s="1"/>
  <c r="C17" i="78"/>
  <c r="R17" i="78" s="1"/>
  <c r="W17" i="78" s="1"/>
  <c r="D17" i="78"/>
  <c r="AD17" i="78"/>
  <c r="AD18" i="78" s="1"/>
  <c r="AD19" i="78" s="1"/>
  <c r="AD20" i="78" s="1"/>
  <c r="AD21" i="78" s="1"/>
  <c r="AD22" i="78" s="1"/>
  <c r="B18" i="78"/>
  <c r="C18" i="78"/>
  <c r="D18" i="78"/>
  <c r="U18" i="78"/>
  <c r="U19" i="78" s="1"/>
  <c r="V18" i="78"/>
  <c r="V19" i="78" s="1"/>
  <c r="AI18" i="78"/>
  <c r="AJ18" i="78"/>
  <c r="AK18" i="78"/>
  <c r="N13" i="88" s="1"/>
  <c r="B19" i="78"/>
  <c r="C19" i="78"/>
  <c r="D19" i="78"/>
  <c r="B20" i="78"/>
  <c r="C20" i="78"/>
  <c r="U20" i="78" s="1"/>
  <c r="D20" i="78"/>
  <c r="E20" i="78"/>
  <c r="B21" i="78"/>
  <c r="C21" i="78"/>
  <c r="R21" i="78" s="1"/>
  <c r="W21" i="78" s="1"/>
  <c r="D21" i="78"/>
  <c r="E21" i="78"/>
  <c r="V21" i="78"/>
  <c r="AI21" i="78"/>
  <c r="B22" i="78"/>
  <c r="E22" i="78" s="1"/>
  <c r="C22" i="78"/>
  <c r="R22" i="78" s="1"/>
  <c r="W22" i="78" s="1"/>
  <c r="D22" i="78"/>
  <c r="B23" i="78"/>
  <c r="C23" i="78"/>
  <c r="D23" i="78"/>
  <c r="S23" i="78"/>
  <c r="X23" i="78" s="1"/>
  <c r="B24" i="78"/>
  <c r="C24" i="78"/>
  <c r="D24" i="78"/>
  <c r="X24" i="78"/>
  <c r="BH24" i="78"/>
  <c r="B25" i="78"/>
  <c r="C25" i="78"/>
  <c r="D25" i="78"/>
  <c r="BH25" i="78"/>
  <c r="B26" i="78"/>
  <c r="C26" i="78"/>
  <c r="D26" i="78"/>
  <c r="AR26" i="78"/>
  <c r="B27" i="78"/>
  <c r="C27" i="78"/>
  <c r="D27" i="78"/>
  <c r="S27" i="78"/>
  <c r="V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Q2" i="93" l="1"/>
  <c r="C50" i="106"/>
  <c r="F2" i="93"/>
  <c r="C46" i="106"/>
  <c r="A31" i="106"/>
  <c r="AF2" i="93"/>
  <c r="C49" i="106"/>
  <c r="E2" i="93"/>
  <c r="C45" i="106"/>
  <c r="AK2" i="93"/>
  <c r="C38" i="106"/>
  <c r="M2" i="93"/>
  <c r="C35" i="106"/>
  <c r="S42" i="106"/>
  <c r="AE2" i="93"/>
  <c r="C48" i="106"/>
  <c r="E9" i="79"/>
  <c r="E32" i="106" s="1"/>
  <c r="B32" i="106"/>
  <c r="S40" i="106"/>
  <c r="C2" i="93"/>
  <c r="C37" i="106"/>
  <c r="B2" i="93"/>
  <c r="C34" i="106"/>
  <c r="E10" i="79"/>
  <c r="E33" i="106" s="1"/>
  <c r="B33" i="106"/>
  <c r="B13" i="80"/>
  <c r="B50" i="106"/>
  <c r="E11" i="79"/>
  <c r="E34" i="106" s="1"/>
  <c r="B34" i="106"/>
  <c r="H2" i="93"/>
  <c r="C47" i="106"/>
  <c r="AC2" i="93"/>
  <c r="C40" i="106"/>
  <c r="AJ10" i="79"/>
  <c r="S33" i="106"/>
  <c r="A51" i="106"/>
  <c r="D13" i="80"/>
  <c r="D50" i="106"/>
  <c r="U2" i="93"/>
  <c r="C41" i="106"/>
  <c r="S10" i="97"/>
  <c r="N21" i="82"/>
  <c r="O21" i="82"/>
  <c r="B15" i="99"/>
  <c r="B14" i="99" s="1"/>
  <c r="V4" i="99"/>
  <c r="L18" i="80"/>
  <c r="N24" i="81"/>
  <c r="N21" i="81"/>
  <c r="N18" i="81"/>
  <c r="N10" i="81"/>
  <c r="O26" i="82"/>
  <c r="O20" i="82"/>
  <c r="N14" i="82"/>
  <c r="C122" i="84"/>
  <c r="A84" i="84"/>
  <c r="A44" i="84"/>
  <c r="P41" i="84"/>
  <c r="P42" i="85"/>
  <c r="P54" i="91"/>
  <c r="Q53" i="91"/>
  <c r="AA73" i="95"/>
  <c r="Y18" i="97"/>
  <c r="H19" i="97"/>
  <c r="W18" i="97" s="1"/>
  <c r="V8" i="97"/>
  <c r="Y6" i="97"/>
  <c r="AJ21" i="78"/>
  <c r="R20" i="78"/>
  <c r="W20" i="78" s="1"/>
  <c r="I18" i="80"/>
  <c r="H16" i="80"/>
  <c r="N15" i="81"/>
  <c r="O17" i="82"/>
  <c r="C92" i="84"/>
  <c r="P39" i="84"/>
  <c r="K12" i="82" s="1"/>
  <c r="P39" i="85"/>
  <c r="P14" i="86"/>
  <c r="Q54" i="91"/>
  <c r="P53" i="91"/>
  <c r="J82" i="92"/>
  <c r="J88" i="92" s="1"/>
  <c r="H75" i="92"/>
  <c r="AR29" i="79" s="1"/>
  <c r="S39" i="95"/>
  <c r="AA16" i="97"/>
  <c r="U8" i="97"/>
  <c r="W10" i="97"/>
  <c r="M22" i="82"/>
  <c r="C62" i="84"/>
  <c r="O43" i="84"/>
  <c r="P40" i="84"/>
  <c r="M36" i="84"/>
  <c r="D88" i="92"/>
  <c r="E80" i="92"/>
  <c r="AO29" i="79"/>
  <c r="J62" i="95"/>
  <c r="Y16" i="97"/>
  <c r="AB9" i="97"/>
  <c r="AB10" i="97" s="1"/>
  <c r="S8" i="97"/>
  <c r="V6" i="97"/>
  <c r="V10" i="97" s="1"/>
  <c r="V9" i="78"/>
  <c r="N12" i="81"/>
  <c r="P38" i="84"/>
  <c r="M57" i="84" s="1"/>
  <c r="M58" i="84" s="1"/>
  <c r="O116" i="85"/>
  <c r="F82" i="92"/>
  <c r="F88" i="92" s="1"/>
  <c r="T19" i="97"/>
  <c r="P21" i="99"/>
  <c r="Q46" i="91"/>
  <c r="O16" i="97"/>
  <c r="W9" i="97"/>
  <c r="Q20" i="99"/>
  <c r="Q21" i="99" s="1"/>
  <c r="H21" i="78"/>
  <c r="AI10" i="78"/>
  <c r="H17" i="80"/>
  <c r="N17" i="81"/>
  <c r="N14" i="81"/>
  <c r="N16" i="82"/>
  <c r="C128" i="84"/>
  <c r="P54" i="84"/>
  <c r="A36" i="84"/>
  <c r="M116" i="85"/>
  <c r="U11" i="86"/>
  <c r="L77" i="92"/>
  <c r="I27" i="101" s="1"/>
  <c r="V9" i="97"/>
  <c r="AJ22" i="78"/>
  <c r="V22" i="78"/>
  <c r="C98" i="84"/>
  <c r="C68" i="84"/>
  <c r="P45" i="84"/>
  <c r="K18" i="82" s="1"/>
  <c r="P40" i="85"/>
  <c r="P48" i="91"/>
  <c r="N57" i="95"/>
  <c r="P57" i="95" s="1"/>
  <c r="Q57" i="95" s="1"/>
  <c r="G31" i="97"/>
  <c r="I19" i="97"/>
  <c r="X17" i="97" s="1"/>
  <c r="AC15" i="97"/>
  <c r="U9" i="97"/>
  <c r="H17" i="98"/>
  <c r="H19" i="98" s="1"/>
  <c r="AI22" i="78"/>
  <c r="F101" i="98" s="1"/>
  <c r="N20" i="81"/>
  <c r="C38" i="84"/>
  <c r="S16" i="86"/>
  <c r="P5" i="86"/>
  <c r="T44" i="86" s="1"/>
  <c r="Q51" i="91"/>
  <c r="AA17" i="97"/>
  <c r="AA15" i="97"/>
  <c r="G17" i="98"/>
  <c r="G19" i="98" s="1"/>
  <c r="G20" i="98" s="1"/>
  <c r="AJ9" i="78"/>
  <c r="N19" i="81"/>
  <c r="A126" i="84"/>
  <c r="C116" i="84"/>
  <c r="O44" i="84" s="1"/>
  <c r="C86" i="84"/>
  <c r="P48" i="84"/>
  <c r="P42" i="84"/>
  <c r="C126" i="85"/>
  <c r="P49" i="91"/>
  <c r="H134" i="95"/>
  <c r="I128" i="95" s="1"/>
  <c r="J61" i="95"/>
  <c r="I1" i="95" a="1"/>
  <c r="K1" i="95" s="1"/>
  <c r="Y17" i="97"/>
  <c r="U7" i="97"/>
  <c r="U4" i="99"/>
  <c r="N23" i="81"/>
  <c r="U22" i="78"/>
  <c r="AK9" i="78"/>
  <c r="N4" i="88" s="1"/>
  <c r="N22" i="81"/>
  <c r="N11" i="81"/>
  <c r="N15" i="82"/>
  <c r="U9" i="78"/>
  <c r="N16" i="81"/>
  <c r="N27" i="82"/>
  <c r="N23" i="82"/>
  <c r="A96" i="84"/>
  <c r="P50" i="84"/>
  <c r="P45" i="85"/>
  <c r="H22" i="78" s="1"/>
  <c r="P8" i="86"/>
  <c r="Q57" i="91"/>
  <c r="P52" i="91"/>
  <c r="P51" i="91"/>
  <c r="I132" i="95"/>
  <c r="V15" i="97"/>
  <c r="N13" i="81"/>
  <c r="Q52" i="91"/>
  <c r="G49" i="98"/>
  <c r="U10" i="97"/>
  <c r="C25" i="77"/>
  <c r="O150" i="90"/>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W10" i="79"/>
  <c r="J33" i="106" s="1"/>
  <c r="S35" i="85"/>
  <c r="W18" i="78"/>
  <c r="L17" i="80"/>
  <c r="R15" i="80"/>
  <c r="R17" i="80"/>
  <c r="I20" i="80"/>
  <c r="L15" i="80"/>
  <c r="Y9" i="79"/>
  <c r="AN20" i="79"/>
  <c r="S43" i="106" s="1"/>
  <c r="AN18" i="79"/>
  <c r="S41" i="106" s="1"/>
  <c r="C13" i="80"/>
  <c r="J96" i="85"/>
  <c r="R9" i="78" s="1"/>
  <c r="W9" i="78" s="1"/>
  <c r="AI9" i="78"/>
  <c r="F86" i="98" s="1"/>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84" i="85"/>
  <c r="J99" i="85" s="1"/>
  <c r="O15" i="88"/>
  <c r="AL20" i="78" s="1"/>
  <c r="R72" i="85" s="1"/>
  <c r="R15" i="78"/>
  <c r="W15" i="78" s="1"/>
  <c r="H14" i="78"/>
  <c r="R14" i="78"/>
  <c r="W14" i="78" s="1"/>
  <c r="AI14" i="78"/>
  <c r="AJ14" i="78"/>
  <c r="U14" i="78"/>
  <c r="AK14" i="78"/>
  <c r="N9" i="88" s="1"/>
  <c r="C12" i="77"/>
  <c r="R13" i="78"/>
  <c r="W13" i="78" s="1"/>
  <c r="N15" i="80"/>
  <c r="A92" i="84"/>
  <c r="O46" i="84"/>
  <c r="P56" i="84"/>
  <c r="K29" i="82" s="1"/>
  <c r="N9" i="84"/>
  <c r="O13" i="82"/>
  <c r="A62" i="84"/>
  <c r="O36" i="84"/>
  <c r="O54" i="84"/>
  <c r="A56" i="84"/>
  <c r="O51" i="84"/>
  <c r="O13" i="88"/>
  <c r="AL18" i="78" s="1"/>
  <c r="A110" i="84"/>
  <c r="O50" i="84"/>
  <c r="J9" i="84"/>
  <c r="K9" i="84"/>
  <c r="L9" i="84"/>
  <c r="M9" i="84"/>
  <c r="H9" i="84"/>
  <c r="L116" i="85"/>
  <c r="I116" i="85"/>
  <c r="O6" i="88"/>
  <c r="AL11" i="78" s="1"/>
  <c r="R80" i="85" s="1"/>
  <c r="O4" i="88"/>
  <c r="O25" i="82"/>
  <c r="O10" i="82"/>
  <c r="P55" i="84"/>
  <c r="P46" i="84"/>
  <c r="A128" i="84"/>
  <c r="O48" i="84"/>
  <c r="O42" i="84"/>
  <c r="A38" i="84"/>
  <c r="M55" i="84"/>
  <c r="A24" i="84"/>
  <c r="C26" i="84"/>
  <c r="D127" i="85"/>
  <c r="C128" i="85"/>
  <c r="J116" i="85"/>
  <c r="G116" i="85"/>
  <c r="V12" i="78"/>
  <c r="AI11" i="78"/>
  <c r="F92" i="98" s="1"/>
  <c r="R16" i="80"/>
  <c r="M16" i="80"/>
  <c r="M15" i="80"/>
  <c r="O41" i="84"/>
  <c r="A98" i="84"/>
  <c r="O45" i="84"/>
  <c r="A14" i="84"/>
  <c r="S12" i="86"/>
  <c r="AK12" i="78"/>
  <c r="N7" i="88" s="1"/>
  <c r="G88" i="98"/>
  <c r="H88" i="98" s="1"/>
  <c r="F99" i="98"/>
  <c r="G100" i="98"/>
  <c r="H100" i="98" s="1"/>
  <c r="G87" i="98"/>
  <c r="H87" i="98" s="1"/>
  <c r="F98" i="98"/>
  <c r="G99" i="98"/>
  <c r="H99" i="98" s="1"/>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G102" i="98"/>
  <c r="H102" i="98" s="1"/>
  <c r="F100" i="98"/>
  <c r="F88" i="98"/>
  <c r="G101" i="98"/>
  <c r="H101" i="98" s="1"/>
  <c r="G89" i="98"/>
  <c r="H89" i="98" s="1"/>
  <c r="D2" i="93"/>
  <c r="M17" i="80"/>
  <c r="N12" i="82"/>
  <c r="O12" i="82"/>
  <c r="AJ12" i="78"/>
  <c r="T2" i="93"/>
  <c r="V2" i="93"/>
  <c r="N16" i="80"/>
  <c r="K17" i="80"/>
  <c r="K15" i="80"/>
  <c r="N19" i="82"/>
  <c r="A116" i="84"/>
  <c r="O52" i="84"/>
  <c r="T47" i="86"/>
  <c r="P38" i="85"/>
  <c r="H15" i="78" s="1"/>
  <c r="AI12" i="78"/>
  <c r="F85" i="98" s="1"/>
  <c r="I15" i="80"/>
  <c r="I17" i="80"/>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S10" i="79" s="1"/>
  <c r="AK4" i="86"/>
  <c r="AW4" i="86" s="1"/>
  <c r="Z4" i="86"/>
  <c r="U31" i="86"/>
  <c r="V31" i="86" s="1"/>
  <c r="S31" i="86" s="1"/>
  <c r="S11" i="86"/>
  <c r="U10" i="86"/>
  <c r="F80" i="92"/>
  <c r="E86" i="92"/>
  <c r="T34" i="85"/>
  <c r="L147" i="90"/>
  <c r="U13" i="86"/>
  <c r="V13" i="86" s="1"/>
  <c r="S13" i="86" s="1"/>
  <c r="U9" i="86"/>
  <c r="V9" i="86" s="1"/>
  <c r="S9" i="86" s="1"/>
  <c r="O14" i="88"/>
  <c r="AL19" i="78" s="1"/>
  <c r="M77" i="92"/>
  <c r="J27" i="101" s="1"/>
  <c r="M82" i="92"/>
  <c r="M88" i="92" s="1"/>
  <c r="U32" i="86"/>
  <c r="V32" i="86" s="1"/>
  <c r="S32" i="86" s="1"/>
  <c r="O36" i="85"/>
  <c r="T6" i="86" s="1"/>
  <c r="N144" i="90"/>
  <c r="O144" i="90" s="1"/>
  <c r="C20" i="84"/>
  <c r="U5" i="86"/>
  <c r="O48" i="91"/>
  <c r="O46" i="91"/>
  <c r="O141" i="90"/>
  <c r="O57" i="95"/>
  <c r="O58" i="95"/>
  <c r="P58" i="95"/>
  <c r="Q58" i="95" s="1"/>
  <c r="H77" i="92"/>
  <c r="AR31" i="79" s="1"/>
  <c r="H82" i="92"/>
  <c r="I103" i="95"/>
  <c r="N101" i="95"/>
  <c r="N103" i="95" s="1"/>
  <c r="H104" i="95" s="1"/>
  <c r="D74" i="92"/>
  <c r="I75" i="92"/>
  <c r="AS29" i="79" s="1"/>
  <c r="F134" i="95"/>
  <c r="G129" i="95" s="1"/>
  <c r="L51" i="95"/>
  <c r="L60" i="95" s="1"/>
  <c r="J60" i="95"/>
  <c r="N82" i="92"/>
  <c r="N88" i="92" s="1"/>
  <c r="I76" i="92"/>
  <c r="AS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C26" i="77" l="1"/>
  <c r="T43" i="106"/>
  <c r="U43" i="106"/>
  <c r="T41" i="106"/>
  <c r="U41" i="106"/>
  <c r="T40" i="106"/>
  <c r="U40" i="106"/>
  <c r="T42" i="106"/>
  <c r="U42" i="106"/>
  <c r="C24" i="77"/>
  <c r="H33" i="106"/>
  <c r="Y10" i="79"/>
  <c r="L33" i="106" s="1"/>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M20" i="78" s="1"/>
  <c r="P6" i="88"/>
  <c r="AM11" i="78" s="1"/>
  <c r="P17" i="88"/>
  <c r="AM22" i="78"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G80" i="92"/>
  <c r="F86" i="92"/>
  <c r="F89" i="92" s="1"/>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H110" i="95"/>
  <c r="F24" i="95" s="1"/>
  <c r="H24" i="95" s="1"/>
  <c r="Q41" i="95" s="1"/>
  <c r="S41" i="95" s="1"/>
  <c r="O27" i="99"/>
  <c r="N26" i="99"/>
  <c r="Z19" i="97"/>
  <c r="G70" i="95"/>
  <c r="O55" i="84"/>
  <c r="O57" i="84" s="1"/>
  <c r="A26" i="84"/>
  <c r="O9" i="84"/>
  <c r="P13" i="88"/>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K10" i="81" s="1"/>
  <c r="G13" i="98"/>
  <c r="P78" i="98" s="1"/>
  <c r="Q77" i="98" s="1"/>
  <c r="J10" i="81" s="1"/>
  <c r="N104" i="95"/>
  <c r="M105" i="95" s="1"/>
  <c r="P6" i="86"/>
  <c r="S6" i="86"/>
  <c r="S33" i="86" s="1"/>
  <c r="I88" i="98"/>
  <c r="M88" i="98"/>
  <c r="P4" i="88"/>
  <c r="M33" i="106" l="1"/>
  <c r="P33" i="106"/>
  <c r="M32" i="106"/>
  <c r="P12" i="88"/>
  <c r="AM17" i="78" s="1"/>
  <c r="K128" i="95"/>
  <c r="L128" i="95" s="1"/>
  <c r="F26" i="95" s="1"/>
  <c r="H26" i="95" s="1"/>
  <c r="Q43" i="95" s="1"/>
  <c r="S43" i="95" s="1"/>
  <c r="G11" i="84"/>
  <c r="G22" i="84"/>
  <c r="X62" i="95"/>
  <c r="X59" i="95"/>
  <c r="X57" i="95"/>
  <c r="G19" i="84"/>
  <c r="H19" i="84" s="1"/>
  <c r="X50" i="95"/>
  <c r="Z63" i="95" s="1"/>
  <c r="M71" i="95" s="1"/>
  <c r="P9" i="88"/>
  <c r="AM14" i="78" s="1"/>
  <c r="Q12" i="88"/>
  <c r="AN17" i="78" s="1"/>
  <c r="P8" i="88"/>
  <c r="Q17" i="88"/>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M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M105" i="98"/>
  <c r="M107" i="98" s="1"/>
  <c r="Q9" i="88"/>
  <c r="AC53" i="95"/>
  <c r="Z53" i="95"/>
  <c r="C18" i="95"/>
  <c r="C7" i="95"/>
  <c r="C8" i="95"/>
  <c r="C9" i="95"/>
  <c r="C25" i="95"/>
  <c r="C29" i="95"/>
  <c r="C12" i="95"/>
  <c r="C27" i="95"/>
  <c r="C26"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72" i="86"/>
  <c r="P36" i="85"/>
  <c r="H13" i="78" s="1"/>
  <c r="P1" i="86"/>
  <c r="F105" i="95"/>
  <c r="H105" i="95"/>
  <c r="U99" i="85"/>
  <c r="O58" i="91"/>
  <c r="P16" i="86"/>
  <c r="P46" i="85" s="1"/>
  <c r="P34" i="85"/>
  <c r="P33" i="85"/>
  <c r="G23" i="84"/>
  <c r="Z51" i="95"/>
  <c r="AC51" i="95"/>
  <c r="E25" i="95"/>
  <c r="E18" i="95"/>
  <c r="E9" i="95"/>
  <c r="E29" i="95"/>
  <c r="E13" i="95"/>
  <c r="E24" i="95"/>
  <c r="E12" i="95"/>
  <c r="E7" i="95"/>
  <c r="E26" i="95"/>
  <c r="E27" i="95"/>
  <c r="E21" i="95"/>
  <c r="E8" i="95"/>
  <c r="Y3" i="99"/>
  <c r="X4" i="99"/>
  <c r="L25" i="79" s="1"/>
  <c r="L26" i="79" s="1"/>
  <c r="T33" i="106" l="1"/>
  <c r="N103" i="98"/>
  <c r="O103" i="98" s="1"/>
  <c r="K26" i="78" s="1"/>
  <c r="N93" i="98"/>
  <c r="O93" i="98" s="1"/>
  <c r="K16" i="78" s="1"/>
  <c r="H94" i="95"/>
  <c r="H95" i="95" s="1"/>
  <c r="D30" i="95"/>
  <c r="Z71" i="95"/>
  <c r="AA71" i="95" s="1"/>
  <c r="L19" i="84"/>
  <c r="Z50" i="95"/>
  <c r="I19" i="84"/>
  <c r="E30" i="95"/>
  <c r="L30" i="95" s="1"/>
  <c r="D26" i="95"/>
  <c r="H107" i="94" s="1"/>
  <c r="M19" i="84"/>
  <c r="O19" i="84" s="1"/>
  <c r="N19" i="84"/>
  <c r="K19" i="84"/>
  <c r="R12" i="88"/>
  <c r="AO17" i="78" s="1"/>
  <c r="C30" i="95"/>
  <c r="J19" i="84"/>
  <c r="N102" i="98"/>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7" i="95"/>
  <c r="H96" i="94"/>
  <c r="N62" i="98"/>
  <c r="K15" i="81" s="1"/>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M16" i="84"/>
  <c r="J16" i="84"/>
  <c r="L16" i="84"/>
  <c r="N16" i="84"/>
  <c r="N101" i="98"/>
  <c r="O101" i="98" s="1"/>
  <c r="K22" i="78" s="1"/>
  <c r="P3" i="99"/>
  <c r="Q4" i="99"/>
  <c r="B30" i="95"/>
  <c r="S12" i="88"/>
  <c r="N69" i="98"/>
  <c r="K22" i="81" s="1"/>
  <c r="L21" i="95"/>
  <c r="I92" i="94"/>
  <c r="I91" i="94"/>
  <c r="K29" i="95"/>
  <c r="H97" i="94"/>
  <c r="N60" i="98"/>
  <c r="K13" i="81" s="1"/>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I26" i="95"/>
  <c r="F107" i="94"/>
  <c r="T26" i="99"/>
  <c r="S27" i="99"/>
  <c r="J8" i="95"/>
  <c r="G19" i="94"/>
  <c r="G20" i="94"/>
  <c r="J13" i="95"/>
  <c r="G41" i="94"/>
  <c r="G42" i="94"/>
  <c r="AM16" i="78"/>
  <c r="Q11" i="88"/>
  <c r="Q18" i="88" s="1"/>
  <c r="H23" i="84"/>
  <c r="J23" i="84"/>
  <c r="K23" i="84"/>
  <c r="M23" i="84"/>
  <c r="N23" i="84"/>
  <c r="I23" i="84"/>
  <c r="L23" i="84"/>
  <c r="N64" i="98"/>
  <c r="K17" i="81" s="1"/>
  <c r="I96" i="94"/>
  <c r="L27" i="95"/>
  <c r="K30" i="95"/>
  <c r="H108" i="94"/>
  <c r="N71" i="98"/>
  <c r="K24" i="81" s="1"/>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K21" i="81" s="1"/>
  <c r="K24" i="95"/>
  <c r="H95" i="94"/>
  <c r="N65" i="98"/>
  <c r="K18" i="81" s="1"/>
  <c r="N58" i="98"/>
  <c r="K11" i="81" s="1"/>
  <c r="M73" i="98"/>
  <c r="P70" i="98" s="1"/>
  <c r="Q70" i="98" s="1"/>
  <c r="J23" i="81" s="1"/>
  <c r="N15" i="84"/>
  <c r="H15" i="84"/>
  <c r="J15" i="84"/>
  <c r="L15" i="84"/>
  <c r="K15" i="84"/>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K23" i="81" s="1"/>
  <c r="N61" i="98"/>
  <c r="K14" i="81" s="1"/>
  <c r="I26" i="84"/>
  <c r="K26" i="84"/>
  <c r="L26" i="84"/>
  <c r="N26" i="84"/>
  <c r="H26" i="84"/>
  <c r="J26" i="84"/>
  <c r="M26" i="84"/>
  <c r="AN9" i="78"/>
  <c r="R4" i="88"/>
  <c r="AN4" i="86"/>
  <c r="AC4" i="86"/>
  <c r="AO20" i="78"/>
  <c r="S15" i="88"/>
  <c r="O25" i="95"/>
  <c r="N98" i="98"/>
  <c r="O98" i="98" s="1"/>
  <c r="K21" i="78" s="1"/>
  <c r="N67" i="98"/>
  <c r="K20" i="81" s="1"/>
  <c r="L12" i="84"/>
  <c r="M12" i="84"/>
  <c r="N12" i="84"/>
  <c r="H12" i="84"/>
  <c r="J12" i="84"/>
  <c r="K12" i="84"/>
  <c r="I12" i="84"/>
  <c r="H20" i="84"/>
  <c r="J20" i="84"/>
  <c r="K20" i="84"/>
  <c r="M20" i="84"/>
  <c r="I20" i="84"/>
  <c r="L20" i="84"/>
  <c r="N20" i="84"/>
  <c r="L26" i="95"/>
  <c r="I107" i="94"/>
  <c r="L9" i="95"/>
  <c r="I24" i="94"/>
  <c r="I23" i="94"/>
  <c r="I22" i="94"/>
  <c r="I28" i="94"/>
  <c r="I27" i="94"/>
  <c r="I21" i="94"/>
  <c r="I25" i="94"/>
  <c r="I26" i="94"/>
  <c r="P33" i="86"/>
  <c r="N63" i="98"/>
  <c r="K16" i="81" s="1"/>
  <c r="J30" i="95"/>
  <c r="G108" i="94"/>
  <c r="L7" i="95"/>
  <c r="I12" i="94"/>
  <c r="I11" i="94"/>
  <c r="I80" i="94"/>
  <c r="I18" i="94"/>
  <c r="I90" i="94"/>
  <c r="I9" i="94"/>
  <c r="I14" i="94"/>
  <c r="I16" i="94"/>
  <c r="I15" i="94"/>
  <c r="I17" i="94"/>
  <c r="I81" i="94"/>
  <c r="I13" i="94"/>
  <c r="S72" i="86"/>
  <c r="T72" i="86"/>
  <c r="O72" i="86"/>
  <c r="K8" i="95"/>
  <c r="H20" i="94"/>
  <c r="H19" i="94"/>
  <c r="N66" i="98"/>
  <c r="K19" i="81" s="1"/>
  <c r="M14" i="84"/>
  <c r="N14" i="84"/>
  <c r="I14" i="84"/>
  <c r="K14" i="84"/>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K12" i="81" s="1"/>
  <c r="I25" i="84"/>
  <c r="K25" i="84"/>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O24" i="95"/>
  <c r="F95" i="94"/>
  <c r="I12" i="95"/>
  <c r="O12" i="95"/>
  <c r="F32" i="94"/>
  <c r="F34" i="94"/>
  <c r="F37" i="94"/>
  <c r="F39" i="94"/>
  <c r="F35" i="94"/>
  <c r="F36" i="94"/>
  <c r="F33" i="94"/>
  <c r="F38" i="94"/>
  <c r="F31" i="94"/>
  <c r="F40" i="94"/>
  <c r="T7" i="106" l="1"/>
  <c r="O14" i="84"/>
  <c r="K26" i="95"/>
  <c r="O15" i="84"/>
  <c r="I108" i="94"/>
  <c r="O16" i="84"/>
  <c r="O25" i="84"/>
  <c r="O26" i="95"/>
  <c r="M24" i="95"/>
  <c r="O12" i="84"/>
  <c r="AN13" i="78"/>
  <c r="R8" i="88"/>
  <c r="AO22" i="78"/>
  <c r="S17" i="88"/>
  <c r="Q21" i="80"/>
  <c r="R21" i="80" s="1"/>
  <c r="N21" i="80" s="1"/>
  <c r="J105" i="98"/>
  <c r="K82" i="98"/>
  <c r="L30" i="78" s="1"/>
  <c r="AO14" i="78"/>
  <c r="S9" i="88"/>
  <c r="P67" i="98"/>
  <c r="Q67" i="98" s="1"/>
  <c r="J20" i="81" s="1"/>
  <c r="Q19" i="88"/>
  <c r="P105" i="98"/>
  <c r="P58" i="98"/>
  <c r="M13" i="95"/>
  <c r="P71" i="98"/>
  <c r="Q71" i="98" s="1"/>
  <c r="J24" i="81"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J18" i="81" s="1"/>
  <c r="M26" i="95"/>
  <c r="Q46" i="95"/>
  <c r="S46" i="95" s="1"/>
  <c r="S42" i="95"/>
  <c r="O18" i="84"/>
  <c r="AN16" i="78"/>
  <c r="R11" i="88"/>
  <c r="J28" i="95"/>
  <c r="G100" i="94"/>
  <c r="G103" i="94"/>
  <c r="G101" i="94"/>
  <c r="G109" i="94"/>
  <c r="G104" i="94"/>
  <c r="G99" i="94"/>
  <c r="G106" i="94"/>
  <c r="G98" i="94"/>
  <c r="G105" i="94"/>
  <c r="G102" i="94"/>
  <c r="L27" i="99"/>
  <c r="K26" i="99"/>
  <c r="P69" i="98"/>
  <c r="Q69" i="98" s="1"/>
  <c r="J22" i="81" s="1"/>
  <c r="O17" i="84"/>
  <c r="AO10" i="78"/>
  <c r="S5" i="88"/>
  <c r="P59" i="98"/>
  <c r="Q59" i="98" s="1"/>
  <c r="J12" i="81"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J21" i="81" s="1"/>
  <c r="P64" i="98"/>
  <c r="Q64" i="98" s="1"/>
  <c r="J17" i="81" s="1"/>
  <c r="AP17" i="78"/>
  <c r="T12" i="88"/>
  <c r="AP11" i="78"/>
  <c r="T6" i="88"/>
  <c r="P63" i="98"/>
  <c r="Q63" i="98" s="1"/>
  <c r="J16" i="81" s="1"/>
  <c r="P61" i="98"/>
  <c r="Q61" i="98" s="1"/>
  <c r="J14" i="81"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J19" i="81"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J13" i="81" s="1"/>
  <c r="I30" i="95"/>
  <c r="M30" i="95" s="1"/>
  <c r="O30" i="95"/>
  <c r="F108" i="94"/>
  <c r="P62" i="98"/>
  <c r="Q62" i="98" s="1"/>
  <c r="J15" i="81" s="1"/>
  <c r="L28" i="95"/>
  <c r="I103" i="94"/>
  <c r="I104" i="94"/>
  <c r="I101" i="94"/>
  <c r="I98" i="94"/>
  <c r="I109" i="94"/>
  <c r="I106" i="94"/>
  <c r="I100" i="94"/>
  <c r="I102" i="94"/>
  <c r="I99" i="94"/>
  <c r="I105" i="94"/>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O29" i="84" l="1"/>
  <c r="O33" i="84" s="1"/>
  <c r="AP22" i="78"/>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P4" i="86"/>
  <c r="AE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J11" i="81" s="1"/>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X9" i="79" s="1"/>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X10" i="79" l="1"/>
  <c r="K33" i="106" s="1"/>
  <c r="K32" i="106"/>
  <c r="AP13" i="78"/>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K4" i="95"/>
  <c r="H3" i="94"/>
  <c r="H2" i="94"/>
  <c r="H4" i="94"/>
  <c r="H5" i="94"/>
  <c r="AQ4" i="86"/>
  <c r="AF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U32" i="106" l="1"/>
  <c r="U33" i="106"/>
  <c r="M11" i="95"/>
  <c r="V17" i="88"/>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G4" i="86"/>
  <c r="AR4" i="86"/>
  <c r="H16" i="95"/>
  <c r="C16" i="95"/>
  <c r="B16" i="95"/>
  <c r="D16" i="95"/>
  <c r="E16" i="95"/>
  <c r="AR18" i="78"/>
  <c r="V13" i="88"/>
  <c r="U7" i="106" l="1"/>
  <c r="AS22" i="78"/>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F44" i="94"/>
  <c r="F47" i="94"/>
  <c r="F48" i="94"/>
  <c r="F51" i="94"/>
  <c r="F46" i="94"/>
  <c r="O15" i="95"/>
  <c r="F49" i="94"/>
  <c r="F45" i="94"/>
  <c r="F50" i="94"/>
  <c r="I14" i="95"/>
  <c r="O14" i="95"/>
  <c r="F43" i="94"/>
  <c r="B31" i="95"/>
  <c r="L14" i="95"/>
  <c r="I43" i="94"/>
  <c r="E31" i="95"/>
  <c r="AS9" i="78"/>
  <c r="W4" i="88"/>
  <c r="AT21" i="78"/>
  <c r="X16" i="88"/>
  <c r="AS4" i="86"/>
  <c r="AH4" i="86"/>
  <c r="AT4" i="86" s="1"/>
  <c r="K14" i="95"/>
  <c r="H43" i="94"/>
  <c r="D31" i="95"/>
  <c r="V99" i="85"/>
  <c r="AS19" i="78"/>
  <c r="W14" i="88"/>
  <c r="K15" i="95"/>
  <c r="H44" i="94"/>
  <c r="H47" i="94"/>
  <c r="H51" i="94"/>
  <c r="H48" i="94"/>
  <c r="H46" i="94"/>
  <c r="H49" i="94"/>
  <c r="H45" i="94"/>
  <c r="H50" i="94"/>
  <c r="J16" i="95"/>
  <c r="G52" i="94"/>
  <c r="H23" i="95"/>
  <c r="M17" i="95"/>
  <c r="M86" i="92"/>
  <c r="N80" i="92"/>
  <c r="AR16" i="78"/>
  <c r="V11" i="88"/>
  <c r="I16" i="95"/>
  <c r="O16" i="95"/>
  <c r="F52" i="94"/>
  <c r="AS10" i="78"/>
  <c r="W5" i="88"/>
  <c r="N86" i="92" l="1"/>
  <c r="O80" i="92"/>
  <c r="M15" i="95"/>
  <c r="M14" i="95"/>
  <c r="V18" i="88"/>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O86" i="92" l="1"/>
  <c r="P80" i="92"/>
  <c r="AT13" i="78"/>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P86" i="92" l="1"/>
  <c r="Q80" i="92"/>
  <c r="Z17" i="88"/>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R80" i="92" l="1"/>
  <c r="Q86" i="92"/>
  <c r="AW22" i="78"/>
  <c r="AA17" i="88"/>
  <c r="AV13" i="78"/>
  <c r="T67"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T99" i="85" l="1"/>
  <c r="T101" i="85" s="1"/>
  <c r="S80" i="92"/>
  <c r="S86" i="92" s="1"/>
  <c r="R86" i="92"/>
  <c r="AW13" i="78"/>
  <c r="AA8" i="88"/>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A18" i="88" l="1"/>
  <c r="AA19" i="88" s="1"/>
  <c r="AY22" i="78"/>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BE11" i="78"/>
  <c r="AI6" i="88"/>
  <c r="BD10" i="78"/>
  <c r="AH5" i="88"/>
  <c r="BD14" i="78"/>
  <c r="AH9" i="88"/>
  <c r="BE21" i="78"/>
  <c r="AI16" i="88"/>
  <c r="BE20" i="78"/>
  <c r="AI15" i="88"/>
  <c r="BD9" i="78"/>
  <c r="AH4" i="88"/>
  <c r="AF18" i="88"/>
  <c r="AF19" i="88" s="1"/>
  <c r="BD18" i="78"/>
  <c r="AH13" i="88"/>
  <c r="AG19" i="88" l="1"/>
  <c r="BE22" i="78"/>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Y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B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L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I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D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E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V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N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O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N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782B3F7-29A8-4303-8E13-150C60C69F91}">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<sst xmlns="http://schemas.openxmlformats.org/spreadsheetml/2006/main" count="6273" uniqueCount="1846">
  <si>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</si>
  <si>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</si>
  <si>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</si>
  <si>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</si>
  <si>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</si>
  <si>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</si>
  <si>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</si>
  <si>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</si>
  <si>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</si>
  <si>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</si>
  <si>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</si>
  <si>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</si>
  <si>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</si>
  <si>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</si>
  <si>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</si>
  <si>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</si>
  <si>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</si>
  <si>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</si>
  <si>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</si>
  <si>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</si>
  <si>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</si>
  <si>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</si>
  <si>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</si>
  <si>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</si>
  <si>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</si>
  <si>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</si>
  <si>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</si>
  <si>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</si>
  <si>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</si>
  <si>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</si>
  <si>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</si>
  <si>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</si>
  <si>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</si>
  <si>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</si>
  <si>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</si>
  <si>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</si>
  <si>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</si>
  <si>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</si>
  <si>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</si>
  <si>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</si>
  <si>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</si>
  <si>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</si>
  <si>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</si>
  <si>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</si>
  <si>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</si>
  <si>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</si>
  <si>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</si>
  <si>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</si>
  <si>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</si>
  <si>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</si>
  <si>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</si>
  <si>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</si>
  <si>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</si>
  <si>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</si>
  <si>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</si>
  <si>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</si>
  <si>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</si>
  <si>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</si>
  <si>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</si>
  <si>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</si>
  <si>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</si>
  <si>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</si>
  <si>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</si>
  <si>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</si>
  <si>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</si>
  <si>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</si>
  <si>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</si>
  <si>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</si>
  <si>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</si>
  <si>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</si>
  <si>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</si>
  <si>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</si>
  <si>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</si>
  <si>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</si>
  <si>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</si>
  <si>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</si>
  <si>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</si>
  <si>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</si>
  <si>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</si>
  <si>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</si>
  <si>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</si>
  <si>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</si>
  <si>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</si>
  <si>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</si>
  <si>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</si>
  <si>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</si>
  <si>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</si>
  <si>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</si>
  <si>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</si>
  <si>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</si>
  <si>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</si>
  <si>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</si>
  <si>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</si>
  <si>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</si>
  <si>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</si>
  <si>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</si>
  <si>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</si>
  <si>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</si>
  <si>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</si>
  <si>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</si>
  <si>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</si>
  <si>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</si>
  <si>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</si>
  <si>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</si>
  <si>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</si>
  <si>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</si>
  <si>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</si>
  <si>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</si>
  <si>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</si>
  <si>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</si>
  <si>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</si>
  <si>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</si>
  <si>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</si>
  <si>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</si>
  <si>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</si>
  <si>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</si>
  <si>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</si>
  <si>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</si>
  <si>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</si>
  <si>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</si>
  <si>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</si>
  <si>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</si>
  <si>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</si>
  <si>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</si>
  <si>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</si>
  <si>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</si>
  <si>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</si>
  <si>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</si>
  <si>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</si>
  <si>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</si>
  <si>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</si>
  <si>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</si>
  <si>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</si>
  <si>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</si>
  <si>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</si>
  <si>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</si>
  <si>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</si>
  <si>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</si>
  <si>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</si>
  <si>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</si>
  <si>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</si>
  <si>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</si>
  <si>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</si>
  <si>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</si>
  <si>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</si>
  <si>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</si>
  <si>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</si>
  <si>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</si>
  <si>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</si>
  <si>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</si>
  <si>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</si>
  <si>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</si>
  <si>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</si>
  <si>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</si>
  <si>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</si>
  <si>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</si>
  <si>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</si>
  <si>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</si>
  <si>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</si>
  <si>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</si>
  <si>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</si>
  <si>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</si>
  <si>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</si>
  <si>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</si>
  <si>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</si>
  <si>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</si>
  <si>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</si>
  <si>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</si>
  <si>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</si>
  <si>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</si>
  <si>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</si>
  <si>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</si>
  <si>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</si>
  <si>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</si>
  <si>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</si>
  <si>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</si>
  <si>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</si>
  <si>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</si>
  <si>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</si>
  <si>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</si>
  <si>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</si>
  <si>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</si>
  <si>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</si>
  <si>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</si>
  <si>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</si>
  <si>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</si>
  <si>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</si>
  <si>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</si>
  <si>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</si>
  <si>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</si>
  <si>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</si>
  <si>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</si>
  <si>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</si>
  <si>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</si>
  <si>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</si>
  <si>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</si>
  <si>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</si>
  <si>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</si>
  <si>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</si>
  <si>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</si>
  <si>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</si>
  <si>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</si>
  <si>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</si>
  <si>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</si>
  <si>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</si>
  <si>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</si>
  <si>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</si>
  <si>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</si>
  <si>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</si>
  <si>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</si>
  <si>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</si>
  <si>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</si>
  <si>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</si>
  <si>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</si>
  <si>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</si>
  <si>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</si>
  <si>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</si>
  <si>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</si>
  <si>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</si>
  <si>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</si>
  <si>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</si>
  <si>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</si>
  <si>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</si>
  <si>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</si>
  <si>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</si>
  <si>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</si>
  <si>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</si>
  <si>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</si>
  <si>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</si>
  <si>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</si>
  <si>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</si>
  <si>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</si>
  <si>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</si>
  <si>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</si>
  <si>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</si>
  <si>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</si>
  <si>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</si>
  <si>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</si>
  <si>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</si>
  <si>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</si>
  <si>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</si>
  <si>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</si>
  <si>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</si>
  <si>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</si>
  <si>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</si>
  <si>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</si>
  <si>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</si>
  <si>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</si>
  <si>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</si>
  <si>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</si>
  <si>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</si>
  <si>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</si>
  <si>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</si>
  <si>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</si>
  <si>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</si>
  <si>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</si>
  <si>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</si>
  <si>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</si>
  <si>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</si>
  <si>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</si>
  <si>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</si>
  <si>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</si>
  <si>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</si>
  <si>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</si>
  <si>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</si>
  <si>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</si>
  <si>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</si>
  <si>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</si>
  <si>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</si>
  <si>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</si>
  <si>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</si>
  <si>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</si>
  <si>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</si>
  <si>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</si>
  <si>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</si>
  <si>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</si>
  <si>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</si>
  <si>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</si>
  <si>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</si>
  <si>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</si>
  <si>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</si>
  <si>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</si>
  <si>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</si>
  <si>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</si>
  <si>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</si>
  <si>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</si>
  <si>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</si>
  <si>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</si>
  <si>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</si>
  <si>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</si>
  <si>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</si>
  <si>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</si>
  <si>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</si>
  <si>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</si>
  <si>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</si>
  <si>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</si>
  <si>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</si>
  <si>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</si>
  <si>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</si>
  <si>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</si>
  <si>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</si>
  <si>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</si>
  <si>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</si>
  <si>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</si>
  <si>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</si>
  <si>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</si>
  <si>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</si>
  <si>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</si>
  <si>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</si>
  <si>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</si>
  <si>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</si>
  <si>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</si>
  <si>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</si>
  <si>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</si>
  <si>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</si>
  <si>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</si>
  <si>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</si>
  <si>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</si>
  <si>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</si>
  <si>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</si>
  <si>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</si>
  <si>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</si>
  <si>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</si>
  <si>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</si>
  <si>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</si>
  <si>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</si>
  <si>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</si>
  <si>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</si>
  <si>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</si>
  <si>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</si>
  <si>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</si>
  <si>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</si>
  <si>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</si>
  <si>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</si>
  <si>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</si>
  <si>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</si>
  <si>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</si>
  <si>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</si>
  <si>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</si>
  <si>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</si>
  <si>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</si>
  <si>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</si>
  <si>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</si>
  <si>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</si>
  <si>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</si>
  <si>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</si>
  <si>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</si>
  <si>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</si>
  <si>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</si>
  <si>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</si>
  <si>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</si>
  <si>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</si>
  <si>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</si>
  <si>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</si>
  <si>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</si>
  <si>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</si>
  <si>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</si>
  <si>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</si>
  <si>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</si>
  <si>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</si>
  <si>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</si>
  <si>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</si>
  <si>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</si>
  <si>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</si>
  <si>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</si>
  <si>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</si>
  <si>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</si>
  <si>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</si>
  <si>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</si>
  <si>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</si>
  <si>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</si>
  <si>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</si>
  <si>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</si>
  <si>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</si>
  <si>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</si>
  <si>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</si>
  <si>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</si>
  <si>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</si>
  <si>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</si>
  <si>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</si>
  <si>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</si>
  <si>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</si>
  <si>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</si>
  <si>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</si>
  <si>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</si>
  <si>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</si>
  <si>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</si>
  <si>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</si>
  <si>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</si>
  <si>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</si>
  <si>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</si>
  <si>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</si>
  <si>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</si>
  <si>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</si>
  <si>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</si>
  <si>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</si>
  <si>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</si>
  <si>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</si>
  <si>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</si>
  <si>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</si>
  <si>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</si>
  <si>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</si>
  <si>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</si>
  <si>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</si>
  <si>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</si>
  <si>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</si>
  <si>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</si>
  <si>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</si>
  <si>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</si>
  <si>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</si>
  <si>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</si>
  <si>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</si>
  <si>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</si>
  <si>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</si>
  <si>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</si>
  <si>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</si>
  <si>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</si>
  <si>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</si>
  <si>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</si>
  <si>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</si>
  <si>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</si>
  <si>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</si>
  <si>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</si>
  <si>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</si>
  <si>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</si>
  <si>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</si>
  <si>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</si>
  <si>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</si>
  <si>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</si>
  <si>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</si>
  <si>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</si>
  <si>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</si>
  <si>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</si>
  <si>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</si>
  <si>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</si>
  <si>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</si>
  <si>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</si>
  <si>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</si>
  <si>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</si>
  <si>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</si>
  <si>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</si>
  <si>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</si>
  <si>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</si>
  <si>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</si>
  <si>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</si>
  <si>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</si>
  <si>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</si>
  <si>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</si>
  <si>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</si>
  <si>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</si>
  <si>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</si>
  <si>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</si>
  <si>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</si>
  <si>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</si>
  <si>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</si>
  <si>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</si>
  <si>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</si>
  <si>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</si>
  <si>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</si>
  <si>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</si>
  <si>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</si>
  <si>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</si>
  <si>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</si>
  <si>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</si>
  <si>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</si>
  <si>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</si>
  <si>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</si>
  <si>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</si>
  <si>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</si>
  <si>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</si>
  <si>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</si>
  <si>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</si>
  <si>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</si>
  <si>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</si>
  <si>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</si>
  <si>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</si>
  <si>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</si>
  <si>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</si>
  <si>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</si>
  <si>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</si>
  <si>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</si>
  <si>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</si>
  <si>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</si>
  <si>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</si>
  <si>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</si>
  <si>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</si>
  <si>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</si>
  <si>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</si>
  <si>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</si>
  <si>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</si>
  <si>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</si>
  <si>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</si>
  <si>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</si>
  <si>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</si>
  <si>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</si>
  <si>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</si>
  <si>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</si>
  <si>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</si>
  <si>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</si>
  <si>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</si>
  <si>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</si>
  <si>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</si>
  <si>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</si>
  <si>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</si>
  <si>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</si>
  <si>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</si>
  <si>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</si>
  <si>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</si>
  <si>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</si>
  <si>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</si>
  <si>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</si>
  <si>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</si>
  <si>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</si>
  <si>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</si>
  <si>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</si>
  <si>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</si>
  <si>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</si>
  <si>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</si>
  <si>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</si>
  <si>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</si>
  <si>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</si>
  <si>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</si>
  <si>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</si>
  <si>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</si>
  <si>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</si>
  <si>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</si>
  <si>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</si>
  <si>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</si>
  <si>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</si>
  <si>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</si>
  <si>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</si>
  <si>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</si>
  <si>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</si>
  <si>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</si>
  <si>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</si>
  <si>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</si>
  <si>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</si>
  <si>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</si>
  <si>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</si>
  <si>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</si>
  <si>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</si>
  <si>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</si>
  <si>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</si>
  <si>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</si>
  <si>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</si>
  <si>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</si>
  <si>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</si>
  <si>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</si>
  <si>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</si>
  <si>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</si>
  <si>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</si>
  <si>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</si>
  <si>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</si>
  <si>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</si>
  <si>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</si>
  <si>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</si>
  <si>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</si>
  <si>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</si>
  <si>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</si>
  <si>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</si>
  <si>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</si>
  <si>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</si>
  <si>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</si>
  <si>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</si>
  <si>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</si>
  <si>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</si>
  <si>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</si>
  <si>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</si>
  <si>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</si>
  <si>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</si>
  <si>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</si>
  <si>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</si>
  <si>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</si>
  <si>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</si>
  <si>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</si>
  <si>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</si>
  <si>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</si>
  <si>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</si>
  <si>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</si>
  <si>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</si>
  <si>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</si>
  <si>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</si>
  <si>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</si>
  <si>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</si>
  <si>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</si>
  <si>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</si>
  <si>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</si>
  <si>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</si>
  <si>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</si>
  <si>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</si>
  <si>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</si>
  <si>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</si>
  <si>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</si>
  <si>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</si>
  <si>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</si>
  <si>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</si>
  <si>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</si>
  <si>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</si>
  <si>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</si>
  <si>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</si>
  <si>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</si>
  <si>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</si>
  <si>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</si>
  <si>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</si>
  <si>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</si>
  <si>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</si>
  <si>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</si>
  <si>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</si>
  <si>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</si>
  <si>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</si>
  <si>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</si>
  <si>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</si>
  <si>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</si>
  <si>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</si>
  <si>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</si>
  <si>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</si>
  <si>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</si>
  <si>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</si>
  <si>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</si>
  <si>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</si>
  <si>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</si>
  <si>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</si>
  <si>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</si>
  <si>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</si>
  <si>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</si>
  <si>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</si>
  <si>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</si>
  <si>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</si>
  <si>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</si>
  <si>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</si>
  <si>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</si>
  <si>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</si>
  <si>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</si>
  <si>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</si>
  <si>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</si>
  <si>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</si>
  <si>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</si>
  <si>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</si>
  <si>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</si>
  <si>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</si>
  <si>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</si>
  <si>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</si>
  <si>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</si>
  <si>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</si>
  <si>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</si>
  <si>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</si>
  <si>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</si>
  <si>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</si>
  <si>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</si>
  <si>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</si>
  <si>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</si>
  <si>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</si>
  <si>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</si>
  <si>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</si>
  <si>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</si>
  <si>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</si>
  <si>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</si>
  <si>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</si>
  <si>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</si>
  <si>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</si>
  <si>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</si>
  <si>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</si>
  <si>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</si>
  <si>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</si>
  <si>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</si>
  <si>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</si>
  <si>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</si>
  <si>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</si>
  <si>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</si>
  <si>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</si>
  <si>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</si>
  <si>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</si>
  <si>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</si>
  <si>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</si>
  <si>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</si>
  <si>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</si>
  <si>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</si>
  <si>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</si>
  <si>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</si>
  <si>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</si>
  <si>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</si>
  <si>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</si>
  <si>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</si>
  <si>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</si>
  <si>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</si>
  <si>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</si>
  <si>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</si>
  <si>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</si>
  <si>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</si>
  <si>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</si>
  <si>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</si>
  <si>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</si>
  <si>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</si>
  <si>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</si>
  <si>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</si>
  <si>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</si>
  <si>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</si>
  <si>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</si>
  <si>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</si>
  <si>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</si>
  <si>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</si>
  <si>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</si>
  <si>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</si>
  <si>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</si>
  <si>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</si>
  <si>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</si>
  <si>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</si>
  <si>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</si>
  <si>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</si>
  <si>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</si>
  <si>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</si>
  <si>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</si>
  <si>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</si>
  <si>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</si>
  <si>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</si>
  <si>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</si>
  <si>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</si>
  <si>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</si>
  <si>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</si>
  <si>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</si>
  <si>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</si>
  <si>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</si>
  <si>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</si>
  <si>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</si>
  <si>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</si>
  <si>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</si>
  <si>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</si>
  <si>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</si>
  <si>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</si>
  <si>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</si>
  <si>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</si>
  <si>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</si>
  <si>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</si>
  <si>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</si>
  <si>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</si>
  <si>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</si>
  <si>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</si>
  <si>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</si>
  <si>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</si>
  <si>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</si>
  <si>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</si>
  <si>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</si>
  <si>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</si>
  <si>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</si>
  <si>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</si>
  <si>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</si>
  <si>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</si>
  <si>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</si>
  <si>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</si>
  <si>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</si>
  <si>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</si>
  <si>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</si>
  <si>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</si>
  <si>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</si>
  <si>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</si>
  <si>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</si>
  <si>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</si>
  <si>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</si>
  <si>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</si>
  <si>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</si>
  <si>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</si>
  <si>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</si>
  <si>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</si>
  <si>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</si>
  <si>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</si>
  <si>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</si>
  <si>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</si>
  <si>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</si>
  <si>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</si>
  <si>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</si>
  <si>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</si>
  <si>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</si>
  <si>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</si>
  <si>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</si>
  <si>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</si>
  <si>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</si>
  <si>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</si>
  <si>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</si>
  <si>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</si>
  <si>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</si>
  <si>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</si>
  <si>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</si>
  <si>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</si>
  <si>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</si>
  <si>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</si>
  <si>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</si>
  <si>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</si>
  <si>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</si>
  <si>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</si>
  <si>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</si>
  <si>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</si>
  <si>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</si>
  <si>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</si>
  <si>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</si>
  <si>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</si>
  <si>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</si>
  <si>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</si>
  <si>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</si>
  <si>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</si>
  <si>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</si>
  <si>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</si>
  <si>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</si>
  <si>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</si>
  <si>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</si>
  <si>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</si>
  <si>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</si>
  <si>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</si>
  <si>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</si>
  <si>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</si>
  <si>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</si>
  <si>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</si>
  <si>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</si>
  <si>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</si>
  <si>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</si>
  <si>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</si>
  <si>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</si>
  <si>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</si>
  <si>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</si>
  <si>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</si>
  <si>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</si>
  <si>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</si>
  <si>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</si>
  <si>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</si>
  <si>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</si>
  <si>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</si>
  <si>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</si>
  <si>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</si>
  <si>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</si>
  <si>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</si>
  <si>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</si>
  <si>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</si>
  <si>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</si>
  <si>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</si>
  <si>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</si>
  <si>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</si>
  <si>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</si>
  <si>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</si>
  <si>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</si>
  <si>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</si>
  <si>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</si>
  <si>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</si>
  <si>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</si>
  <si>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</si>
  <si>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</si>
  <si>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</si>
  <si>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</si>
  <si>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</si>
  <si>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</si>
  <si>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</si>
  <si>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</si>
  <si>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</si>
  <si>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</si>
  <si>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</si>
  <si>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</si>
  <si>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</si>
  <si>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</si>
  <si>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</si>
  <si>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</si>
  <si>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</si>
  <si>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</si>
  <si>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</si>
  <si>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</si>
  <si>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</si>
  <si>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</si>
  <si>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</si>
  <si>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</si>
  <si>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</si>
  <si>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</si>
  <si>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</si>
  <si>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</si>
  <si>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</si>
  <si>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</si>
  <si>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</si>
  <si>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</si>
  <si>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</si>
  <si>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</si>
  <si>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</si>
  <si>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</si>
  <si>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</si>
  <si>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</si>
  <si>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</si>
  <si>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</si>
  <si>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</si>
  <si>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</si>
  <si>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</si>
  <si>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</si>
  <si>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</si>
  <si>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</si>
  <si>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</si>
  <si>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</si>
  <si>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</si>
  <si>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</si>
  <si>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</si>
  <si>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</si>
  <si>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</si>
  <si>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</si>
  <si>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</si>
  <si>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</si>
  <si>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</si>
  <si>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</si>
  <si>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</si>
  <si>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</si>
  <si>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</si>
  <si>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</si>
  <si>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</si>
  <si>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</si>
  <si>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</si>
  <si>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</si>
  <si>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</si>
  <si>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</si>
  <si>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</si>
  <si>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</si>
  <si>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</si>
  <si>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</si>
  <si>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</si>
  <si>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</si>
  <si>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</si>
  <si>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</si>
  <si>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</si>
  <si>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</si>
  <si>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</si>
  <si>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</si>
  <si>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</si>
  <si>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</si>
  <si>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</si>
  <si>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</si>
  <si>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</si>
  <si>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</si>
  <si>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</si>
  <si>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</si>
  <si>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</si>
  <si>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</si>
  <si>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</si>
  <si>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</si>
  <si>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</si>
  <si>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</si>
  <si>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</si>
  <si>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</si>
  <si>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</si>
  <si>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</si>
  <si>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</si>
  <si>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</si>
  <si>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</si>
  <si>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</si>
  <si>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</si>
  <si>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</si>
  <si>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</si>
  <si>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</si>
  <si>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</si>
  <si>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</si>
  <si>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</si>
  <si>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</si>
  <si>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</si>
  <si>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</si>
  <si>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</si>
  <si>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</si>
  <si>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</si>
  <si>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</si>
  <si>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</si>
  <si>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</si>
  <si>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</si>
  <si>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</si>
  <si>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</si>
  <si>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</si>
  <si>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</si>
  <si>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</si>
  <si>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</si>
  <si>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</si>
  <si>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</si>
  <si>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</si>
  <si>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</si>
  <si>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</si>
  <si>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</si>
  <si>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</si>
  <si>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</si>
  <si>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</si>
  <si>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</si>
  <si>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</si>
  <si>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</si>
  <si>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</si>
  <si>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</si>
  <si>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</si>
  <si>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</si>
  <si>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</si>
  <si>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</si>
  <si>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</si>
  <si>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</si>
  <si>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</si>
  <si>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</si>
  <si>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</si>
  <si>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</si>
  <si>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</si>
  <si>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</si>
  <si>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</si>
  <si>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</si>
  <si>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</si>
  <si>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</si>
  <si>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</si>
  <si>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</si>
  <si>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</si>
  <si>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</si>
  <si>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</si>
  <si>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</si>
  <si>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</si>
  <si>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</si>
  <si>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</si>
  <si>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</si>
  <si>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</si>
  <si>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</si>
  <si>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</si>
  <si>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</si>
  <si>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</si>
  <si>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</si>
  <si>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</si>
  <si>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</si>
  <si>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</si>
  <si>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</si>
  <si>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</si>
  <si>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</si>
  <si>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</si>
  <si>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</si>
  <si>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</si>
  <si>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</si>
  <si>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</si>
  <si>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</si>
  <si>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</si>
  <si>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</si>
  <si>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</si>
  <si>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</si>
  <si>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</si>
  <si>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</si>
  <si>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</si>
  <si>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</si>
  <si>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</si>
  <si>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</si>
  <si>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</si>
  <si>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</si>
  <si>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</si>
  <si>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</si>
  <si>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</si>
  <si>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</si>
  <si>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</si>
  <si>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</si>
  <si>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</si>
  <si>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</si>
  <si>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</si>
  <si>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</si>
  <si>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</si>
  <si>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</si>
  <si>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</si>
  <si>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</si>
  <si>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</si>
  <si>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</si>
  <si>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</si>
  <si>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</si>
  <si>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</si>
  <si>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</si>
  <si>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</si>
  <si>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</si>
  <si>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</si>
  <si>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</si>
  <si>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</si>
  <si>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</si>
  <si>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</si>
  <si>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</si>
  <si>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</si>
  <si>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</si>
  <si>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</si>
  <si>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</si>
  <si>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</si>
  <si>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</si>
  <si>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</si>
  <si>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</si>
  <si>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</si>
  <si>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</si>
  <si>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</si>
  <si>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</si>
  <si>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</si>
  <si>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</si>
  <si>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</si>
  <si>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</si>
  <si>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</si>
  <si>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</si>
  <si>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</si>
  <si>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</si>
  <si>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</si>
  <si>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</si>
  <si>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</si>
  <si>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</si>
  <si>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</si>
  <si>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</si>
  <si>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</si>
  <si>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</si>
  <si>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</si>
  <si>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</si>
  <si>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</si>
  <si>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</si>
  <si>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</si>
  <si>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</si>
  <si>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</si>
  <si>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</si>
  <si>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</si>
  <si>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</si>
  <si>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</si>
  <si>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</si>
  <si>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</si>
  <si>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</si>
  <si>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</si>
  <si>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</si>
  <si>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</si>
  <si>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</si>
  <si>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</si>
  <si>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</si>
  <si>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</si>
  <si>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</si>
  <si>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</si>
  <si>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</si>
  <si>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</si>
  <si>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</si>
  <si>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</si>
  <si>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</si>
  <si>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</si>
  <si>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</si>
  <si>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</si>
  <si>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</si>
  <si>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</si>
  <si>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</si>
  <si>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</si>
  <si>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</si>
  <si>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</si>
  <si>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</si>
  <si>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</si>
  <si>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</si>
  <si>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</si>
  <si>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</si>
  <si>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</si>
  <si>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</si>
  <si>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</si>
  <si>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</si>
  <si>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</si>
  <si>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</si>
  <si>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</si>
  <si>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</si>
  <si>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</si>
  <si>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</si>
  <si>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</si>
  <si>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</si>
  <si>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</si>
  <si>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</si>
  <si>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</si>
  <si>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</si>
  <si>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</si>
  <si>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</si>
  <si>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</si>
  <si>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</si>
  <si>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</si>
  <si>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</si>
  <si>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</si>
  <si>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</si>
  <si>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</si>
  <si>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</si>
  <si>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</si>
  <si>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</si>
  <si>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</si>
  <si>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</si>
  <si>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</si>
  <si>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</si>
  <si>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</si>
  <si>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</si>
  <si>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</si>
  <si>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</si>
  <si>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</si>
  <si>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</si>
  <si>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</si>
  <si>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</si>
  <si>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</si>
  <si>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</si>
  <si>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</si>
  <si>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</si>
  <si>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</si>
  <si>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</si>
  <si>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</si>
  <si>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</si>
  <si>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</si>
  <si>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</si>
  <si>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</si>
  <si>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</si>
  <si>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</si>
  <si>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</si>
  <si>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</si>
  <si>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</si>
  <si>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</si>
  <si>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</si>
  <si>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</si>
  <si>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</si>
  <si>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</si>
  <si>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</si>
  <si>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</si>
  <si>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</si>
  <si>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</si>
  <si>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</si>
  <si>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</si>
  <si>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</si>
  <si>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</si>
  <si>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</si>
  <si>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</si>
  <si>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</si>
  <si>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</si>
  <si>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</si>
  <si>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</si>
  <si>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</si>
  <si>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</si>
  <si>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</si>
  <si>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</si>
  <si>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</si>
  <si>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</si>
  <si>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</si>
  <si>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</si>
  <si>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</si>
  <si>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</si>
  <si>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</si>
  <si>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</si>
  <si>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</si>
  <si>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</si>
  <si>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</si>
  <si>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</si>
  <si>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</si>
  <si>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</si>
  <si>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</si>
  <si>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</si>
  <si>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</si>
  <si>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</si>
  <si>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</si>
  <si>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</si>
  <si>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</si>
  <si>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</si>
  <si>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</si>
  <si>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</si>
  <si>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</si>
  <si>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</si>
  <si>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</si>
  <si>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</si>
  <si>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</si>
  <si>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</si>
  <si>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</si>
  <si>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</si>
  <si>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</si>
  <si>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</si>
  <si>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</si>
  <si>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</si>
  <si>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</si>
  <si>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</si>
  <si>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</si>
  <si>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</si>
  <si>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</si>
  <si>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</si>
  <si>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</si>
  <si>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</si>
  <si>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</si>
  <si>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</si>
  <si>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</si>
  <si>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</si>
  <si>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</si>
  <si>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</si>
  <si>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</si>
  <si>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</si>
  <si>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</si>
  <si>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</si>
  <si>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</si>
  <si>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</si>
  <si>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</si>
  <si>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</si>
  <si>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</si>
  <si>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</si>
  <si>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</si>
  <si>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</si>
  <si>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</si>
  <si>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</si>
  <si>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</si>
  <si>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</si>
  <si>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</si>
  <si>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</si>
  <si>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</si>
  <si>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</si>
  <si>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</si>
  <si>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</si>
  <si>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</si>
  <si>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</si>
  <si>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</si>
  <si>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</si>
  <si>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</si>
  <si>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</si>
  <si>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</si>
  <si>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</si>
  <si>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</si>
  <si>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</si>
  <si>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</si>
  <si>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</si>
  <si>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</si>
  <si>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</si>
  <si>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</si>
  <si>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</si>
  <si>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</si>
  <si>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</si>
  <si>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</si>
  <si>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</si>
  <si>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</si>
  <si>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</si>
  <si>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</si>
  <si>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</si>
  <si>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</si>
  <si>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</si>
  <si>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</si>
  <si>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</si>
  <si>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</si>
  <si>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</si>
  <si>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</si>
  <si>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</si>
  <si>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</si>
  <si>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</si>
  <si>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</si>
  <si>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</si>
  <si>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</si>
  <si>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</si>
  <si>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</si>
  <si>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</si>
  <si>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</si>
  <si>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</si>
  <si>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</si>
  <si>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</si>
  <si>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</si>
  <si>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</si>
  <si>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</si>
  <si>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</si>
  <si>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</si>
  <si>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</si>
  <si>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</si>
  <si>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</si>
  <si>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</si>
  <si>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</si>
  <si>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</si>
  <si>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</si>
  <si>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</si>
  <si>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</si>
  <si>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</si>
  <si>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</si>
  <si>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</si>
  <si>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</si>
  <si>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</si>
  <si>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</si>
  <si>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</si>
  <si>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</si>
  <si>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</si>
  <si>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</si>
  <si>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</si>
  <si>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</si>
  <si>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</si>
  <si>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</si>
  <si>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</si>
  <si>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</si>
  <si>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</si>
  <si>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</si>
  <si>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</si>
  <si>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</si>
  <si>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</si>
  <si>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</si>
  <si>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</si>
  <si>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</si>
  <si>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</si>
  <si>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</si>
  <si>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</si>
  <si>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</si>
  <si>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</si>
  <si>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</si>
  <si>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</si>
  <si>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</si>
  <si>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</si>
  <si>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</si>
  <si>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</si>
  <si>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</si>
  <si>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</si>
  <si>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</si>
  <si>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</si>
  <si>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</si>
  <si>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</si>
  <si>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</si>
  <si>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</si>
  <si>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</si>
  <si>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</si>
  <si>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</si>
  <si>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</si>
  <si>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</si>
  <si>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</si>
  <si>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</si>
  <si>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</si>
  <si>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</si>
  <si>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</si>
  <si>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</si>
  <si>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</si>
  <si>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</si>
  <si>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</si>
  <si>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</si>
  <si>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</si>
  <si>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</si>
  <si>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</si>
  <si>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</si>
  <si>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</si>
  <si>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</si>
  <si>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</si>
  <si>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</si>
  <si>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</si>
  <si>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</si>
  <si>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</si>
  <si>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</si>
  <si>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</si>
  <si>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</si>
  <si>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</si>
  <si>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</si>
  <si>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</si>
  <si>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</si>
  <si>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</si>
  <si>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</si>
  <si>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</si>
  <si>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</si>
  <si>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</si>
  <si>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</si>
  <si>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</si>
  <si>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</si>
  <si>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</si>
  <si>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</si>
  <si>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</si>
  <si>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</si>
  <si>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</si>
  <si>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</si>
  <si>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</si>
  <si>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</si>
  <si>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</si>
  <si>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</si>
  <si>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</si>
  <si>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</si>
  <si>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</si>
  <si>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</si>
  <si>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</si>
  <si>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</si>
  <si>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</si>
  <si>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</si>
  <si>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</si>
  <si>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</si>
  <si>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</si>
  <si>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</si>
  <si>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</si>
  <si>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</si>
  <si>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</si>
  <si>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</si>
  <si>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</si>
  <si>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</si>
  <si>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</si>
  <si>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</si>
  <si>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</si>
  <si>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</si>
  <si>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</si>
  <si>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</si>
  <si>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</si>
  <si>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</si>
  <si>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</si>
  <si>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</si>
  <si>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</si>
  <si>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</si>
  <si>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</si>
  <si>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</si>
  <si>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</si>
  <si>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</si>
  <si>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</si>
  <si>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</si>
  <si>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</si>
  <si>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</si>
  <si>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</si>
  <si>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</si>
  <si>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</si>
  <si>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</si>
  <si>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</si>
  <si>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</si>
  <si>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</si>
  <si>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</si>
  <si>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</si>
  <si>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</si>
  <si>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</si>
  <si>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</si>
  <si>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</si>
  <si>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</si>
  <si>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</si>
  <si>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</si>
  <si>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</si>
  <si>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</si>
  <si>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</si>
  <si>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</si>
  <si>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</si>
  <si>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</si>
  <si>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</si>
  <si>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</si>
  <si>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</si>
  <si>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</si>
  <si>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</si>
  <si>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</si>
  <si>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</si>
  <si>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</si>
  <si>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</si>
  <si>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</si>
  <si>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</si>
  <si>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</si>
  <si>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</si>
  <si>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</si>
  <si>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</si>
  <si>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</si>
  <si>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</si>
  <si>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</si>
  <si>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</si>
  <si>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</si>
  <si>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</si>
  <si>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</si>
  <si>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</si>
  <si>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</si>
  <si>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</si>
  <si>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</si>
  <si>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</si>
  <si>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</si>
  <si>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</si>
  <si>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</si>
  <si>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</si>
  <si>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</si>
  <si>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</si>
  <si>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</si>
  <si>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</si>
  <si>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</si>
  <si>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</si>
  <si>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</si>
  <si>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</si>
  <si>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</si>
  <si>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</si>
  <si>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</si>
  <si>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</si>
  <si>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</si>
  <si>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</si>
  <si>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</si>
  <si>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</si>
  <si>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</si>
  <si>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</si>
  <si>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</si>
  <si>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</si>
  <si>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</si>
  <si>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</si>
  <si>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</si>
  <si>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</si>
  <si>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</si>
  <si>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</si>
  <si>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</si>
  <si>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</si>
  <si>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</si>
  <si>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</si>
  <si>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</si>
  <si>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</si>
  <si>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</si>
  <si>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</si>
  <si>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</si>
  <si>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</si>
  <si>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</si>
  <si>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</si>
  <si>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</si>
  <si>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</si>
  <si>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</si>
  <si>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</si>
  <si>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</si>
  <si>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</si>
  <si>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</si>
  <si>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</si>
  <si>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</si>
  <si>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</si>
  <si>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</si>
  <si>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</si>
  <si>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</si>
  <si>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</si>
  <si>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</si>
  <si>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</si>
  <si>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</si>
  <si>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</si>
  <si>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</si>
  <si>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</si>
  <si>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</si>
  <si>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</si>
  <si>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</si>
  <si>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</si>
  <si>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</si>
  <si>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</si>
  <si>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</si>
  <si>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</si>
  <si>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</si>
  <si>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</si>
  <si>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</si>
  <si>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</si>
  <si>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</si>
  <si>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</si>
  <si>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</si>
  <si>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</si>
  <si>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</si>
  <si>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</si>
  <si>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</si>
  <si>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</si>
  <si>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</si>
  <si>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</si>
  <si>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</si>
  <si>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</si>
  <si>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</si>
  <si>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</si>
  <si>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</si>
  <si>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</si>
  <si>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</si>
  <si>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</si>
  <si>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</si>
  <si>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</si>
  <si>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</si>
  <si>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</si>
  <si>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</si>
  <si>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</si>
  <si>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</si>
  <si>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</si>
  <si>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</si>
  <si>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</si>
  <si>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</si>
  <si>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</si>
  <si>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</si>
  <si>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</si>
  <si>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</si>
  <si>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</si>
  <si>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</si>
  <si>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</si>
  <si>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</si>
  <si>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</si>
  <si>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</si>
  <si>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</si>
  <si>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</si>
  <si>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</si>
  <si>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</si>
  <si>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</si>
  <si>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</si>
  <si>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</si>
  <si>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</si>
  <si>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</si>
  <si>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</si>
  <si>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</si>
  <si>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</si>
  <si>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</si>
  <si>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</si>
  <si>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</si>
  <si>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</si>
  <si>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</si>
  <si>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</si>
  <si>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</si>
  <si>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</si>
  <si>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</si>
  <si>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</si>
  <si>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</si>
  <si>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</si>
  <si>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</si>
  <si>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</si>
  <si>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</si>
  <si>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</si>
  <si>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</si>
  <si>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</si>
  <si>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</si>
  <si>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</si>
  <si>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</si>
  <si>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</si>
  <si>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</si>
  <si>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</si>
  <si>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</si>
  <si>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</si>
  <si>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</si>
  <si>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</si>
  <si>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</si>
  <si>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</si>
  <si>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</si>
  <si>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</si>
  <si>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</si>
  <si>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</si>
  <si>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</si>
  <si>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</si>
  <si>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</si>
  <si>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</si>
  <si>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</si>
  <si>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</si>
  <si>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</si>
  <si>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</si>
  <si>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</si>
  <si>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</si>
  <si>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</si>
  <si>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</si>
  <si>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</si>
  <si>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</si>
  <si>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</si>
  <si>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</si>
  <si>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</si>
  <si>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</si>
  <si>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</si>
  <si>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</si>
  <si>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</si>
  <si>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</si>
  <si>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</si>
  <si>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</si>
  <si>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</si>
  <si>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</si>
  <si>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</si>
  <si>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</si>
  <si>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</si>
  <si>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</si>
  <si>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</si>
  <si>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</si>
  <si>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</si>
  <si>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</si>
  <si>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</si>
  <si>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</si>
  <si>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</si>
  <si>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</si>
  <si>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</si>
  <si>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</si>
  <si>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</si>
  <si>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</si>
  <si>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</si>
  <si>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</si>
  <si>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</si>
  <si>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</si>
  <si>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</si>
  <si>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</si>
  <si>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</si>
  <si>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</si>
  <si>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</si>
  <si>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</si>
  <si>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</si>
  <si>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</si>
  <si>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</si>
  <si>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</si>
  <si>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</si>
  <si>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</si>
  <si>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</si>
  <si>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</si>
  <si>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</si>
  <si>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</si>
  <si>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</si>
  <si>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</si>
  <si>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</si>
  <si>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</si>
  <si>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</si>
  <si>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</si>
  <si>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</si>
  <si>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</si>
  <si>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</si>
  <si>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</si>
  <si>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</si>
  <si>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</si>
  <si>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</si>
  <si>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</si>
  <si>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</si>
  <si>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</si>
  <si>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</si>
  <si>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</si>
  <si>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</si>
  <si>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</si>
  <si>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</si>
  <si>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</si>
  <si>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</si>
  <si>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</si>
  <si>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</si>
  <si>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</si>
  <si>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</si>
  <si>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</si>
  <si>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</si>
  <si>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</si>
  <si>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</si>
  <si>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</si>
  <si>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</si>
  <si>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</si>
  <si>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</si>
  <si>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</si>
  <si>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</si>
  <si>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</si>
  <si>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</si>
  <si>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</si>
  <si>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</si>
  <si>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</si>
  <si>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</si>
  <si>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</si>
  <si>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</si>
  <si>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</si>
  <si>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</si>
  <si>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</si>
  <si>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</si>
  <si>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</si>
  <si>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</si>
  <si>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</si>
  <si>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</si>
  <si>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</si>
  <si>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</si>
  <si>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</si>
  <si>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</si>
  <si>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</si>
  <si>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</si>
  <si>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</si>
  <si>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</si>
  <si>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</si>
  <si>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</si>
  <si>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</si>
  <si>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</si>
  <si>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</si>
  <si>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</si>
  <si>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</si>
  <si>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</si>
  <si>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</si>
  <si>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</si>
  <si>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</si>
  <si>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</si>
  <si>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</si>
  <si>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</si>
  <si>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</si>
  <si>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</si>
  <si>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</si>
  <si>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</si>
  <si>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</si>
  <si>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</si>
  <si>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</si>
  <si>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</si>
  <si>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</si>
  <si>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</si>
  <si>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</si>
  <si>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</si>
  <si>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</si>
  <si>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</si>
  <si>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</si>
  <si>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</si>
  <si>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</si>
  <si>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</si>
  <si>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</si>
  <si>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</si>
  <si>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</si>
  <si>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</si>
  <si>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Reliability Params</t>
  </si>
  <si>
    <t>Availability 2012</t>
  </si>
  <si>
    <t>Availability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</si>
</sst>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1" fillId="0" borderId="0"/>
    <xf numFmtId="0" fontId="11" fillId="0" borderId="0"/>
    <xf numFmtId="0" fontId="11" fillId="0" borderId="0"/>
    <xf numFmtId="0" fontId="4" fillId="0" borderId="0"/>
    <xf numFmtId="0" fontId="11" fillId="0" borderId="0"/>
    <xf numFmtId="164" fontId="1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0" fontId="11" fillId="0" borderId="0"/>
    <xf numFmtId="0" fontId="4" fillId="0" borderId="0"/>
    <xf numFmtId="0" fontId="25"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7" fillId="0" borderId="0"/>
    <xf numFmtId="43" fontId="27" fillId="0" borderId="0" applyFont="0" applyFill="0" applyBorder="0" applyAlignment="0" applyProtection="0"/>
    <xf numFmtId="164" fontId="3" fillId="0" borderId="0" applyFont="0" applyFill="0" applyBorder="0" applyAlignment="0" applyProtection="0"/>
    <xf numFmtId="9" fontId="27" fillId="0" borderId="0" applyFont="0" applyFill="0" applyBorder="0" applyAlignment="0" applyProtection="0"/>
    <xf numFmtId="0" fontId="29" fillId="5" borderId="0" applyNumberFormat="0" applyBorder="0" applyAlignment="0" applyProtection="0"/>
    <xf numFmtId="0" fontId="31" fillId="0" borderId="0" applyNumberFormat="0" applyFill="0" applyBorder="0" applyAlignment="0" applyProtection="0"/>
    <xf numFmtId="0" fontId="32" fillId="6" borderId="13" applyNumberFormat="0" applyAlignment="0" applyProtection="0"/>
    <xf numFmtId="0" fontId="33" fillId="7" borderId="0" applyNumberFormat="0" applyBorder="0" applyAlignment="0" applyProtection="0"/>
    <xf numFmtId="0" fontId="34" fillId="8" borderId="0" applyNumberFormat="0" applyBorder="0" applyAlignment="0" applyProtection="0"/>
    <xf numFmtId="173" fontId="11" fillId="0" borderId="0"/>
    <xf numFmtId="0" fontId="37" fillId="0" borderId="0"/>
    <xf numFmtId="0" fontId="41" fillId="0" borderId="0"/>
    <xf numFmtId="0" fontId="2" fillId="0" borderId="0"/>
    <xf numFmtId="0" fontId="56" fillId="0" borderId="0"/>
    <xf numFmtId="0" fontId="2" fillId="0" borderId="0"/>
    <xf numFmtId="9" fontId="2" fillId="0" borderId="0" applyFont="0" applyFill="0" applyBorder="0" applyAlignment="0" applyProtection="0"/>
    <xf numFmtId="0" fontId="2" fillId="0" borderId="0"/>
    <xf numFmtId="164" fontId="66" fillId="0" borderId="0" applyFont="0" applyFill="0" applyBorder="0" applyAlignment="0" applyProtection="0"/>
    <xf numFmtId="0" fontId="67" fillId="0" borderId="0" applyNumberForma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2" fillId="0" borderId="0"/>
    <xf numFmtId="0" fontId="26" fillId="4" borderId="13" applyNumberFormat="0" applyAlignment="0" applyProtection="0"/>
    <xf numFmtId="0" fontId="32" fillId="6" borderId="13" applyNumberFormat="0" applyAlignment="0" applyProtection="0"/>
    <xf numFmtId="0" fontId="25" fillId="0" borderId="0" applyNumberFormat="0" applyFill="0" applyBorder="0" applyAlignment="0" applyProtection="0">
      <alignment vertical="top"/>
      <protection locked="0"/>
    </xf>
    <xf numFmtId="0" fontId="73" fillId="0" borderId="43" applyNumberFormat="0" applyFill="0" applyAlignment="0" applyProtection="0"/>
  </cellStyleXfs>
  <cellXfs count="380">
    <xf numFmtId="0" fontId="0" fillId="0" borderId="0" xfId="0"/>
    <xf numFmtId="0" fontId="5"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7" fillId="0" borderId="0" xfId="0" applyFont="1"/>
    <xf numFmtId="0" fontId="8" fillId="0" borderId="0" xfId="0" applyFont="1"/>
    <xf numFmtId="0" fontId="9" fillId="0" borderId="0" xfId="0" applyFont="1"/>
    <xf numFmtId="0" fontId="6" fillId="0" borderId="0" xfId="0" applyFont="1"/>
    <xf numFmtId="0" fontId="7" fillId="0" borderId="0" xfId="0" applyFont="1" applyAlignment="1">
      <alignment horizontal="center" wrapText="1"/>
    </xf>
    <xf numFmtId="0" fontId="6" fillId="0" borderId="0" xfId="0" applyFont="1" applyFill="1"/>
    <xf numFmtId="0" fontId="5" fillId="0" borderId="0" xfId="1" applyFont="1"/>
    <xf numFmtId="0" fontId="11" fillId="0" borderId="0" xfId="1"/>
    <xf numFmtId="0" fontId="8" fillId="0" borderId="0" xfId="1" applyFont="1"/>
    <xf numFmtId="0" fontId="14" fillId="0" borderId="0" xfId="1" applyFont="1" applyFill="1"/>
    <xf numFmtId="0" fontId="7" fillId="0" borderId="0" xfId="1" applyFont="1"/>
    <xf numFmtId="0" fontId="8" fillId="0" borderId="0" xfId="0" applyFont="1" applyFill="1"/>
    <xf numFmtId="0" fontId="15" fillId="0" borderId="0" xfId="0" applyFont="1" applyFill="1"/>
    <xf numFmtId="0" fontId="15" fillId="0" borderId="0" xfId="0" applyFont="1"/>
    <xf numFmtId="0" fontId="16" fillId="0" borderId="0" xfId="0" applyFont="1" applyFill="1"/>
    <xf numFmtId="0" fontId="17" fillId="0" borderId="0" xfId="0" applyFont="1" applyFill="1"/>
    <xf numFmtId="0" fontId="14" fillId="0" borderId="0" xfId="1" applyFont="1"/>
    <xf numFmtId="0" fontId="9" fillId="0" borderId="0" xfId="1" applyFont="1"/>
    <xf numFmtId="0" fontId="16" fillId="0" borderId="0" xfId="1" applyFont="1" applyFill="1"/>
    <xf numFmtId="0" fontId="8" fillId="0" borderId="0" xfId="1" applyFont="1" applyFill="1"/>
    <xf numFmtId="0" fontId="17" fillId="0" borderId="0" xfId="1" applyFont="1" applyFill="1"/>
    <xf numFmtId="49" fontId="16" fillId="0" borderId="0" xfId="0" applyNumberFormat="1" applyFont="1" applyFill="1" applyAlignment="1">
      <alignment horizontal="left"/>
    </xf>
    <xf numFmtId="0" fontId="18" fillId="0" borderId="0" xfId="1" applyFont="1" applyFill="1"/>
    <xf numFmtId="0" fontId="12" fillId="0" borderId="0" xfId="1" applyFont="1" applyFill="1" applyAlignment="1">
      <alignment horizontal="center"/>
    </xf>
    <xf numFmtId="0" fontId="8" fillId="0" borderId="0" xfId="1" applyFont="1" applyFill="1" applyAlignment="1">
      <alignment horizontal="center"/>
    </xf>
    <xf numFmtId="0" fontId="7" fillId="0" borderId="0" xfId="1" applyFont="1" applyFill="1"/>
    <xf numFmtId="0" fontId="11" fillId="0" borderId="0" xfId="1" applyFill="1"/>
    <xf numFmtId="0" fontId="5" fillId="0" borderId="0" xfId="1" applyFont="1" applyFill="1"/>
    <xf numFmtId="0" fontId="0" fillId="0" borderId="0" xfId="0" applyFill="1"/>
    <xf numFmtId="0" fontId="8" fillId="0" borderId="0" xfId="1" applyFont="1" applyFill="1" applyAlignment="1">
      <alignment horizontal="center" wrapText="1"/>
    </xf>
    <xf numFmtId="0" fontId="14" fillId="0" borderId="0" xfId="0" applyFont="1" applyFill="1"/>
    <xf numFmtId="0" fontId="17" fillId="3" borderId="0" xfId="0" applyFont="1" applyFill="1"/>
    <xf numFmtId="0" fontId="17" fillId="3" borderId="0" xfId="1" applyFont="1" applyFill="1"/>
    <xf numFmtId="0" fontId="14" fillId="0" borderId="0" xfId="0" applyFont="1"/>
    <xf numFmtId="0" fontId="8" fillId="0" borderId="0" xfId="0" applyFont="1" applyAlignment="1">
      <alignment horizontal="center"/>
    </xf>
    <xf numFmtId="0" fontId="16" fillId="0" borderId="0" xfId="0" applyFont="1" applyFill="1" applyAlignment="1">
      <alignment horizontal="center"/>
    </xf>
    <xf numFmtId="0" fontId="21" fillId="0" borderId="0" xfId="3" applyFont="1"/>
    <xf numFmtId="0" fontId="11" fillId="0" borderId="0" xfId="3"/>
    <xf numFmtId="0" fontId="8" fillId="0" borderId="0" xfId="2" applyFont="1"/>
    <xf numFmtId="0" fontId="24" fillId="0" borderId="0" xfId="2" applyFont="1"/>
    <xf numFmtId="0" fontId="8" fillId="0" borderId="0" xfId="3" applyFont="1"/>
    <xf numFmtId="0" fontId="24" fillId="0" borderId="0" xfId="3" applyFont="1"/>
    <xf numFmtId="0" fontId="24" fillId="0" borderId="0" xfId="1" applyFont="1"/>
    <xf numFmtId="0" fontId="22" fillId="0" borderId="0" xfId="1" applyFont="1"/>
    <xf numFmtId="0" fontId="8" fillId="0" borderId="0" xfId="2" applyFont="1" applyAlignment="1">
      <alignment horizontal="right"/>
    </xf>
    <xf numFmtId="0" fontId="8" fillId="0" borderId="0" xfId="2" applyFont="1" applyAlignment="1">
      <alignment horizontal="center"/>
    </xf>
    <xf numFmtId="168" fontId="8" fillId="0" borderId="0" xfId="2" applyNumberFormat="1" applyFont="1"/>
    <xf numFmtId="2" fontId="8" fillId="0" borderId="0" xfId="2" applyNumberFormat="1" applyFont="1"/>
    <xf numFmtId="167" fontId="8" fillId="0" borderId="0" xfId="2" applyNumberFormat="1" applyFont="1"/>
    <xf numFmtId="166" fontId="8" fillId="0" borderId="0" xfId="2" applyNumberFormat="1" applyFont="1"/>
    <xf numFmtId="0" fontId="31" fillId="0" borderId="0" xfId="19"/>
    <xf numFmtId="0" fontId="8" fillId="0" borderId="0" xfId="2" applyFont="1" applyAlignment="1">
      <alignment horizontal="left"/>
    </xf>
    <xf numFmtId="0" fontId="32" fillId="6" borderId="13" xfId="20"/>
    <xf numFmtId="0" fontId="11" fillId="0" borderId="0" xfId="2"/>
    <xf numFmtId="0" fontId="17" fillId="0" borderId="0" xfId="1" applyFont="1"/>
    <xf numFmtId="0" fontId="16" fillId="0" borderId="0" xfId="1" applyFont="1"/>
    <xf numFmtId="0" fontId="17" fillId="0" borderId="0" xfId="2" applyFont="1"/>
    <xf numFmtId="0" fontId="16" fillId="0" borderId="0" xfId="2" applyFont="1"/>
    <xf numFmtId="0" fontId="17" fillId="0" borderId="0" xfId="23" applyNumberFormat="1" applyFont="1"/>
    <xf numFmtId="0" fontId="7" fillId="0" borderId="0" xfId="2" applyFont="1"/>
    <xf numFmtId="0" fontId="23" fillId="0" borderId="0" xfId="1" applyFont="1"/>
    <xf numFmtId="1" fontId="8" fillId="0" borderId="0" xfId="2" applyNumberFormat="1" applyFont="1"/>
    <xf numFmtId="0" fontId="34" fillId="8" borderId="0" xfId="22"/>
    <xf numFmtId="2" fontId="8" fillId="0" borderId="0" xfId="2" applyNumberFormat="1" applyFont="1" applyAlignment="1">
      <alignment horizontal="center"/>
    </xf>
    <xf numFmtId="2" fontId="34" fillId="8" borderId="0" xfId="22" applyNumberFormat="1" applyAlignment="1">
      <alignment horizontal="center"/>
    </xf>
    <xf numFmtId="167" fontId="8" fillId="0" borderId="0" xfId="2" applyNumberFormat="1" applyFont="1" applyAlignment="1">
      <alignment horizontal="center"/>
    </xf>
    <xf numFmtId="166" fontId="8" fillId="0" borderId="0" xfId="2" applyNumberFormat="1" applyFont="1" applyAlignment="1">
      <alignment horizontal="center"/>
    </xf>
    <xf numFmtId="0" fontId="17" fillId="0" borderId="0" xfId="2" applyFont="1" applyAlignment="1">
      <alignment horizontal="center"/>
    </xf>
    <xf numFmtId="0" fontId="7" fillId="0" borderId="0" xfId="2" applyFont="1" applyAlignment="1">
      <alignment horizontal="center" wrapText="1"/>
    </xf>
    <xf numFmtId="0" fontId="18" fillId="0" borderId="0" xfId="2" applyFont="1"/>
    <xf numFmtId="0" fontId="17" fillId="0" borderId="0" xfId="2" applyFont="1" applyAlignment="1">
      <alignment wrapText="1"/>
    </xf>
    <xf numFmtId="0" fontId="16" fillId="0" borderId="0" xfId="2" applyFont="1" applyAlignment="1">
      <alignment horizontal="center"/>
    </xf>
    <xf numFmtId="0" fontId="8" fillId="0" borderId="0" xfId="2" applyFont="1" applyAlignment="1">
      <alignment wrapText="1"/>
    </xf>
    <xf numFmtId="3" fontId="8" fillId="0" borderId="0" xfId="2" applyNumberFormat="1" applyFont="1"/>
    <xf numFmtId="1" fontId="8" fillId="0" borderId="0" xfId="2" applyNumberFormat="1" applyFont="1" applyAlignment="1">
      <alignment horizontal="center"/>
    </xf>
    <xf numFmtId="2" fontId="29" fillId="5" borderId="0" xfId="18" applyNumberFormat="1" applyAlignment="1">
      <alignment horizontal="center"/>
    </xf>
    <xf numFmtId="166" fontId="33" fillId="7" borderId="0" xfId="21" applyNumberFormat="1" applyAlignment="1">
      <alignment horizontal="center"/>
    </xf>
    <xf numFmtId="4" fontId="8" fillId="0" borderId="0" xfId="2" applyNumberFormat="1" applyFont="1"/>
    <xf numFmtId="9" fontId="8" fillId="0" borderId="0" xfId="2" applyNumberFormat="1" applyFont="1" applyAlignment="1">
      <alignment horizontal="center"/>
    </xf>
    <xf numFmtId="2" fontId="11" fillId="0" borderId="0" xfId="2" applyNumberFormat="1"/>
    <xf numFmtId="10" fontId="8" fillId="0" borderId="0" xfId="2" applyNumberFormat="1" applyFont="1" applyAlignment="1">
      <alignment horizontal="center"/>
    </xf>
    <xf numFmtId="0" fontId="37" fillId="0" borderId="0" xfId="24"/>
    <xf numFmtId="0" fontId="38" fillId="0" borderId="0" xfId="24" applyFont="1"/>
    <xf numFmtId="0" fontId="39" fillId="0" borderId="0" xfId="24" applyFont="1"/>
    <xf numFmtId="0" fontId="40" fillId="0" borderId="0" xfId="24" applyFont="1"/>
    <xf numFmtId="9" fontId="37" fillId="0" borderId="0" xfId="24" applyNumberFormat="1"/>
    <xf numFmtId="2" fontId="37" fillId="0" borderId="0" xfId="24" applyNumberFormat="1"/>
    <xf numFmtId="165" fontId="37" fillId="0" borderId="0" xfId="24" applyNumberFormat="1"/>
    <xf numFmtId="165" fontId="29" fillId="5" borderId="0" xfId="18" applyNumberFormat="1"/>
    <xf numFmtId="167" fontId="37" fillId="0" borderId="0" xfId="24" applyNumberFormat="1"/>
    <xf numFmtId="0" fontId="41" fillId="0" borderId="0" xfId="25" applyAlignment="1">
      <alignment horizontal="left" vertical="top"/>
    </xf>
    <xf numFmtId="171" fontId="0" fillId="0" borderId="0" xfId="8" applyNumberFormat="1" applyFont="1"/>
    <xf numFmtId="9" fontId="41" fillId="0" borderId="0" xfId="8" applyFont="1" applyAlignment="1">
      <alignment horizontal="left" vertical="top"/>
    </xf>
    <xf numFmtId="10" fontId="8" fillId="0" borderId="15" xfId="8" applyNumberFormat="1" applyFont="1" applyBorder="1" applyAlignment="1">
      <alignment horizontal="right" vertical="top" wrapText="1"/>
    </xf>
    <xf numFmtId="0" fontId="8" fillId="9" borderId="15" xfId="25" applyFont="1" applyFill="1" applyBorder="1" applyAlignment="1">
      <alignment horizontal="left" vertical="top" wrapText="1"/>
    </xf>
    <xf numFmtId="0" fontId="8" fillId="9" borderId="15" xfId="25" applyFont="1" applyFill="1" applyBorder="1" applyAlignment="1">
      <alignment horizontal="right" vertical="top" wrapText="1"/>
    </xf>
    <xf numFmtId="174" fontId="18" fillId="9" borderId="15" xfId="25" applyNumberFormat="1" applyFont="1" applyFill="1" applyBorder="1" applyAlignment="1">
      <alignment horizontal="center" vertical="top" wrapText="1"/>
    </xf>
    <xf numFmtId="1" fontId="18" fillId="9" borderId="15" xfId="25" applyNumberFormat="1" applyFont="1" applyFill="1" applyBorder="1" applyAlignment="1">
      <alignment horizontal="center" vertical="top" wrapText="1"/>
    </xf>
    <xf numFmtId="172" fontId="0" fillId="0" borderId="0" xfId="8" applyNumberFormat="1" applyFont="1"/>
    <xf numFmtId="10" fontId="32" fillId="6" borderId="13" xfId="20" applyNumberFormat="1"/>
    <xf numFmtId="171" fontId="5" fillId="0" borderId="0" xfId="8" applyNumberFormat="1" applyFont="1"/>
    <xf numFmtId="171" fontId="32" fillId="6" borderId="13" xfId="20" applyNumberFormat="1"/>
    <xf numFmtId="0" fontId="41" fillId="0" borderId="0" xfId="25" applyAlignment="1">
      <alignment horizontal="right" vertical="top"/>
    </xf>
    <xf numFmtId="10" fontId="41" fillId="0" borderId="0" xfId="25" applyNumberFormat="1" applyAlignment="1">
      <alignment horizontal="left" vertical="top"/>
    </xf>
    <xf numFmtId="0" fontId="8" fillId="9" borderId="0" xfId="25" applyFont="1" applyFill="1" applyAlignment="1">
      <alignment horizontal="left" vertical="top" wrapText="1"/>
    </xf>
    <xf numFmtId="1" fontId="11" fillId="0" borderId="0" xfId="2" applyNumberFormat="1"/>
    <xf numFmtId="171" fontId="41" fillId="0" borderId="0" xfId="8" applyNumberFormat="1" applyFont="1" applyAlignment="1">
      <alignment horizontal="left" vertical="top"/>
    </xf>
    <xf numFmtId="0" fontId="41" fillId="9" borderId="0" xfId="25" applyFill="1" applyAlignment="1">
      <alignment horizontal="left" vertical="top" wrapText="1"/>
    </xf>
    <xf numFmtId="0" fontId="41" fillId="9" borderId="15" xfId="25" applyFill="1" applyBorder="1" applyAlignment="1">
      <alignment horizontal="left" vertical="top" wrapText="1"/>
    </xf>
    <xf numFmtId="0" fontId="41" fillId="9" borderId="18" xfId="25" applyFill="1" applyBorder="1" applyAlignment="1">
      <alignment horizontal="left" vertical="top" wrapText="1"/>
    </xf>
    <xf numFmtId="0" fontId="8" fillId="0" borderId="15" xfId="25" applyFont="1" applyBorder="1" applyAlignment="1">
      <alignment horizontal="right" vertical="top" wrapText="1"/>
    </xf>
    <xf numFmtId="1" fontId="18" fillId="9" borderId="15" xfId="25" applyNumberFormat="1" applyFont="1" applyFill="1" applyBorder="1" applyAlignment="1">
      <alignment horizontal="right" vertical="top" wrapText="1"/>
    </xf>
    <xf numFmtId="166" fontId="11" fillId="0" borderId="0" xfId="2" applyNumberFormat="1"/>
    <xf numFmtId="165" fontId="41" fillId="0" borderId="0" xfId="25" applyNumberFormat="1" applyAlignment="1">
      <alignment horizontal="left" vertical="top"/>
    </xf>
    <xf numFmtId="170" fontId="41" fillId="0" borderId="0" xfId="7" applyNumberFormat="1" applyFont="1" applyAlignment="1">
      <alignment horizontal="left" vertical="top"/>
    </xf>
    <xf numFmtId="170" fontId="8" fillId="0" borderId="0" xfId="7" applyNumberFormat="1" applyFont="1" applyAlignment="1">
      <alignment horizontal="right" vertical="top" wrapText="1"/>
    </xf>
    <xf numFmtId="170" fontId="8" fillId="0" borderId="15" xfId="7" applyNumberFormat="1" applyFont="1" applyBorder="1" applyAlignment="1">
      <alignment horizontal="right" vertical="top" wrapText="1"/>
    </xf>
    <xf numFmtId="170" fontId="41" fillId="0" borderId="0" xfId="7" applyNumberFormat="1" applyFont="1" applyAlignment="1">
      <alignment horizontal="right" vertical="top" wrapText="1"/>
    </xf>
    <xf numFmtId="170" fontId="41" fillId="0" borderId="15" xfId="7" applyNumberFormat="1" applyFont="1" applyBorder="1" applyAlignment="1">
      <alignment horizontal="left" vertical="top" wrapText="1"/>
    </xf>
    <xf numFmtId="170" fontId="41" fillId="0" borderId="0" xfId="7" applyNumberFormat="1" applyFont="1" applyAlignment="1">
      <alignment horizontal="left" vertical="top" wrapText="1"/>
    </xf>
    <xf numFmtId="170" fontId="18" fillId="0" borderId="0" xfId="7" applyNumberFormat="1" applyFont="1" applyAlignment="1">
      <alignment horizontal="right" vertical="top" wrapText="1"/>
    </xf>
    <xf numFmtId="170" fontId="18" fillId="0" borderId="15" xfId="7" applyNumberFormat="1" applyFont="1" applyBorder="1" applyAlignment="1">
      <alignment horizontal="right" vertical="top" wrapText="1"/>
    </xf>
    <xf numFmtId="170" fontId="29" fillId="5" borderId="0" xfId="18" applyNumberFormat="1" applyAlignment="1">
      <alignment horizontal="left" vertical="top"/>
    </xf>
    <xf numFmtId="0" fontId="7" fillId="9" borderId="0" xfId="25" applyFont="1" applyFill="1" applyAlignment="1">
      <alignment horizontal="left" vertical="top" wrapText="1" indent="1"/>
    </xf>
    <xf numFmtId="0" fontId="7" fillId="9" borderId="15" xfId="25" applyFont="1" applyFill="1" applyBorder="1" applyAlignment="1">
      <alignment horizontal="left" vertical="top" wrapText="1" indent="1"/>
    </xf>
    <xf numFmtId="0" fontId="32" fillId="6" borderId="13" xfId="20" applyAlignment="1">
      <alignment horizontal="center" vertical="top"/>
    </xf>
    <xf numFmtId="0" fontId="7" fillId="9" borderId="0" xfId="25" applyFont="1" applyFill="1" applyAlignment="1">
      <alignment horizontal="left" wrapText="1"/>
    </xf>
    <xf numFmtId="0" fontId="41" fillId="9" borderId="19" xfId="25" applyFill="1" applyBorder="1" applyAlignment="1">
      <alignment horizontal="left" vertical="top" wrapText="1"/>
    </xf>
    <xf numFmtId="0" fontId="45" fillId="0" borderId="0" xfId="25" applyFont="1" applyAlignment="1">
      <alignment horizontal="left" vertical="top"/>
    </xf>
    <xf numFmtId="2" fontId="41" fillId="0" borderId="0" xfId="25" applyNumberFormat="1" applyAlignment="1">
      <alignment horizontal="right" vertical="top"/>
    </xf>
    <xf numFmtId="0" fontId="46" fillId="0" borderId="15" xfId="25" applyFont="1" applyBorder="1" applyAlignment="1">
      <alignment horizontal="right" vertical="top" wrapText="1"/>
    </xf>
    <xf numFmtId="0" fontId="30" fillId="0" borderId="15" xfId="25" applyFont="1" applyBorder="1" applyAlignment="1">
      <alignment horizontal="right" vertical="top" wrapText="1"/>
    </xf>
    <xf numFmtId="0" fontId="47" fillId="9" borderId="15" xfId="25" applyFont="1" applyFill="1" applyBorder="1" applyAlignment="1">
      <alignment horizontal="left" vertical="top" wrapText="1"/>
    </xf>
    <xf numFmtId="0" fontId="47" fillId="9" borderId="15" xfId="25" applyFont="1" applyFill="1" applyBorder="1" applyAlignment="1">
      <alignment horizontal="center" vertical="top" wrapText="1"/>
    </xf>
    <xf numFmtId="174" fontId="48" fillId="0" borderId="15" xfId="25" applyNumberFormat="1" applyFont="1" applyBorder="1" applyAlignment="1">
      <alignment horizontal="center" vertical="top" wrapText="1"/>
    </xf>
    <xf numFmtId="174" fontId="48" fillId="0" borderId="15" xfId="25" applyNumberFormat="1" applyFont="1" applyBorder="1" applyAlignment="1">
      <alignment horizontal="left" vertical="top" wrapText="1" indent="1"/>
    </xf>
    <xf numFmtId="1" fontId="48" fillId="0" borderId="15" xfId="25" applyNumberFormat="1" applyFont="1" applyBorder="1" applyAlignment="1">
      <alignment horizontal="center" vertical="top" wrapText="1"/>
    </xf>
    <xf numFmtId="0" fontId="47" fillId="0" borderId="15" xfId="25" applyFont="1" applyBorder="1" applyAlignment="1">
      <alignment horizontal="left" vertical="top" wrapText="1"/>
    </xf>
    <xf numFmtId="0" fontId="47" fillId="9" borderId="15" xfId="25" applyFont="1" applyFill="1" applyBorder="1" applyAlignment="1">
      <alignment horizontal="center" vertical="center" wrapText="1"/>
    </xf>
    <xf numFmtId="174" fontId="48" fillId="0" borderId="15" xfId="25" applyNumberFormat="1" applyFont="1" applyBorder="1" applyAlignment="1">
      <alignment horizontal="center" vertical="center" wrapText="1"/>
    </xf>
    <xf numFmtId="174" fontId="48" fillId="0" borderId="15" xfId="25" applyNumberFormat="1" applyFont="1" applyBorder="1" applyAlignment="1">
      <alignment horizontal="left" vertical="center" wrapText="1" indent="1"/>
    </xf>
    <xf numFmtId="1" fontId="48" fillId="0" borderId="15" xfId="25" applyNumberFormat="1" applyFont="1" applyBorder="1" applyAlignment="1">
      <alignment horizontal="center" vertical="center" wrapText="1"/>
    </xf>
    <xf numFmtId="0" fontId="47" fillId="0" borderId="15" xfId="25" applyFont="1" applyBorder="1" applyAlignment="1">
      <alignment horizontal="left" vertical="center" wrapText="1"/>
    </xf>
    <xf numFmtId="0" fontId="49" fillId="0" borderId="15" xfId="25" applyFont="1" applyBorder="1" applyAlignment="1">
      <alignment horizontal="right" vertical="top" wrapText="1"/>
    </xf>
    <xf numFmtId="0" fontId="50" fillId="9" borderId="15" xfId="25" applyFont="1" applyFill="1" applyBorder="1" applyAlignment="1">
      <alignment horizontal="left" vertical="top" wrapText="1" indent="1"/>
    </xf>
    <xf numFmtId="0" fontId="50" fillId="9" borderId="17" xfId="25" applyFont="1" applyFill="1" applyBorder="1" applyAlignment="1">
      <alignment horizontal="left" vertical="top" wrapText="1" indent="1"/>
    </xf>
    <xf numFmtId="0" fontId="50" fillId="9" borderId="18" xfId="25" applyFont="1" applyFill="1" applyBorder="1" applyAlignment="1">
      <alignment horizontal="left" vertical="center" wrapText="1"/>
    </xf>
    <xf numFmtId="0" fontId="50" fillId="9" borderId="16" xfId="25" applyFont="1" applyFill="1" applyBorder="1" applyAlignment="1">
      <alignment horizontal="left" vertical="center" wrapText="1"/>
    </xf>
    <xf numFmtId="0" fontId="50" fillId="9" borderId="17" xfId="25" applyFont="1" applyFill="1" applyBorder="1" applyAlignment="1">
      <alignment horizontal="left" vertical="center" wrapText="1"/>
    </xf>
    <xf numFmtId="0" fontId="50" fillId="9" borderId="15" xfId="25" applyFont="1" applyFill="1" applyBorder="1" applyAlignment="1">
      <alignment horizontal="left" vertical="center" wrapText="1"/>
    </xf>
    <xf numFmtId="0" fontId="50" fillId="9" borderId="15" xfId="25" applyFont="1" applyFill="1" applyBorder="1" applyAlignment="1">
      <alignment horizontal="center" vertical="center" wrapText="1"/>
    </xf>
    <xf numFmtId="0" fontId="50" fillId="9" borderId="15" xfId="25" applyFont="1" applyFill="1" applyBorder="1" applyAlignment="1">
      <alignment horizontal="center" vertical="top" wrapText="1"/>
    </xf>
    <xf numFmtId="0" fontId="50" fillId="9" borderId="15" xfId="25" applyFont="1" applyFill="1" applyBorder="1" applyAlignment="1">
      <alignment horizontal="left" vertical="center" wrapText="1" indent="1"/>
    </xf>
    <xf numFmtId="0" fontId="41" fillId="0" borderId="0" xfId="25" applyAlignment="1">
      <alignment horizontal="left" vertical="top" wrapText="1" indent="1"/>
    </xf>
    <xf numFmtId="0" fontId="41" fillId="0" borderId="0" xfId="25" applyAlignment="1">
      <alignment horizontal="left" vertical="top" indent="1"/>
    </xf>
    <xf numFmtId="0" fontId="47" fillId="0" borderId="0" xfId="25" applyFont="1" applyAlignment="1">
      <alignment horizontal="left" vertical="top" wrapText="1" indent="1"/>
    </xf>
    <xf numFmtId="0" fontId="47" fillId="0" borderId="0" xfId="25" applyFont="1" applyAlignment="1">
      <alignment horizontal="left" vertical="top" indent="1"/>
    </xf>
    <xf numFmtId="166" fontId="41" fillId="0" borderId="0" xfId="25" applyNumberFormat="1" applyAlignment="1">
      <alignment horizontal="right" vertical="top"/>
    </xf>
    <xf numFmtId="0" fontId="51" fillId="0" borderId="0" xfId="25" applyFont="1" applyAlignment="1">
      <alignment horizontal="left" vertical="top" wrapText="1" indent="1"/>
    </xf>
    <xf numFmtId="170" fontId="47" fillId="0" borderId="15" xfId="7" applyNumberFormat="1" applyFont="1" applyBorder="1" applyAlignment="1">
      <alignment horizontal="right" vertical="top" wrapText="1"/>
    </xf>
    <xf numFmtId="170" fontId="47" fillId="0" borderId="17" xfId="7" applyNumberFormat="1" applyFont="1" applyBorder="1" applyAlignment="1">
      <alignment horizontal="right" vertical="top" wrapText="1"/>
    </xf>
    <xf numFmtId="171" fontId="32" fillId="6" borderId="13" xfId="20" applyNumberFormat="1" applyAlignment="1">
      <alignment horizontal="right" vertical="top"/>
    </xf>
    <xf numFmtId="170" fontId="41" fillId="0" borderId="17" xfId="7" applyNumberFormat="1" applyFont="1" applyBorder="1" applyAlignment="1">
      <alignment horizontal="left" vertical="top" wrapText="1"/>
    </xf>
    <xf numFmtId="170" fontId="47" fillId="0" borderId="15" xfId="7" applyNumberFormat="1" applyFont="1" applyBorder="1" applyAlignment="1">
      <alignment horizontal="right" vertical="center" wrapText="1"/>
    </xf>
    <xf numFmtId="170" fontId="47" fillId="0" borderId="17" xfId="7" applyNumberFormat="1" applyFont="1" applyBorder="1" applyAlignment="1">
      <alignment horizontal="right" vertical="center" wrapText="1"/>
    </xf>
    <xf numFmtId="170" fontId="52" fillId="0" borderId="15" xfId="7" applyNumberFormat="1" applyFont="1" applyBorder="1" applyAlignment="1">
      <alignment horizontal="right" vertical="top" wrapText="1"/>
    </xf>
    <xf numFmtId="170" fontId="52" fillId="0" borderId="17" xfId="7" applyNumberFormat="1" applyFont="1" applyBorder="1" applyAlignment="1">
      <alignment horizontal="right" vertical="top" wrapText="1"/>
    </xf>
    <xf numFmtId="0" fontId="30" fillId="0" borderId="21" xfId="25" applyFont="1" applyBorder="1" applyAlignment="1">
      <alignment horizontal="left" vertical="top" wrapText="1" indent="14"/>
    </xf>
    <xf numFmtId="0" fontId="31" fillId="0" borderId="0" xfId="19" applyAlignment="1">
      <alignment horizontal="left" vertical="top"/>
    </xf>
    <xf numFmtId="170" fontId="11" fillId="0" borderId="0" xfId="2" applyNumberFormat="1"/>
    <xf numFmtId="170" fontId="0" fillId="0" borderId="0" xfId="7" applyNumberFormat="1" applyFont="1"/>
    <xf numFmtId="15" fontId="11" fillId="0" borderId="0" xfId="2" applyNumberFormat="1"/>
    <xf numFmtId="0" fontId="2" fillId="0" borderId="0" xfId="26"/>
    <xf numFmtId="4" fontId="2" fillId="0" borderId="0" xfId="26" applyNumberFormat="1"/>
    <xf numFmtId="4" fontId="53" fillId="0" borderId="26" xfId="26" quotePrefix="1" applyNumberFormat="1" applyFont="1" applyBorder="1" applyAlignment="1">
      <alignment horizontal="right" wrapText="1"/>
    </xf>
    <xf numFmtId="4" fontId="53" fillId="0" borderId="27" xfId="26" quotePrefix="1" applyNumberFormat="1" applyFont="1" applyBorder="1" applyAlignment="1">
      <alignment horizontal="right" wrapText="1"/>
    </xf>
    <xf numFmtId="0" fontId="53" fillId="0" borderId="27" xfId="26" quotePrefix="1" applyFont="1" applyBorder="1" applyAlignment="1">
      <alignment horizontal="right" wrapText="1"/>
    </xf>
    <xf numFmtId="0" fontId="2" fillId="3" borderId="28" xfId="26" applyFill="1" applyBorder="1"/>
    <xf numFmtId="0" fontId="53" fillId="0" borderId="26" xfId="26" quotePrefix="1" applyFont="1" applyBorder="1" applyAlignment="1">
      <alignment horizontal="left" wrapText="1"/>
    </xf>
    <xf numFmtId="0" fontId="53" fillId="0" borderId="27" xfId="26" quotePrefix="1" applyFont="1" applyBorder="1" applyAlignment="1">
      <alignment horizontal="left" wrapText="1"/>
    </xf>
    <xf numFmtId="4" fontId="53" fillId="0" borderId="29" xfId="26" quotePrefix="1" applyNumberFormat="1" applyFont="1" applyBorder="1" applyAlignment="1">
      <alignment horizontal="right" wrapText="1"/>
    </xf>
    <xf numFmtId="4" fontId="53" fillId="0" borderId="30" xfId="26" quotePrefix="1" applyNumberFormat="1" applyFont="1" applyBorder="1" applyAlignment="1">
      <alignment horizontal="right" wrapText="1"/>
    </xf>
    <xf numFmtId="0" fontId="53" fillId="0" borderId="30" xfId="26" quotePrefix="1" applyFont="1" applyBorder="1" applyAlignment="1">
      <alignment horizontal="right" wrapText="1"/>
    </xf>
    <xf numFmtId="0" fontId="2" fillId="3" borderId="9" xfId="26" applyFill="1" applyBorder="1"/>
    <xf numFmtId="0" fontId="53" fillId="0" borderId="29" xfId="26" quotePrefix="1" applyFont="1" applyBorder="1" applyAlignment="1">
      <alignment horizontal="left" wrapText="1"/>
    </xf>
    <xf numFmtId="0" fontId="53" fillId="0" borderId="30" xfId="26" quotePrefix="1" applyFont="1" applyBorder="1" applyAlignment="1">
      <alignment horizontal="left" wrapText="1"/>
    </xf>
    <xf numFmtId="175" fontId="53" fillId="0" borderId="30" xfId="26" quotePrefix="1" applyNumberFormat="1" applyFont="1" applyBorder="1" applyAlignment="1">
      <alignment horizontal="left" wrapText="1"/>
    </xf>
    <xf numFmtId="0" fontId="53" fillId="0" borderId="31" xfId="26" quotePrefix="1" applyFont="1" applyBorder="1" applyAlignment="1">
      <alignment horizontal="left" wrapText="1"/>
    </xf>
    <xf numFmtId="4" fontId="53" fillId="0" borderId="32" xfId="26" quotePrefix="1" applyNumberFormat="1" applyFont="1" applyBorder="1" applyAlignment="1">
      <alignment horizontal="right" wrapText="1"/>
    </xf>
    <xf numFmtId="0" fontId="53" fillId="0" borderId="33" xfId="26" quotePrefix="1" applyFont="1" applyBorder="1" applyAlignment="1">
      <alignment horizontal="right" wrapText="1"/>
    </xf>
    <xf numFmtId="0" fontId="2" fillId="3" borderId="34" xfId="26" applyFill="1" applyBorder="1"/>
    <xf numFmtId="0" fontId="53" fillId="0" borderId="32" xfId="26" quotePrefix="1" applyFont="1" applyBorder="1" applyAlignment="1">
      <alignment horizontal="left" wrapText="1"/>
    </xf>
    <xf numFmtId="0" fontId="53" fillId="0" borderId="33" xfId="26" quotePrefix="1" applyFont="1" applyBorder="1" applyAlignment="1">
      <alignment horizontal="left" wrapText="1"/>
    </xf>
    <xf numFmtId="166" fontId="54" fillId="10" borderId="14" xfId="26" applyNumberFormat="1" applyFont="1" applyFill="1" applyBorder="1" applyAlignment="1">
      <alignment wrapText="1"/>
    </xf>
    <xf numFmtId="0" fontId="55" fillId="10" borderId="14" xfId="26" applyFont="1" applyFill="1" applyBorder="1" applyAlignment="1">
      <alignment wrapText="1"/>
    </xf>
    <xf numFmtId="0" fontId="20" fillId="3" borderId="35" xfId="26" applyFont="1" applyFill="1" applyBorder="1"/>
    <xf numFmtId="0" fontId="55" fillId="10" borderId="14" xfId="26" applyFont="1" applyFill="1" applyBorder="1"/>
    <xf numFmtId="0" fontId="56" fillId="0" borderId="0" xfId="27"/>
    <xf numFmtId="3" fontId="57" fillId="0" borderId="0" xfId="27" applyNumberFormat="1" applyFont="1"/>
    <xf numFmtId="9" fontId="56" fillId="0" borderId="0" xfId="8" applyFont="1"/>
    <xf numFmtId="9" fontId="57" fillId="0" borderId="0" xfId="27" applyNumberFormat="1" applyFont="1"/>
    <xf numFmtId="0" fontId="57" fillId="0" borderId="0" xfId="27" applyFont="1"/>
    <xf numFmtId="10" fontId="57" fillId="0" borderId="0" xfId="27" applyNumberFormat="1" applyFont="1"/>
    <xf numFmtId="171" fontId="57" fillId="0" borderId="0" xfId="27" applyNumberFormat="1" applyFont="1"/>
    <xf numFmtId="4" fontId="58" fillId="0" borderId="20" xfId="27" applyNumberFormat="1" applyFont="1" applyBorder="1" applyAlignment="1">
      <alignment horizontal="right"/>
    </xf>
    <xf numFmtId="0" fontId="58" fillId="0" borderId="20" xfId="27" applyFont="1" applyBorder="1" applyAlignment="1">
      <alignment horizontal="right"/>
    </xf>
    <xf numFmtId="0" fontId="59" fillId="11" borderId="20" xfId="27" applyFont="1" applyFill="1" applyBorder="1"/>
    <xf numFmtId="0" fontId="58" fillId="11" borderId="20" xfId="27" applyFont="1" applyFill="1" applyBorder="1" applyAlignment="1">
      <alignment horizontal="left"/>
    </xf>
    <xf numFmtId="0" fontId="58" fillId="0" borderId="20" xfId="27" applyFont="1" applyBorder="1" applyAlignment="1">
      <alignment horizontal="left"/>
    </xf>
    <xf numFmtId="0" fontId="58" fillId="0" borderId="19" xfId="27" applyFont="1" applyBorder="1" applyAlignment="1">
      <alignment horizontal="left"/>
    </xf>
    <xf numFmtId="0" fontId="58" fillId="12" borderId="20" xfId="27" applyFont="1" applyFill="1" applyBorder="1" applyAlignment="1">
      <alignment horizontal="left"/>
    </xf>
    <xf numFmtId="0" fontId="58" fillId="12" borderId="19" xfId="27" applyFont="1" applyFill="1" applyBorder="1" applyAlignment="1">
      <alignment horizontal="left"/>
    </xf>
    <xf numFmtId="4" fontId="59" fillId="0" borderId="20" xfId="27" applyNumberFormat="1" applyFont="1" applyBorder="1" applyAlignment="1">
      <alignment horizontal="right"/>
    </xf>
    <xf numFmtId="0" fontId="59" fillId="0" borderId="20" xfId="27" applyFont="1" applyBorder="1" applyAlignment="1">
      <alignment horizontal="right"/>
    </xf>
    <xf numFmtId="4" fontId="29" fillId="5" borderId="20" xfId="18" applyNumberFormat="1" applyBorder="1" applyAlignment="1">
      <alignment horizontal="right"/>
    </xf>
    <xf numFmtId="0" fontId="59" fillId="0" borderId="20" xfId="27" applyFont="1" applyBorder="1"/>
    <xf numFmtId="0" fontId="59" fillId="0" borderId="19" xfId="27" applyFont="1" applyBorder="1"/>
    <xf numFmtId="0" fontId="60" fillId="13" borderId="18" xfId="27" applyFont="1" applyFill="1" applyBorder="1"/>
    <xf numFmtId="0" fontId="61" fillId="11" borderId="18" xfId="27" applyFont="1" applyFill="1" applyBorder="1"/>
    <xf numFmtId="0" fontId="60" fillId="11" borderId="18" xfId="27" applyFont="1" applyFill="1" applyBorder="1"/>
    <xf numFmtId="0" fontId="60" fillId="13" borderId="15" xfId="27" applyFont="1" applyFill="1" applyBorder="1"/>
    <xf numFmtId="9" fontId="0" fillId="0" borderId="0" xfId="8" applyFont="1"/>
    <xf numFmtId="3" fontId="11" fillId="0" borderId="0" xfId="2" applyNumberFormat="1"/>
    <xf numFmtId="3" fontId="34" fillId="8" borderId="0" xfId="22" applyNumberFormat="1"/>
    <xf numFmtId="0" fontId="62" fillId="0" borderId="36" xfId="2" applyFont="1" applyBorder="1" applyAlignment="1">
      <alignment horizontal="left" vertical="center" wrapText="1"/>
    </xf>
    <xf numFmtId="3" fontId="29" fillId="5" borderId="0" xfId="18" applyNumberFormat="1"/>
    <xf numFmtId="0" fontId="60" fillId="13" borderId="20" xfId="27" applyFont="1" applyFill="1" applyBorder="1"/>
    <xf numFmtId="0" fontId="62" fillId="0" borderId="0" xfId="2" applyFont="1" applyAlignment="1">
      <alignment horizontal="left" vertical="center" wrapText="1"/>
    </xf>
    <xf numFmtId="4" fontId="62" fillId="0" borderId="37" xfId="2" applyNumberFormat="1" applyFont="1" applyBorder="1" applyAlignment="1">
      <alignment horizontal="right" vertical="center" wrapText="1"/>
    </xf>
    <xf numFmtId="0" fontId="62" fillId="0" borderId="37" xfId="2" applyFont="1" applyBorder="1" applyAlignment="1">
      <alignment horizontal="center" vertical="center" wrapText="1"/>
    </xf>
    <xf numFmtId="4" fontId="62" fillId="0" borderId="37" xfId="2" applyNumberFormat="1" applyFont="1" applyBorder="1" applyAlignment="1">
      <alignment horizontal="left" vertical="center" wrapText="1"/>
    </xf>
    <xf numFmtId="4" fontId="62" fillId="0" borderId="37" xfId="2" applyNumberFormat="1" applyFont="1" applyBorder="1" applyAlignment="1">
      <alignment horizontal="center" vertical="center" wrapText="1"/>
    </xf>
    <xf numFmtId="0" fontId="62" fillId="0" borderId="37" xfId="2" applyFont="1" applyBorder="1" applyAlignment="1">
      <alignment horizontal="left" vertical="center" wrapText="1"/>
    </xf>
    <xf numFmtId="2" fontId="62" fillId="0" borderId="37" xfId="2" applyNumberFormat="1" applyFont="1" applyBorder="1" applyAlignment="1">
      <alignment horizontal="left" vertical="center" wrapText="1"/>
    </xf>
    <xf numFmtId="0" fontId="63" fillId="14" borderId="38" xfId="2" applyFont="1" applyFill="1" applyBorder="1" applyAlignment="1">
      <alignment horizontal="left" vertical="center" wrapText="1"/>
    </xf>
    <xf numFmtId="0" fontId="63" fillId="14" borderId="39" xfId="2" applyFont="1" applyFill="1" applyBorder="1" applyAlignment="1">
      <alignment horizontal="left" vertical="center" wrapText="1"/>
    </xf>
    <xf numFmtId="0" fontId="63" fillId="14" borderId="40" xfId="2" applyFont="1" applyFill="1" applyBorder="1" applyAlignment="1">
      <alignment horizontal="left" vertical="center" wrapText="1"/>
    </xf>
    <xf numFmtId="0" fontId="5" fillId="0" borderId="0" xfId="2" applyFont="1"/>
    <xf numFmtId="0" fontId="2" fillId="0" borderId="0" xfId="28"/>
    <xf numFmtId="2" fontId="2" fillId="0" borderId="0" xfId="28" applyNumberFormat="1"/>
    <xf numFmtId="170" fontId="2" fillId="0" borderId="0" xfId="7" applyNumberFormat="1" applyFont="1"/>
    <xf numFmtId="9" fontId="2" fillId="0" borderId="0" xfId="28" applyNumberFormat="1"/>
    <xf numFmtId="3" fontId="2" fillId="0" borderId="0" xfId="28" applyNumberFormat="1"/>
    <xf numFmtId="2" fontId="64" fillId="0" borderId="0" xfId="28" applyNumberFormat="1" applyFont="1" applyAlignment="1">
      <alignment wrapText="1"/>
    </xf>
    <xf numFmtId="2" fontId="65" fillId="0" borderId="9" xfId="28" applyNumberFormat="1" applyFont="1" applyBorder="1" applyAlignment="1">
      <alignment horizontal="center"/>
    </xf>
    <xf numFmtId="0" fontId="2" fillId="0" borderId="9" xfId="28" applyBorder="1" applyAlignment="1">
      <alignment horizontal="center"/>
    </xf>
    <xf numFmtId="165" fontId="65" fillId="0" borderId="9" xfId="28" applyNumberFormat="1" applyFont="1" applyBorder="1" applyAlignment="1">
      <alignment horizontal="center"/>
    </xf>
    <xf numFmtId="0" fontId="65" fillId="0" borderId="9" xfId="28" applyFont="1" applyBorder="1" applyAlignment="1">
      <alignment horizontal="center"/>
    </xf>
    <xf numFmtId="0" fontId="2" fillId="0" borderId="9" xfId="28" applyBorder="1"/>
    <xf numFmtId="2" fontId="54" fillId="0" borderId="9" xfId="28" applyNumberFormat="1" applyFont="1" applyBorder="1" applyAlignment="1">
      <alignment wrapText="1"/>
    </xf>
    <xf numFmtId="1" fontId="65" fillId="0" borderId="9" xfId="28" applyNumberFormat="1" applyFont="1" applyBorder="1" applyAlignment="1">
      <alignment horizontal="center"/>
    </xf>
    <xf numFmtId="2" fontId="65" fillId="0" borderId="9" xfId="28" applyNumberFormat="1" applyFont="1" applyBorder="1"/>
    <xf numFmtId="2" fontId="65" fillId="0" borderId="0" xfId="28" applyNumberFormat="1" applyFont="1"/>
    <xf numFmtId="2" fontId="64" fillId="0" borderId="9" xfId="28" applyNumberFormat="1" applyFont="1" applyBorder="1" applyAlignment="1">
      <alignment wrapText="1"/>
    </xf>
    <xf numFmtId="2" fontId="65" fillId="0" borderId="11" xfId="28" applyNumberFormat="1" applyFont="1" applyBorder="1"/>
    <xf numFmtId="165" fontId="65" fillId="0" borderId="9" xfId="28" applyNumberFormat="1" applyFont="1" applyBorder="1"/>
    <xf numFmtId="165" fontId="65" fillId="0" borderId="11" xfId="28" applyNumberFormat="1" applyFont="1" applyBorder="1"/>
    <xf numFmtId="165" fontId="65" fillId="0" borderId="0" xfId="28" applyNumberFormat="1" applyFont="1"/>
    <xf numFmtId="1" fontId="65" fillId="0" borderId="9" xfId="28" applyNumberFormat="1" applyFont="1" applyBorder="1"/>
    <xf numFmtId="2" fontId="58" fillId="0" borderId="9" xfId="28" applyNumberFormat="1" applyFont="1" applyBorder="1" applyAlignment="1">
      <alignment wrapText="1"/>
    </xf>
    <xf numFmtId="2" fontId="2" fillId="15" borderId="9" xfId="28" applyNumberFormat="1" applyFill="1" applyBorder="1" applyAlignment="1">
      <alignment wrapText="1"/>
    </xf>
    <xf numFmtId="2" fontId="2" fillId="0" borderId="0" xfId="28" applyNumberFormat="1" applyAlignment="1">
      <alignment wrapText="1"/>
    </xf>
    <xf numFmtId="2" fontId="2" fillId="0" borderId="9" xfId="28" applyNumberFormat="1" applyBorder="1" applyAlignment="1">
      <alignment wrapText="1"/>
    </xf>
    <xf numFmtId="2" fontId="2" fillId="0" borderId="8" xfId="28" applyNumberFormat="1" applyBorder="1"/>
    <xf numFmtId="166" fontId="2" fillId="0" borderId="0" xfId="26" applyNumberFormat="1"/>
    <xf numFmtId="166" fontId="33" fillId="7" borderId="0" xfId="21" applyNumberFormat="1"/>
    <xf numFmtId="2" fontId="2" fillId="0" borderId="0" xfId="26" applyNumberFormat="1"/>
    <xf numFmtId="9" fontId="0" fillId="0" borderId="0" xfId="29" applyFont="1"/>
    <xf numFmtId="0" fontId="2" fillId="0" borderId="0" xfId="26" applyAlignment="1">
      <alignment wrapText="1"/>
    </xf>
    <xf numFmtId="0" fontId="20" fillId="0" borderId="0" xfId="26" applyFont="1"/>
    <xf numFmtId="0" fontId="66" fillId="0" borderId="0" xfId="30" applyFont="1"/>
    <xf numFmtId="0" fontId="2" fillId="0" borderId="0" xfId="30"/>
    <xf numFmtId="0" fontId="33" fillId="7" borderId="0" xfId="21"/>
    <xf numFmtId="0" fontId="2" fillId="0" borderId="0" xfId="26" quotePrefix="1"/>
    <xf numFmtId="165" fontId="2" fillId="0" borderId="0" xfId="26" applyNumberFormat="1"/>
    <xf numFmtId="171" fontId="0" fillId="0" borderId="0" xfId="29" applyNumberFormat="1" applyFont="1"/>
    <xf numFmtId="169" fontId="66" fillId="0" borderId="0" xfId="31" applyNumberFormat="1"/>
    <xf numFmtId="1" fontId="2" fillId="0" borderId="0" xfId="26" applyNumberFormat="1"/>
    <xf numFmtId="169" fontId="33" fillId="7" borderId="0" xfId="21" applyNumberFormat="1"/>
    <xf numFmtId="1" fontId="33" fillId="7" borderId="0" xfId="21" applyNumberFormat="1"/>
    <xf numFmtId="0" fontId="67" fillId="0" borderId="0" xfId="32"/>
    <xf numFmtId="9" fontId="2" fillId="0" borderId="0" xfId="26" applyNumberFormat="1"/>
    <xf numFmtId="170" fontId="2" fillId="0" borderId="0" xfId="26" applyNumberFormat="1"/>
    <xf numFmtId="170" fontId="33" fillId="7" borderId="0" xfId="21" applyNumberFormat="1"/>
    <xf numFmtId="165" fontId="33" fillId="7" borderId="0" xfId="21" applyNumberFormat="1"/>
    <xf numFmtId="169" fontId="2" fillId="0" borderId="0" xfId="26" applyNumberFormat="1"/>
    <xf numFmtId="170" fontId="0" fillId="0" borderId="0" xfId="33" applyNumberFormat="1" applyFont="1"/>
    <xf numFmtId="165" fontId="20" fillId="0" borderId="0" xfId="26" applyNumberFormat="1" applyFont="1"/>
    <xf numFmtId="2" fontId="20" fillId="0" borderId="0" xfId="26" applyNumberFormat="1" applyFont="1"/>
    <xf numFmtId="1" fontId="20" fillId="0" borderId="0" xfId="26" applyNumberFormat="1" applyFont="1"/>
    <xf numFmtId="166" fontId="20" fillId="0" borderId="0" xfId="26" applyNumberFormat="1" applyFont="1"/>
    <xf numFmtId="176" fontId="2" fillId="0" borderId="0" xfId="26" applyNumberFormat="1"/>
    <xf numFmtId="167" fontId="2" fillId="0" borderId="0" xfId="26" applyNumberFormat="1"/>
    <xf numFmtId="166" fontId="29" fillId="5" borderId="0" xfId="18" applyNumberFormat="1"/>
    <xf numFmtId="0" fontId="2" fillId="0" borderId="0" xfId="30" quotePrefix="1"/>
    <xf numFmtId="169" fontId="2" fillId="0" borderId="0" xfId="30" applyNumberFormat="1"/>
    <xf numFmtId="170" fontId="0" fillId="0" borderId="0" xfId="34" applyNumberFormat="1" applyFont="1"/>
    <xf numFmtId="3" fontId="2" fillId="0" borderId="0" xfId="30" applyNumberFormat="1"/>
    <xf numFmtId="0" fontId="28" fillId="0" borderId="0" xfId="30" applyFont="1"/>
    <xf numFmtId="0" fontId="68" fillId="0" borderId="0" xfId="30" applyFont="1"/>
    <xf numFmtId="166" fontId="2" fillId="0" borderId="0" xfId="30" applyNumberFormat="1"/>
    <xf numFmtId="4" fontId="28" fillId="0" borderId="0" xfId="30" applyNumberFormat="1" applyFont="1"/>
    <xf numFmtId="4" fontId="2" fillId="0" borderId="0" xfId="30" applyNumberFormat="1"/>
    <xf numFmtId="4" fontId="69" fillId="0" borderId="0" xfId="30" applyNumberFormat="1" applyFont="1"/>
    <xf numFmtId="0" fontId="20" fillId="0" borderId="0" xfId="30" applyFont="1"/>
    <xf numFmtId="0" fontId="70" fillId="0" borderId="0" xfId="30" applyFont="1"/>
    <xf numFmtId="9" fontId="70" fillId="0" borderId="0" xfId="29" applyFont="1"/>
    <xf numFmtId="2" fontId="2" fillId="0" borderId="0" xfId="30" applyNumberFormat="1"/>
    <xf numFmtId="2" fontId="20" fillId="0" borderId="0" xfId="30" applyNumberFormat="1" applyFont="1"/>
    <xf numFmtId="9" fontId="28" fillId="0" borderId="0" xfId="29" applyFont="1"/>
    <xf numFmtId="2" fontId="2" fillId="16" borderId="0" xfId="30" applyNumberFormat="1" applyFill="1"/>
    <xf numFmtId="165" fontId="2" fillId="0" borderId="0" xfId="30" applyNumberFormat="1"/>
    <xf numFmtId="167" fontId="2" fillId="0" borderId="0" xfId="30" applyNumberFormat="1"/>
    <xf numFmtId="0" fontId="2" fillId="0" borderId="0" xfId="30" applyAlignment="1">
      <alignment wrapText="1"/>
    </xf>
    <xf numFmtId="0" fontId="20" fillId="0" borderId="0" xfId="30" applyFont="1" applyAlignment="1">
      <alignment wrapText="1"/>
    </xf>
    <xf numFmtId="4" fontId="2" fillId="0" borderId="0" xfId="30" applyNumberFormat="1" applyAlignment="1">
      <alignment wrapText="1"/>
    </xf>
    <xf numFmtId="177" fontId="20" fillId="0" borderId="0" xfId="30" applyNumberFormat="1" applyFont="1" applyAlignment="1">
      <alignment wrapText="1"/>
    </xf>
    <xf numFmtId="10" fontId="2" fillId="0" borderId="0" xfId="30" applyNumberFormat="1"/>
    <xf numFmtId="0" fontId="11" fillId="17" borderId="41" xfId="3" applyFill="1" applyBorder="1"/>
    <xf numFmtId="4" fontId="71" fillId="0" borderId="42" xfId="35" applyNumberFormat="1" applyFont="1" applyBorder="1" applyAlignment="1">
      <alignment horizontal="right" vertical="center" wrapText="1"/>
    </xf>
    <xf numFmtId="49" fontId="71" fillId="0" borderId="42" xfId="35" applyNumberFormat="1" applyFont="1" applyBorder="1" applyAlignment="1">
      <alignment horizontal="left" vertical="center" wrapText="1"/>
    </xf>
    <xf numFmtId="0" fontId="72" fillId="18" borderId="42" xfId="35" applyFont="1" applyFill="1" applyBorder="1" applyAlignment="1">
      <alignment horizontal="center" vertical="center" wrapText="1"/>
    </xf>
    <xf numFmtId="0" fontId="71" fillId="0" borderId="0" xfId="3" applyFont="1" applyAlignment="1">
      <alignment horizontal="left" vertical="center"/>
    </xf>
    <xf numFmtId="4" fontId="71" fillId="0" borderId="0" xfId="3" applyNumberFormat="1" applyFont="1" applyAlignment="1">
      <alignment horizontal="left" vertical="center"/>
    </xf>
    <xf numFmtId="0" fontId="71" fillId="0" borderId="0" xfId="3" applyFont="1" applyAlignment="1">
      <alignment horizontal="left" vertical="center" wrapText="1"/>
    </xf>
    <xf numFmtId="178" fontId="71" fillId="0" borderId="0" xfId="3" applyNumberFormat="1" applyFont="1" applyAlignment="1">
      <alignment horizontal="left" vertical="center"/>
    </xf>
    <xf numFmtId="166" fontId="26" fillId="4" borderId="13" xfId="36" applyNumberFormat="1"/>
    <xf numFmtId="0" fontId="26" fillId="4" borderId="13" xfId="36"/>
    <xf numFmtId="0" fontId="32" fillId="3" borderId="13" xfId="37" applyFill="1"/>
    <xf numFmtId="0" fontId="32" fillId="19" borderId="13" xfId="37" applyFill="1"/>
    <xf numFmtId="0" fontId="25" fillId="0" borderId="0" xfId="38" applyAlignment="1" applyProtection="1"/>
    <xf numFmtId="4" fontId="29" fillId="5" borderId="11" xfId="18" applyNumberFormat="1" applyBorder="1" applyAlignment="1">
      <alignment horizontal="left" vertical="center"/>
    </xf>
    <xf numFmtId="4" fontId="71" fillId="20" borderId="11" xfId="3" applyNumberFormat="1" applyFont="1" applyFill="1" applyBorder="1" applyAlignment="1">
      <alignment horizontal="left" vertical="center"/>
    </xf>
    <xf numFmtId="4" fontId="71" fillId="20" borderId="10" xfId="3" applyNumberFormat="1" applyFont="1" applyFill="1" applyBorder="1" applyAlignment="1">
      <alignment horizontal="left" vertical="center"/>
    </xf>
    <xf numFmtId="0" fontId="71" fillId="20" borderId="12" xfId="3" applyFont="1" applyFill="1" applyBorder="1" applyAlignment="1">
      <alignment horizontal="left" vertical="center" wrapText="1"/>
    </xf>
    <xf numFmtId="4" fontId="29" fillId="5" borderId="0" xfId="18" applyNumberFormat="1" applyAlignment="1">
      <alignment horizontal="left" vertical="center"/>
    </xf>
    <xf numFmtId="0" fontId="71" fillId="0" borderId="13" xfId="37" applyFont="1" applyFill="1" applyAlignment="1">
      <alignment horizontal="center" vertical="center"/>
    </xf>
    <xf numFmtId="4" fontId="29" fillId="5" borderId="42" xfId="18" applyNumberFormat="1" applyBorder="1" applyAlignment="1">
      <alignment horizontal="right" vertical="center" wrapText="1"/>
    </xf>
    <xf numFmtId="0" fontId="29" fillId="5" borderId="42" xfId="18" applyBorder="1" applyAlignment="1">
      <alignment horizontal="center" vertical="center" wrapText="1"/>
    </xf>
    <xf numFmtId="0" fontId="22" fillId="0" borderId="0" xfId="2" applyFont="1"/>
    <xf numFmtId="4" fontId="29" fillId="5" borderId="30" xfId="18" quotePrefix="1" applyNumberFormat="1" applyBorder="1" applyAlignment="1">
      <alignment horizontal="right" wrapText="1"/>
    </xf>
    <xf numFmtId="0" fontId="1" fillId="0" borderId="0" xfId="26" applyFont="1"/>
    <xf numFmtId="3" fontId="2" fillId="0" borderId="0" xfId="26" applyNumberFormat="1"/>
    <xf numFmtId="2" fontId="56" fillId="0" borderId="0" xfId="27" applyNumberFormat="1"/>
    <xf numFmtId="165" fontId="56" fillId="0" borderId="0" xfId="27" applyNumberFormat="1"/>
    <xf numFmtId="43" fontId="11" fillId="0" borderId="0" xfId="2" applyNumberFormat="1"/>
    <xf numFmtId="0" fontId="11" fillId="0" borderId="0" xfId="0" applyFont="1"/>
    <xf numFmtId="0" fontId="73" fillId="0" borderId="43" xfId="39"/>
    <xf numFmtId="0" fontId="32" fillId="6" borderId="13" xfId="20" applyAlignment="1">
      <alignment horizontal="center"/>
    </xf>
    <xf numFmtId="167" fontId="11" fillId="0" borderId="0" xfId="2" applyNumberFormat="1"/>
    <xf numFmtId="2" fontId="22" fillId="0" borderId="0" xfId="2" applyNumberFormat="1" applyFont="1"/>
    <xf numFmtId="0" fontId="74" fillId="6" borderId="13" xfId="20" applyFont="1" applyAlignment="1">
      <alignment horizontal="center"/>
    </xf>
    <xf numFmtId="0" fontId="41" fillId="9" borderId="17" xfId="25" applyFill="1" applyBorder="1" applyAlignment="1">
      <alignment horizontal="left" vertical="top" wrapText="1"/>
    </xf>
    <xf numFmtId="0" fontId="41" fillId="9" borderId="16" xfId="25" applyFill="1" applyBorder="1" applyAlignment="1">
      <alignment horizontal="left" vertical="top" wrapText="1"/>
    </xf>
    <xf numFmtId="0" fontId="43" fillId="9" borderId="21" xfId="25" applyFont="1" applyFill="1" applyBorder="1" applyAlignment="1">
      <alignment horizontal="left" vertical="top" wrapText="1"/>
    </xf>
    <xf numFmtId="0" fontId="43" fillId="9" borderId="20" xfId="25" applyFont="1" applyFill="1" applyBorder="1" applyAlignment="1">
      <alignment horizontal="left" vertical="top" wrapText="1"/>
    </xf>
    <xf numFmtId="0" fontId="7" fillId="9" borderId="25" xfId="25" applyFont="1" applyFill="1" applyBorder="1" applyAlignment="1">
      <alignment horizontal="left" wrapText="1"/>
    </xf>
    <xf numFmtId="0" fontId="7" fillId="9" borderId="0" xfId="25" applyFont="1" applyFill="1" applyAlignment="1">
      <alignment horizontal="left" wrapText="1"/>
    </xf>
    <xf numFmtId="0" fontId="7" fillId="9" borderId="22" xfId="25" applyFont="1" applyFill="1" applyBorder="1" applyAlignment="1">
      <alignment horizontal="left" wrapText="1"/>
    </xf>
    <xf numFmtId="0" fontId="7" fillId="9" borderId="21" xfId="25" applyFont="1" applyFill="1" applyBorder="1" applyAlignment="1">
      <alignment horizontal="left" wrapText="1"/>
    </xf>
    <xf numFmtId="0" fontId="7" fillId="9" borderId="24" xfId="25" applyFont="1" applyFill="1" applyBorder="1" applyAlignment="1">
      <alignment horizontal="left" vertical="center" wrapText="1" indent="1"/>
    </xf>
    <xf numFmtId="0" fontId="7" fillId="9" borderId="20" xfId="25" applyFont="1" applyFill="1" applyBorder="1" applyAlignment="1">
      <alignment horizontal="left" vertical="center" wrapText="1" indent="1"/>
    </xf>
    <xf numFmtId="0" fontId="41" fillId="9" borderId="23" xfId="25" applyFill="1" applyBorder="1" applyAlignment="1">
      <alignment horizontal="center" vertical="top" wrapText="1"/>
    </xf>
    <xf numFmtId="0" fontId="41" fillId="9" borderId="19" xfId="25" applyFill="1" applyBorder="1" applyAlignment="1">
      <alignment horizontal="center" vertical="top" wrapText="1"/>
    </xf>
    <xf numFmtId="0" fontId="41" fillId="9" borderId="23" xfId="25" applyFill="1" applyBorder="1" applyAlignment="1">
      <alignment horizontal="left" vertical="top" wrapText="1"/>
    </xf>
    <xf numFmtId="0" fontId="41" fillId="9" borderId="19" xfId="25" applyFill="1" applyBorder="1" applyAlignment="1">
      <alignment horizontal="left" vertical="top" wrapText="1"/>
    </xf>
    <xf numFmtId="0" fontId="41" fillId="9" borderId="23" xfId="25" applyFill="1" applyBorder="1" applyAlignment="1">
      <alignment horizontal="left" vertical="top" wrapText="1" indent="1"/>
    </xf>
    <xf numFmtId="0" fontId="41" fillId="9" borderId="19" xfId="25" applyFill="1" applyBorder="1" applyAlignment="1">
      <alignment horizontal="left" vertical="top" wrapText="1" indent="1"/>
    </xf>
    <xf numFmtId="0" fontId="2" fillId="0" borderId="0" xfId="26" applyAlignment="1">
      <alignment horizontal="center"/>
    </xf>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1" Type="http://schemas.openxmlformats.org/officeDocument/2006/relationships/image" Target="../media/image73.png"/></Relationships>
</file>

<file path=xl/drawings/_rels/drawing14.xml.rels><?xml version="1.0" encoding="UTF-8" standalone="yes"?>
<Relationships xmlns="http://schemas.openxmlformats.org/package/2006/relationships"><Relationship Id="rId8" Type="http://schemas.openxmlformats.org/officeDocument/2006/relationships/image" Target="../media/image81.png"/><Relationship Id="rId3" Type="http://schemas.openxmlformats.org/officeDocument/2006/relationships/image" Target="../media/image76.emf"/><Relationship Id="rId7" Type="http://schemas.openxmlformats.org/officeDocument/2006/relationships/image" Target="../media/image80.png"/><Relationship Id="rId2" Type="http://schemas.openxmlformats.org/officeDocument/2006/relationships/image" Target="../media/image75.emf"/><Relationship Id="rId1" Type="http://schemas.openxmlformats.org/officeDocument/2006/relationships/image" Target="../media/image74.emf"/><Relationship Id="rId6" Type="http://schemas.openxmlformats.org/officeDocument/2006/relationships/image" Target="../media/image79.png"/><Relationship Id="rId5" Type="http://schemas.openxmlformats.org/officeDocument/2006/relationships/image" Target="../media/image78.emf"/><Relationship Id="rId4" Type="http://schemas.openxmlformats.org/officeDocument/2006/relationships/image" Target="../media/image77.emf"/></Relationships>
</file>

<file path=xl/drawings/_rels/drawing15.xml.rels><?xml version="1.0" encoding="UTF-8" standalone="yes"?>
<Relationships xmlns="http://schemas.openxmlformats.org/package/2006/relationships"><Relationship Id="rId3" Type="http://schemas.openxmlformats.org/officeDocument/2006/relationships/image" Target="../media/image83.png"/><Relationship Id="rId2" Type="http://schemas.openxmlformats.org/officeDocument/2006/relationships/image" Target="../media/image79.png"/><Relationship Id="rId1" Type="http://schemas.openxmlformats.org/officeDocument/2006/relationships/image" Target="../media/image82.emf"/></Relationships>
</file>

<file path=xl/drawings/_rels/drawing16.xml.rels><?xml version="1.0" encoding="UTF-8" standalone="yes"?>
<Relationships xmlns="http://schemas.openxmlformats.org/package/2006/relationships"><Relationship Id="rId8" Type="http://schemas.openxmlformats.org/officeDocument/2006/relationships/image" Target="../media/image91.emf"/><Relationship Id="rId3" Type="http://schemas.openxmlformats.org/officeDocument/2006/relationships/image" Target="../media/image86.png"/><Relationship Id="rId7" Type="http://schemas.openxmlformats.org/officeDocument/2006/relationships/image" Target="../media/image90.png"/><Relationship Id="rId2" Type="http://schemas.openxmlformats.org/officeDocument/2006/relationships/image" Target="../media/image85.emf"/><Relationship Id="rId1" Type="http://schemas.openxmlformats.org/officeDocument/2006/relationships/image" Target="../media/image84.emf"/><Relationship Id="rId6" Type="http://schemas.openxmlformats.org/officeDocument/2006/relationships/image" Target="../media/image89.png"/><Relationship Id="rId11" Type="http://schemas.openxmlformats.org/officeDocument/2006/relationships/image" Target="../media/image92.png"/><Relationship Id="rId5" Type="http://schemas.openxmlformats.org/officeDocument/2006/relationships/image" Target="../media/image88.png"/><Relationship Id="rId10" Type="http://schemas.openxmlformats.org/officeDocument/2006/relationships/chart" Target="../charts/chart2.xml"/><Relationship Id="rId4" Type="http://schemas.openxmlformats.org/officeDocument/2006/relationships/image" Target="../media/image87.png"/><Relationship Id="rId9"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3" Type="http://schemas.openxmlformats.org/officeDocument/2006/relationships/image" Target="../media/image95.png"/><Relationship Id="rId2" Type="http://schemas.openxmlformats.org/officeDocument/2006/relationships/image" Target="../media/image94.png"/><Relationship Id="rId1" Type="http://schemas.openxmlformats.org/officeDocument/2006/relationships/image" Target="../media/image9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5" Type="http://schemas.openxmlformats.org/officeDocument/2006/relationships/image" Target="../media/image65.emf"/><Relationship Id="rId4" Type="http://schemas.openxmlformats.org/officeDocument/2006/relationships/image" Target="../media/image6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7" Type="http://schemas.openxmlformats.org/officeDocument/2006/relationships/image" Target="../media/image66.emf"/><Relationship Id="rId2" Type="http://schemas.openxmlformats.org/officeDocument/2006/relationships/image" Target="../media/image71.emf"/><Relationship Id="rId1" Type="http://schemas.openxmlformats.org/officeDocument/2006/relationships/image" Target="../media/image72.emf"/><Relationship Id="rId6" Type="http://schemas.openxmlformats.org/officeDocument/2006/relationships/image" Target="../media/image67.emf"/><Relationship Id="rId5" Type="http://schemas.openxmlformats.org/officeDocument/2006/relationships/image" Target="../media/image68.emf"/><Relationship Id="rId4" Type="http://schemas.openxmlformats.org/officeDocument/2006/relationships/image" Target="../media/image69.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5.emf"/><Relationship Id="rId1" Type="http://schemas.openxmlformats.org/officeDocument/2006/relationships/image" Target="../media/image106.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10.emf"/><Relationship Id="rId2" Type="http://schemas.openxmlformats.org/officeDocument/2006/relationships/image" Target="../media/image109.emf"/><Relationship Id="rId1" Type="http://schemas.openxmlformats.org/officeDocument/2006/relationships/image" Target="../media/image108.emf"/><Relationship Id="rId5" Type="http://schemas.openxmlformats.org/officeDocument/2006/relationships/image" Target="../media/image107.emf"/><Relationship Id="rId4" Type="http://schemas.openxmlformats.org/officeDocument/2006/relationships/image" Target="../media/image111.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16.emf"/><Relationship Id="rId7" Type="http://schemas.openxmlformats.org/officeDocument/2006/relationships/image" Target="../media/image112.emf"/><Relationship Id="rId2" Type="http://schemas.openxmlformats.org/officeDocument/2006/relationships/image" Target="../media/image117.emf"/><Relationship Id="rId1" Type="http://schemas.openxmlformats.org/officeDocument/2006/relationships/image" Target="../media/image118.emf"/><Relationship Id="rId6" Type="http://schemas.openxmlformats.org/officeDocument/2006/relationships/image" Target="../media/image113.emf"/><Relationship Id="rId5" Type="http://schemas.openxmlformats.org/officeDocument/2006/relationships/image" Target="../media/image114.emf"/><Relationship Id="rId4" Type="http://schemas.openxmlformats.org/officeDocument/2006/relationships/image" Target="../media/image115.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119.emf"/><Relationship Id="rId3" Type="http://schemas.openxmlformats.org/officeDocument/2006/relationships/image" Target="../media/image124.emf"/><Relationship Id="rId7" Type="http://schemas.openxmlformats.org/officeDocument/2006/relationships/image" Target="../media/image120.emf"/><Relationship Id="rId2" Type="http://schemas.openxmlformats.org/officeDocument/2006/relationships/image" Target="../media/image125.emf"/><Relationship Id="rId1" Type="http://schemas.openxmlformats.org/officeDocument/2006/relationships/image" Target="../media/image126.emf"/><Relationship Id="rId6" Type="http://schemas.openxmlformats.org/officeDocument/2006/relationships/image" Target="../media/image121.emf"/><Relationship Id="rId5" Type="http://schemas.openxmlformats.org/officeDocument/2006/relationships/image" Target="../media/image122.emf"/><Relationship Id="rId4" Type="http://schemas.openxmlformats.org/officeDocument/2006/relationships/image" Target="../media/image12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28.emf"/><Relationship Id="rId2" Type="http://schemas.openxmlformats.org/officeDocument/2006/relationships/image" Target="../media/image129.emf"/><Relationship Id="rId1" Type="http://schemas.openxmlformats.org/officeDocument/2006/relationships/image" Target="../media/image130.emf"/><Relationship Id="rId4" Type="http://schemas.openxmlformats.org/officeDocument/2006/relationships/image" Target="../media/image127.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32.emf"/><Relationship Id="rId3" Type="http://schemas.openxmlformats.org/officeDocument/2006/relationships/image" Target="../media/image137.emf"/><Relationship Id="rId7" Type="http://schemas.openxmlformats.org/officeDocument/2006/relationships/image" Target="../media/image133.emf"/><Relationship Id="rId2" Type="http://schemas.openxmlformats.org/officeDocument/2006/relationships/image" Target="../media/image138.emf"/><Relationship Id="rId1" Type="http://schemas.openxmlformats.org/officeDocument/2006/relationships/image" Target="../media/image139.emf"/><Relationship Id="rId6" Type="http://schemas.openxmlformats.org/officeDocument/2006/relationships/image" Target="../media/image134.emf"/><Relationship Id="rId5" Type="http://schemas.openxmlformats.org/officeDocument/2006/relationships/image" Target="../media/image135.emf"/><Relationship Id="rId10" Type="http://schemas.openxmlformats.org/officeDocument/2006/relationships/image" Target="../media/image140.emf"/><Relationship Id="rId4" Type="http://schemas.openxmlformats.org/officeDocument/2006/relationships/image" Target="../media/image136.emf"/><Relationship Id="rId9" Type="http://schemas.openxmlformats.org/officeDocument/2006/relationships/image" Target="../media/image131.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41.emf"/><Relationship Id="rId3" Type="http://schemas.openxmlformats.org/officeDocument/2006/relationships/image" Target="../media/image146.emf"/><Relationship Id="rId7" Type="http://schemas.openxmlformats.org/officeDocument/2006/relationships/image" Target="../media/image142.emf"/><Relationship Id="rId2" Type="http://schemas.openxmlformats.org/officeDocument/2006/relationships/image" Target="../media/image147.emf"/><Relationship Id="rId1" Type="http://schemas.openxmlformats.org/officeDocument/2006/relationships/image" Target="../media/image148.emf"/><Relationship Id="rId6" Type="http://schemas.openxmlformats.org/officeDocument/2006/relationships/image" Target="../media/image143.emf"/><Relationship Id="rId5" Type="http://schemas.openxmlformats.org/officeDocument/2006/relationships/image" Target="../media/image144.emf"/><Relationship Id="rId4" Type="http://schemas.openxmlformats.org/officeDocument/2006/relationships/image" Target="../media/image145.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50.emf"/><Relationship Id="rId3" Type="http://schemas.openxmlformats.org/officeDocument/2006/relationships/image" Target="../media/image155.emf"/><Relationship Id="rId7" Type="http://schemas.openxmlformats.org/officeDocument/2006/relationships/image" Target="../media/image151.emf"/><Relationship Id="rId2" Type="http://schemas.openxmlformats.org/officeDocument/2006/relationships/image" Target="../media/image156.emf"/><Relationship Id="rId1" Type="http://schemas.openxmlformats.org/officeDocument/2006/relationships/image" Target="../media/image157.emf"/><Relationship Id="rId6" Type="http://schemas.openxmlformats.org/officeDocument/2006/relationships/image" Target="../media/image152.emf"/><Relationship Id="rId5" Type="http://schemas.openxmlformats.org/officeDocument/2006/relationships/image" Target="../media/image153.emf"/><Relationship Id="rId10" Type="http://schemas.openxmlformats.org/officeDocument/2006/relationships/image" Target="../media/image158.emf"/><Relationship Id="rId4" Type="http://schemas.openxmlformats.org/officeDocument/2006/relationships/image" Target="../media/image154.emf"/><Relationship Id="rId9" Type="http://schemas.openxmlformats.org/officeDocument/2006/relationships/image" Target="../media/image149.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0.emf"/><Relationship Id="rId3" Type="http://schemas.openxmlformats.org/officeDocument/2006/relationships/image" Target="../media/image165.emf"/><Relationship Id="rId7" Type="http://schemas.openxmlformats.org/officeDocument/2006/relationships/image" Target="../media/image161.emf"/><Relationship Id="rId2" Type="http://schemas.openxmlformats.org/officeDocument/2006/relationships/image" Target="../media/image166.emf"/><Relationship Id="rId1" Type="http://schemas.openxmlformats.org/officeDocument/2006/relationships/image" Target="../media/image167.emf"/><Relationship Id="rId6" Type="http://schemas.openxmlformats.org/officeDocument/2006/relationships/image" Target="../media/image162.emf"/><Relationship Id="rId5" Type="http://schemas.openxmlformats.org/officeDocument/2006/relationships/image" Target="../media/image163.emf"/><Relationship Id="rId10" Type="http://schemas.openxmlformats.org/officeDocument/2006/relationships/image" Target="../media/image168.emf"/><Relationship Id="rId4" Type="http://schemas.openxmlformats.org/officeDocument/2006/relationships/image" Target="../media/image164.emf"/><Relationship Id="rId9" Type="http://schemas.openxmlformats.org/officeDocument/2006/relationships/image" Target="../media/image159.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69.emf"/><Relationship Id="rId3" Type="http://schemas.openxmlformats.org/officeDocument/2006/relationships/image" Target="../media/image174.emf"/><Relationship Id="rId7" Type="http://schemas.openxmlformats.org/officeDocument/2006/relationships/image" Target="../media/image170.emf"/><Relationship Id="rId2" Type="http://schemas.openxmlformats.org/officeDocument/2006/relationships/image" Target="../media/image175.emf"/><Relationship Id="rId1" Type="http://schemas.openxmlformats.org/officeDocument/2006/relationships/image" Target="../media/image176.emf"/><Relationship Id="rId6" Type="http://schemas.openxmlformats.org/officeDocument/2006/relationships/image" Target="../media/image171.emf"/><Relationship Id="rId5" Type="http://schemas.openxmlformats.org/officeDocument/2006/relationships/image" Target="../media/image172.emf"/><Relationship Id="rId4" Type="http://schemas.openxmlformats.org/officeDocument/2006/relationships/image" Target="../media/image173.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8.emf"/><Relationship Id="rId3" Type="http://schemas.openxmlformats.org/officeDocument/2006/relationships/image" Target="../media/image183.emf"/><Relationship Id="rId7" Type="http://schemas.openxmlformats.org/officeDocument/2006/relationships/image" Target="../media/image179.emf"/><Relationship Id="rId2" Type="http://schemas.openxmlformats.org/officeDocument/2006/relationships/image" Target="../media/image184.emf"/><Relationship Id="rId1" Type="http://schemas.openxmlformats.org/officeDocument/2006/relationships/image" Target="../media/image185.emf"/><Relationship Id="rId6" Type="http://schemas.openxmlformats.org/officeDocument/2006/relationships/image" Target="../media/image180.emf"/><Relationship Id="rId5" Type="http://schemas.openxmlformats.org/officeDocument/2006/relationships/image" Target="../media/image181.emf"/><Relationship Id="rId10" Type="http://schemas.openxmlformats.org/officeDocument/2006/relationships/image" Target="../media/image186.emf"/><Relationship Id="rId4" Type="http://schemas.openxmlformats.org/officeDocument/2006/relationships/image" Target="../media/image182.emf"/><Relationship Id="rId9" Type="http://schemas.openxmlformats.org/officeDocument/2006/relationships/image" Target="../media/image17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6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6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6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6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6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6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6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7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7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7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7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7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7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7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8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8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8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8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8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8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8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9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9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9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9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9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9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9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A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A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A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B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B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B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B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B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C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C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C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C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C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C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C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0E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4.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1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1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8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8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8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D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D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1E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1E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1E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1F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1F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1F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0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0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0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1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1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1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1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1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2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2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2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2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2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2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2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3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3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3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3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3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3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3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3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4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4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4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4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5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5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5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5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5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5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5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5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5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5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6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6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6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6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6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6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6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6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7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7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7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7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7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7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7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7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7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7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8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8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8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8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8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8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8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8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8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8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9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9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9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9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9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9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9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9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A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A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A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A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A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A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A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A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A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A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L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I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D10" dT="2020-06-23T13:40:50.05" personId="{308666E5-D28E-418E-B7E7-F6D9F22CA4C0}" id="{17E2CE06-023D-419F-B261-9DC5D1728B4A}">
    <text>https://www.ge.com/news/press-releases/eskoms-kusile-wet-flue-gas-desulphurization-plant-achieves-93-removal-efficiency</text>
  </threadedComment>
  <threadedComment ref="AE10" dT="2020-06-23T13:43:26.93" personId="{308666E5-D28E-418E-B7E7-F6D9F22CA4C0}" id="{7A35F23A-FACE-406F-AFEC-C2B7AE61685B}">
    <text>not sure how those are affected by the FGD</text>
  </threadedComment>
  <threadedComment ref="AV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N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5.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6.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7.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8.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9.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0.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1.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2.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5.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0.vml"/><Relationship Id="rId7" Type="http://schemas.openxmlformats.org/officeDocument/2006/relationships/image" Target="../media/image59.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59.xml"/><Relationship Id="rId5" Type="http://schemas.openxmlformats.org/officeDocument/2006/relationships/image" Target="../media/image58.emf"/><Relationship Id="rId4" Type="http://schemas.openxmlformats.org/officeDocument/2006/relationships/control" Target="../activeX/activeX58.xml"/><Relationship Id="rId9" Type="http://schemas.openxmlformats.org/officeDocument/2006/relationships/image" Target="../media/image6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3.xml"/><Relationship Id="rId13" Type="http://schemas.openxmlformats.org/officeDocument/2006/relationships/image" Target="../media/image65.emf"/><Relationship Id="rId3" Type="http://schemas.openxmlformats.org/officeDocument/2006/relationships/vmlDrawing" Target="../drawings/vmlDrawing11.vml"/><Relationship Id="rId7" Type="http://schemas.openxmlformats.org/officeDocument/2006/relationships/image" Target="../media/image62.emf"/><Relationship Id="rId12" Type="http://schemas.openxmlformats.org/officeDocument/2006/relationships/control" Target="../activeX/activeX65.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0.emf"/><Relationship Id="rId18" Type="http://schemas.openxmlformats.org/officeDocument/2006/relationships/comments" Target="../comments8.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70.xml"/><Relationship Id="rId17" Type="http://schemas.openxmlformats.org/officeDocument/2006/relationships/image" Target="../media/image72.emf"/><Relationship Id="rId2" Type="http://schemas.openxmlformats.org/officeDocument/2006/relationships/drawing" Target="../drawings/drawing12.xml"/><Relationship Id="rId16" Type="http://schemas.openxmlformats.org/officeDocument/2006/relationships/control" Target="../activeX/activeX72.xml"/><Relationship Id="rId1" Type="http://schemas.openxmlformats.org/officeDocument/2006/relationships/printerSettings" Target="../printerSettings/printerSettings12.bin"/><Relationship Id="rId6" Type="http://schemas.openxmlformats.org/officeDocument/2006/relationships/control" Target="../activeX/activeX67.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9.xml"/><Relationship Id="rId4" Type="http://schemas.openxmlformats.org/officeDocument/2006/relationships/control" Target="../activeX/activeX66.xml"/><Relationship Id="rId9" Type="http://schemas.openxmlformats.org/officeDocument/2006/relationships/image" Target="../media/image68.emf"/><Relationship Id="rId14" Type="http://schemas.openxmlformats.org/officeDocument/2006/relationships/control" Target="../activeX/activeX7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microsoft.com/office/2017/10/relationships/threadedComment" Target="../threadedComments/threadedComment7.xml"/><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4.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8.xml"/><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drawing" Target="../drawings/drawing14.xml"/><Relationship Id="rId4" Type="http://schemas.microsoft.com/office/2017/10/relationships/threadedComment" Target="../threadedComments/threadedComment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15.bin"/><Relationship Id="rId4" Type="http://schemas.microsoft.com/office/2017/10/relationships/threadedComment" Target="../threadedComments/threadedComment10.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6.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5.xml"/><Relationship Id="rId1"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6.xml"/><Relationship Id="rId5" Type="http://schemas.openxmlformats.org/officeDocument/2006/relationships/vmlDrawing" Target="../drawings/vmlDrawing20.vml"/><Relationship Id="rId4" Type="http://schemas.openxmlformats.org/officeDocument/2006/relationships/drawing" Target="../drawings/drawing1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microsoft.com/office/2017/10/relationships/threadedComment" Target="../threadedComments/threadedComment12.xml"/><Relationship Id="rId4" Type="http://schemas.openxmlformats.org/officeDocument/2006/relationships/comments" Target="../comments1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search.worldbank.org/data?qterm=gdp%20deflator%20%22south%20africa%22&amp;language=EN"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image" Target="../media/image97.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74.xml"/><Relationship Id="rId5" Type="http://schemas.openxmlformats.org/officeDocument/2006/relationships/image" Target="../media/image96.emf"/><Relationship Id="rId4" Type="http://schemas.openxmlformats.org/officeDocument/2006/relationships/control" Target="../activeX/activeX73.xml"/></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23.vml"/><Relationship Id="rId7" Type="http://schemas.openxmlformats.org/officeDocument/2006/relationships/image" Target="../media/image99.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98.emf"/><Relationship Id="rId4" Type="http://schemas.openxmlformats.org/officeDocument/2006/relationships/control" Target="../activeX/activeX75.xml"/><Relationship Id="rId9" Type="http://schemas.openxmlformats.org/officeDocument/2006/relationships/image" Target="../media/image100.emf"/></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4.vml"/><Relationship Id="rId7" Type="http://schemas.openxmlformats.org/officeDocument/2006/relationships/image" Target="../media/image102.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79.xml"/><Relationship Id="rId5" Type="http://schemas.openxmlformats.org/officeDocument/2006/relationships/image" Target="../media/image101.emf"/><Relationship Id="rId4" Type="http://schemas.openxmlformats.org/officeDocument/2006/relationships/control" Target="../activeX/activeX78.xml"/><Relationship Id="rId9" Type="http://schemas.openxmlformats.org/officeDocument/2006/relationships/image" Target="../media/image103.emf"/></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83.xml"/><Relationship Id="rId3" Type="http://schemas.openxmlformats.org/officeDocument/2006/relationships/vmlDrawing" Target="../drawings/vmlDrawing25.vml"/><Relationship Id="rId7" Type="http://schemas.openxmlformats.org/officeDocument/2006/relationships/image" Target="../media/image105.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82.xml"/><Relationship Id="rId5" Type="http://schemas.openxmlformats.org/officeDocument/2006/relationships/image" Target="../media/image104.emf"/><Relationship Id="rId4" Type="http://schemas.openxmlformats.org/officeDocument/2006/relationships/control" Target="../activeX/activeX81.xml"/><Relationship Id="rId9" Type="http://schemas.openxmlformats.org/officeDocument/2006/relationships/image" Target="../media/image106.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86.xml"/><Relationship Id="rId13" Type="http://schemas.openxmlformats.org/officeDocument/2006/relationships/image" Target="../media/image111.emf"/><Relationship Id="rId3" Type="http://schemas.openxmlformats.org/officeDocument/2006/relationships/vmlDrawing" Target="../drawings/vmlDrawing26.vml"/><Relationship Id="rId7" Type="http://schemas.openxmlformats.org/officeDocument/2006/relationships/image" Target="../media/image108.emf"/><Relationship Id="rId12" Type="http://schemas.openxmlformats.org/officeDocument/2006/relationships/control" Target="../activeX/activeX88.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85.xml"/><Relationship Id="rId11" Type="http://schemas.openxmlformats.org/officeDocument/2006/relationships/image" Target="../media/image110.emf"/><Relationship Id="rId5" Type="http://schemas.openxmlformats.org/officeDocument/2006/relationships/image" Target="../media/image107.emf"/><Relationship Id="rId10" Type="http://schemas.openxmlformats.org/officeDocument/2006/relationships/control" Target="../activeX/activeX87.xml"/><Relationship Id="rId4" Type="http://schemas.openxmlformats.org/officeDocument/2006/relationships/control" Target="../activeX/activeX84.xml"/><Relationship Id="rId9" Type="http://schemas.openxmlformats.org/officeDocument/2006/relationships/image" Target="../media/image109.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1.xml"/><Relationship Id="rId13" Type="http://schemas.openxmlformats.org/officeDocument/2006/relationships/image" Target="../media/image116.emf"/><Relationship Id="rId18" Type="http://schemas.openxmlformats.org/officeDocument/2006/relationships/comments" Target="../comments18.xml"/><Relationship Id="rId3" Type="http://schemas.openxmlformats.org/officeDocument/2006/relationships/vmlDrawing" Target="../drawings/vmlDrawing27.vml"/><Relationship Id="rId7" Type="http://schemas.openxmlformats.org/officeDocument/2006/relationships/image" Target="../media/image113.emf"/><Relationship Id="rId12" Type="http://schemas.openxmlformats.org/officeDocument/2006/relationships/control" Target="../activeX/activeX93.xml"/><Relationship Id="rId17" Type="http://schemas.openxmlformats.org/officeDocument/2006/relationships/image" Target="../media/image118.emf"/><Relationship Id="rId2" Type="http://schemas.openxmlformats.org/officeDocument/2006/relationships/drawing" Target="../drawings/drawing23.xml"/><Relationship Id="rId16" Type="http://schemas.openxmlformats.org/officeDocument/2006/relationships/control" Target="../activeX/activeX95.xml"/><Relationship Id="rId1" Type="http://schemas.openxmlformats.org/officeDocument/2006/relationships/printerSettings" Target="../printerSettings/printerSettings25.bin"/><Relationship Id="rId6" Type="http://schemas.openxmlformats.org/officeDocument/2006/relationships/control" Target="../activeX/activeX90.xml"/><Relationship Id="rId11" Type="http://schemas.openxmlformats.org/officeDocument/2006/relationships/image" Target="../media/image115.emf"/><Relationship Id="rId5" Type="http://schemas.openxmlformats.org/officeDocument/2006/relationships/image" Target="../media/image112.emf"/><Relationship Id="rId15" Type="http://schemas.openxmlformats.org/officeDocument/2006/relationships/image" Target="../media/image117.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114.emf"/><Relationship Id="rId14" Type="http://schemas.openxmlformats.org/officeDocument/2006/relationships/control" Target="../activeX/activeX94.xml"/></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98.xml"/><Relationship Id="rId13" Type="http://schemas.openxmlformats.org/officeDocument/2006/relationships/image" Target="../media/image123.emf"/><Relationship Id="rId18" Type="http://schemas.openxmlformats.org/officeDocument/2006/relationships/control" Target="../activeX/activeX103.xml"/><Relationship Id="rId3" Type="http://schemas.openxmlformats.org/officeDocument/2006/relationships/vmlDrawing" Target="../drawings/vmlDrawing28.vml"/><Relationship Id="rId7" Type="http://schemas.openxmlformats.org/officeDocument/2006/relationships/image" Target="../media/image120.emf"/><Relationship Id="rId12" Type="http://schemas.openxmlformats.org/officeDocument/2006/relationships/control" Target="../activeX/activeX100.xml"/><Relationship Id="rId17" Type="http://schemas.openxmlformats.org/officeDocument/2006/relationships/image" Target="../media/image125.emf"/><Relationship Id="rId2" Type="http://schemas.openxmlformats.org/officeDocument/2006/relationships/drawing" Target="../drawings/drawing24.xml"/><Relationship Id="rId16" Type="http://schemas.openxmlformats.org/officeDocument/2006/relationships/control" Target="../activeX/activeX102.xml"/><Relationship Id="rId20" Type="http://schemas.openxmlformats.org/officeDocument/2006/relationships/comments" Target="../comments19.xml"/><Relationship Id="rId1" Type="http://schemas.openxmlformats.org/officeDocument/2006/relationships/printerSettings" Target="../printerSettings/printerSettings26.bin"/><Relationship Id="rId6" Type="http://schemas.openxmlformats.org/officeDocument/2006/relationships/control" Target="../activeX/activeX97.xml"/><Relationship Id="rId11" Type="http://schemas.openxmlformats.org/officeDocument/2006/relationships/image" Target="../media/image122.emf"/><Relationship Id="rId5" Type="http://schemas.openxmlformats.org/officeDocument/2006/relationships/image" Target="../media/image119.emf"/><Relationship Id="rId15" Type="http://schemas.openxmlformats.org/officeDocument/2006/relationships/image" Target="../media/image124.emf"/><Relationship Id="rId10" Type="http://schemas.openxmlformats.org/officeDocument/2006/relationships/control" Target="../activeX/activeX99.xml"/><Relationship Id="rId19" Type="http://schemas.openxmlformats.org/officeDocument/2006/relationships/image" Target="../media/image126.emf"/><Relationship Id="rId4" Type="http://schemas.openxmlformats.org/officeDocument/2006/relationships/control" Target="../activeX/activeX96.xml"/><Relationship Id="rId9" Type="http://schemas.openxmlformats.org/officeDocument/2006/relationships/image" Target="../media/image121.emf"/><Relationship Id="rId14" Type="http://schemas.openxmlformats.org/officeDocument/2006/relationships/control" Target="../activeX/activeX101.xml"/></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6.xml"/><Relationship Id="rId3" Type="http://schemas.openxmlformats.org/officeDocument/2006/relationships/vmlDrawing" Target="../drawings/vmlDrawing29.vml"/><Relationship Id="rId7" Type="http://schemas.openxmlformats.org/officeDocument/2006/relationships/image" Target="../media/image128.emf"/><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05.xml"/><Relationship Id="rId11" Type="http://schemas.openxmlformats.org/officeDocument/2006/relationships/image" Target="../media/image130.emf"/><Relationship Id="rId5" Type="http://schemas.openxmlformats.org/officeDocument/2006/relationships/image" Target="../media/image127.emf"/><Relationship Id="rId10" Type="http://schemas.openxmlformats.org/officeDocument/2006/relationships/control" Target="../activeX/activeX107.xml"/><Relationship Id="rId4" Type="http://schemas.openxmlformats.org/officeDocument/2006/relationships/control" Target="../activeX/activeX104.xml"/><Relationship Id="rId9" Type="http://schemas.openxmlformats.org/officeDocument/2006/relationships/image" Target="../media/image129.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35.emf"/><Relationship Id="rId18" Type="http://schemas.openxmlformats.org/officeDocument/2006/relationships/control" Target="../activeX/activeX115.xml"/><Relationship Id="rId3" Type="http://schemas.openxmlformats.org/officeDocument/2006/relationships/vmlDrawing" Target="../drawings/vmlDrawing30.vml"/><Relationship Id="rId21" Type="http://schemas.openxmlformats.org/officeDocument/2006/relationships/image" Target="../media/image139.emf"/><Relationship Id="rId7" Type="http://schemas.openxmlformats.org/officeDocument/2006/relationships/image" Target="../media/image132.emf"/><Relationship Id="rId12" Type="http://schemas.openxmlformats.org/officeDocument/2006/relationships/control" Target="../activeX/activeX112.xml"/><Relationship Id="rId17" Type="http://schemas.openxmlformats.org/officeDocument/2006/relationships/image" Target="../media/image137.emf"/><Relationship Id="rId2" Type="http://schemas.openxmlformats.org/officeDocument/2006/relationships/drawing" Target="../drawings/drawing26.xml"/><Relationship Id="rId16" Type="http://schemas.openxmlformats.org/officeDocument/2006/relationships/control" Target="../activeX/activeX114.xml"/><Relationship Id="rId20" Type="http://schemas.openxmlformats.org/officeDocument/2006/relationships/control" Target="../activeX/activeX116.xml"/><Relationship Id="rId1" Type="http://schemas.openxmlformats.org/officeDocument/2006/relationships/printerSettings" Target="../printerSettings/printerSettings28.bin"/><Relationship Id="rId6" Type="http://schemas.openxmlformats.org/officeDocument/2006/relationships/control" Target="../activeX/activeX109.xml"/><Relationship Id="rId11" Type="http://schemas.openxmlformats.org/officeDocument/2006/relationships/image" Target="../media/image134.emf"/><Relationship Id="rId5" Type="http://schemas.openxmlformats.org/officeDocument/2006/relationships/image" Target="../media/image131.emf"/><Relationship Id="rId15" Type="http://schemas.openxmlformats.org/officeDocument/2006/relationships/image" Target="../media/image136.emf"/><Relationship Id="rId23" Type="http://schemas.openxmlformats.org/officeDocument/2006/relationships/image" Target="../media/image140.emf"/><Relationship Id="rId10" Type="http://schemas.openxmlformats.org/officeDocument/2006/relationships/control" Target="../activeX/activeX111.xml"/><Relationship Id="rId19" Type="http://schemas.openxmlformats.org/officeDocument/2006/relationships/image" Target="../media/image138.emf"/><Relationship Id="rId4" Type="http://schemas.openxmlformats.org/officeDocument/2006/relationships/control" Target="../activeX/activeX108.xml"/><Relationship Id="rId9" Type="http://schemas.openxmlformats.org/officeDocument/2006/relationships/image" Target="../media/image133.emf"/><Relationship Id="rId14" Type="http://schemas.openxmlformats.org/officeDocument/2006/relationships/control" Target="../activeX/activeX113.xml"/><Relationship Id="rId22" Type="http://schemas.openxmlformats.org/officeDocument/2006/relationships/control" Target="../activeX/activeX117.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0.xml"/><Relationship Id="rId13" Type="http://schemas.openxmlformats.org/officeDocument/2006/relationships/image" Target="../media/image145.emf"/><Relationship Id="rId18" Type="http://schemas.openxmlformats.org/officeDocument/2006/relationships/control" Target="../activeX/activeX125.xml"/><Relationship Id="rId3" Type="http://schemas.openxmlformats.org/officeDocument/2006/relationships/vmlDrawing" Target="../drawings/vmlDrawing31.vml"/><Relationship Id="rId7" Type="http://schemas.openxmlformats.org/officeDocument/2006/relationships/image" Target="../media/image142.emf"/><Relationship Id="rId12" Type="http://schemas.openxmlformats.org/officeDocument/2006/relationships/control" Target="../activeX/activeX122.xml"/><Relationship Id="rId17" Type="http://schemas.openxmlformats.org/officeDocument/2006/relationships/image" Target="../media/image147.emf"/><Relationship Id="rId2" Type="http://schemas.openxmlformats.org/officeDocument/2006/relationships/drawing" Target="../drawings/drawing27.xml"/><Relationship Id="rId16" Type="http://schemas.openxmlformats.org/officeDocument/2006/relationships/control" Target="../activeX/activeX124.xml"/><Relationship Id="rId1" Type="http://schemas.openxmlformats.org/officeDocument/2006/relationships/printerSettings" Target="../printerSettings/printerSettings29.bin"/><Relationship Id="rId6" Type="http://schemas.openxmlformats.org/officeDocument/2006/relationships/control" Target="../activeX/activeX119.xml"/><Relationship Id="rId11" Type="http://schemas.openxmlformats.org/officeDocument/2006/relationships/image" Target="../media/image144.emf"/><Relationship Id="rId5" Type="http://schemas.openxmlformats.org/officeDocument/2006/relationships/image" Target="../media/image141.emf"/><Relationship Id="rId15" Type="http://schemas.openxmlformats.org/officeDocument/2006/relationships/image" Target="../media/image146.emf"/><Relationship Id="rId10" Type="http://schemas.openxmlformats.org/officeDocument/2006/relationships/control" Target="../activeX/activeX121.xml"/><Relationship Id="rId19" Type="http://schemas.openxmlformats.org/officeDocument/2006/relationships/image" Target="../media/image148.emf"/><Relationship Id="rId4" Type="http://schemas.openxmlformats.org/officeDocument/2006/relationships/control" Target="../activeX/activeX118.xml"/><Relationship Id="rId9" Type="http://schemas.openxmlformats.org/officeDocument/2006/relationships/image" Target="../media/image143.emf"/><Relationship Id="rId14" Type="http://schemas.openxmlformats.org/officeDocument/2006/relationships/control" Target="../activeX/activeX123.xml"/></Relationships>
</file>

<file path=xl/worksheets/_rels/sheet40.xml.rels><?xml version="1.0" encoding="UTF-8" standalone="yes"?>
<Relationships xmlns="http://schemas.openxmlformats.org/package/2006/relationships"><Relationship Id="rId8" Type="http://schemas.openxmlformats.org/officeDocument/2006/relationships/image" Target="../media/image151.emf"/><Relationship Id="rId13" Type="http://schemas.openxmlformats.org/officeDocument/2006/relationships/control" Target="../activeX/activeX131.xml"/><Relationship Id="rId18" Type="http://schemas.openxmlformats.org/officeDocument/2006/relationships/image" Target="../media/image156.emf"/><Relationship Id="rId3" Type="http://schemas.openxmlformats.org/officeDocument/2006/relationships/control" Target="../activeX/activeX126.xml"/><Relationship Id="rId21" Type="http://schemas.openxmlformats.org/officeDocument/2006/relationships/control" Target="../activeX/activeX135.xml"/><Relationship Id="rId7" Type="http://schemas.openxmlformats.org/officeDocument/2006/relationships/control" Target="../activeX/activeX128.xml"/><Relationship Id="rId12" Type="http://schemas.openxmlformats.org/officeDocument/2006/relationships/image" Target="../media/image153.emf"/><Relationship Id="rId17" Type="http://schemas.openxmlformats.org/officeDocument/2006/relationships/control" Target="../activeX/activeX133.xml"/><Relationship Id="rId2" Type="http://schemas.openxmlformats.org/officeDocument/2006/relationships/vmlDrawing" Target="../drawings/vmlDrawing32.vml"/><Relationship Id="rId16" Type="http://schemas.openxmlformats.org/officeDocument/2006/relationships/image" Target="../media/image155.emf"/><Relationship Id="rId20" Type="http://schemas.openxmlformats.org/officeDocument/2006/relationships/image" Target="../media/image157.emf"/><Relationship Id="rId1" Type="http://schemas.openxmlformats.org/officeDocument/2006/relationships/drawing" Target="../drawings/drawing28.xml"/><Relationship Id="rId6" Type="http://schemas.openxmlformats.org/officeDocument/2006/relationships/image" Target="../media/image150.emf"/><Relationship Id="rId11" Type="http://schemas.openxmlformats.org/officeDocument/2006/relationships/control" Target="../activeX/activeX130.xml"/><Relationship Id="rId5" Type="http://schemas.openxmlformats.org/officeDocument/2006/relationships/control" Target="../activeX/activeX127.xml"/><Relationship Id="rId15" Type="http://schemas.openxmlformats.org/officeDocument/2006/relationships/control" Target="../activeX/activeX132.xml"/><Relationship Id="rId10" Type="http://schemas.openxmlformats.org/officeDocument/2006/relationships/image" Target="../media/image152.emf"/><Relationship Id="rId19" Type="http://schemas.openxmlformats.org/officeDocument/2006/relationships/control" Target="../activeX/activeX134.xml"/><Relationship Id="rId4" Type="http://schemas.openxmlformats.org/officeDocument/2006/relationships/image" Target="../media/image149.emf"/><Relationship Id="rId9" Type="http://schemas.openxmlformats.org/officeDocument/2006/relationships/control" Target="../activeX/activeX129.xml"/><Relationship Id="rId14" Type="http://schemas.openxmlformats.org/officeDocument/2006/relationships/image" Target="../media/image154.emf"/><Relationship Id="rId22" Type="http://schemas.openxmlformats.org/officeDocument/2006/relationships/image" Target="../media/image158.emf"/></Relationships>
</file>

<file path=xl/worksheets/_rels/sheet41.xml.rels><?xml version="1.0" encoding="UTF-8" standalone="yes"?>
<Relationships xmlns="http://schemas.openxmlformats.org/package/2006/relationships"><Relationship Id="rId8" Type="http://schemas.openxmlformats.org/officeDocument/2006/relationships/image" Target="../media/image161.emf"/><Relationship Id="rId13" Type="http://schemas.openxmlformats.org/officeDocument/2006/relationships/control" Target="../activeX/activeX141.xml"/><Relationship Id="rId18" Type="http://schemas.openxmlformats.org/officeDocument/2006/relationships/image" Target="../media/image166.emf"/><Relationship Id="rId3" Type="http://schemas.openxmlformats.org/officeDocument/2006/relationships/control" Target="../activeX/activeX136.xml"/><Relationship Id="rId21" Type="http://schemas.openxmlformats.org/officeDocument/2006/relationships/control" Target="../activeX/activeX145.xml"/><Relationship Id="rId7" Type="http://schemas.openxmlformats.org/officeDocument/2006/relationships/control" Target="../activeX/activeX138.xml"/><Relationship Id="rId12" Type="http://schemas.openxmlformats.org/officeDocument/2006/relationships/image" Target="../media/image163.emf"/><Relationship Id="rId17" Type="http://schemas.openxmlformats.org/officeDocument/2006/relationships/control" Target="../activeX/activeX143.xml"/><Relationship Id="rId2" Type="http://schemas.openxmlformats.org/officeDocument/2006/relationships/vmlDrawing" Target="../drawings/vmlDrawing33.vml"/><Relationship Id="rId16" Type="http://schemas.openxmlformats.org/officeDocument/2006/relationships/image" Target="../media/image165.emf"/><Relationship Id="rId20" Type="http://schemas.openxmlformats.org/officeDocument/2006/relationships/image" Target="../media/image167.emf"/><Relationship Id="rId1" Type="http://schemas.openxmlformats.org/officeDocument/2006/relationships/drawing" Target="../drawings/drawing29.xml"/><Relationship Id="rId6" Type="http://schemas.openxmlformats.org/officeDocument/2006/relationships/image" Target="../media/image160.emf"/><Relationship Id="rId11" Type="http://schemas.openxmlformats.org/officeDocument/2006/relationships/control" Target="../activeX/activeX140.xml"/><Relationship Id="rId5" Type="http://schemas.openxmlformats.org/officeDocument/2006/relationships/control" Target="../activeX/activeX137.xml"/><Relationship Id="rId15" Type="http://schemas.openxmlformats.org/officeDocument/2006/relationships/control" Target="../activeX/activeX142.xml"/><Relationship Id="rId10" Type="http://schemas.openxmlformats.org/officeDocument/2006/relationships/image" Target="../media/image162.emf"/><Relationship Id="rId19" Type="http://schemas.openxmlformats.org/officeDocument/2006/relationships/control" Target="../activeX/activeX144.xml"/><Relationship Id="rId4" Type="http://schemas.openxmlformats.org/officeDocument/2006/relationships/image" Target="../media/image159.emf"/><Relationship Id="rId9" Type="http://schemas.openxmlformats.org/officeDocument/2006/relationships/control" Target="../activeX/activeX139.xml"/><Relationship Id="rId14" Type="http://schemas.openxmlformats.org/officeDocument/2006/relationships/image" Target="../media/image164.emf"/><Relationship Id="rId22" Type="http://schemas.openxmlformats.org/officeDocument/2006/relationships/image" Target="../media/image16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8.xml"/><Relationship Id="rId13" Type="http://schemas.openxmlformats.org/officeDocument/2006/relationships/image" Target="../media/image173.emf"/><Relationship Id="rId18" Type="http://schemas.openxmlformats.org/officeDocument/2006/relationships/control" Target="../activeX/activeX153.xml"/><Relationship Id="rId3" Type="http://schemas.openxmlformats.org/officeDocument/2006/relationships/vmlDrawing" Target="../drawings/vmlDrawing34.vml"/><Relationship Id="rId7" Type="http://schemas.openxmlformats.org/officeDocument/2006/relationships/image" Target="../media/image170.emf"/><Relationship Id="rId12" Type="http://schemas.openxmlformats.org/officeDocument/2006/relationships/control" Target="../activeX/activeX150.xml"/><Relationship Id="rId17" Type="http://schemas.openxmlformats.org/officeDocument/2006/relationships/image" Target="../media/image175.emf"/><Relationship Id="rId2" Type="http://schemas.openxmlformats.org/officeDocument/2006/relationships/drawing" Target="../drawings/drawing30.xml"/><Relationship Id="rId16" Type="http://schemas.openxmlformats.org/officeDocument/2006/relationships/control" Target="../activeX/activeX152.xml"/><Relationship Id="rId1" Type="http://schemas.openxmlformats.org/officeDocument/2006/relationships/printerSettings" Target="../printerSettings/printerSettings30.bin"/><Relationship Id="rId6" Type="http://schemas.openxmlformats.org/officeDocument/2006/relationships/control" Target="../activeX/activeX147.xml"/><Relationship Id="rId11" Type="http://schemas.openxmlformats.org/officeDocument/2006/relationships/image" Target="../media/image172.emf"/><Relationship Id="rId5" Type="http://schemas.openxmlformats.org/officeDocument/2006/relationships/image" Target="../media/image169.emf"/><Relationship Id="rId15" Type="http://schemas.openxmlformats.org/officeDocument/2006/relationships/image" Target="../media/image174.emf"/><Relationship Id="rId10" Type="http://schemas.openxmlformats.org/officeDocument/2006/relationships/control" Target="../activeX/activeX149.xml"/><Relationship Id="rId19" Type="http://schemas.openxmlformats.org/officeDocument/2006/relationships/image" Target="../media/image176.emf"/><Relationship Id="rId4" Type="http://schemas.openxmlformats.org/officeDocument/2006/relationships/control" Target="../activeX/activeX146.xml"/><Relationship Id="rId9" Type="http://schemas.openxmlformats.org/officeDocument/2006/relationships/image" Target="../media/image171.emf"/><Relationship Id="rId14" Type="http://schemas.openxmlformats.org/officeDocument/2006/relationships/control" Target="../activeX/activeX151.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56.xml"/><Relationship Id="rId13" Type="http://schemas.openxmlformats.org/officeDocument/2006/relationships/image" Target="../media/image181.emf"/><Relationship Id="rId18" Type="http://schemas.openxmlformats.org/officeDocument/2006/relationships/control" Target="../activeX/activeX161.xml"/><Relationship Id="rId3" Type="http://schemas.openxmlformats.org/officeDocument/2006/relationships/vmlDrawing" Target="../drawings/vmlDrawing35.vml"/><Relationship Id="rId21" Type="http://schemas.openxmlformats.org/officeDocument/2006/relationships/image" Target="../media/image185.emf"/><Relationship Id="rId7" Type="http://schemas.openxmlformats.org/officeDocument/2006/relationships/image" Target="../media/image178.emf"/><Relationship Id="rId12" Type="http://schemas.openxmlformats.org/officeDocument/2006/relationships/control" Target="../activeX/activeX158.xml"/><Relationship Id="rId17" Type="http://schemas.openxmlformats.org/officeDocument/2006/relationships/image" Target="../media/image183.emf"/><Relationship Id="rId2" Type="http://schemas.openxmlformats.org/officeDocument/2006/relationships/drawing" Target="../drawings/drawing31.xml"/><Relationship Id="rId16" Type="http://schemas.openxmlformats.org/officeDocument/2006/relationships/control" Target="../activeX/activeX160.xml"/><Relationship Id="rId20" Type="http://schemas.openxmlformats.org/officeDocument/2006/relationships/control" Target="../activeX/activeX162.xml"/><Relationship Id="rId1" Type="http://schemas.openxmlformats.org/officeDocument/2006/relationships/printerSettings" Target="../printerSettings/printerSettings31.bin"/><Relationship Id="rId6" Type="http://schemas.openxmlformats.org/officeDocument/2006/relationships/control" Target="../activeX/activeX155.xml"/><Relationship Id="rId11" Type="http://schemas.openxmlformats.org/officeDocument/2006/relationships/image" Target="../media/image180.emf"/><Relationship Id="rId5" Type="http://schemas.openxmlformats.org/officeDocument/2006/relationships/image" Target="../media/image177.emf"/><Relationship Id="rId15" Type="http://schemas.openxmlformats.org/officeDocument/2006/relationships/image" Target="../media/image182.emf"/><Relationship Id="rId23" Type="http://schemas.openxmlformats.org/officeDocument/2006/relationships/image" Target="../media/image186.emf"/><Relationship Id="rId10" Type="http://schemas.openxmlformats.org/officeDocument/2006/relationships/control" Target="../activeX/activeX157.xml"/><Relationship Id="rId19" Type="http://schemas.openxmlformats.org/officeDocument/2006/relationships/image" Target="../media/image184.emf"/><Relationship Id="rId4" Type="http://schemas.openxmlformats.org/officeDocument/2006/relationships/control" Target="../activeX/activeX154.xml"/><Relationship Id="rId9" Type="http://schemas.openxmlformats.org/officeDocument/2006/relationships/image" Target="../media/image179.emf"/><Relationship Id="rId14" Type="http://schemas.openxmlformats.org/officeDocument/2006/relationships/control" Target="../activeX/activeX159.xml"/><Relationship Id="rId22" Type="http://schemas.openxmlformats.org/officeDocument/2006/relationships/control" Target="../activeX/activeX1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dimension ref="B3:C19"/>
  <sheetViews>
    <sheetView tabSelected="1" workbookViewId="0">
      <selection activeCell="C18" sqref="C18:C19"/>
    </sheetView>
  </sheetViews>
  <sheetFormatPr defaultRowHeight="12.75" x14ac:dyDescent="0.2"/>
  <cols>
    <col min="2" max="2" width="18.7109375" bestFit="1" customWidth="1"/>
  </cols>
  <sheetData>
    <row r="3" spans="2:3" ht="18" thickBot="1" x14ac:dyDescent="0.35">
      <c r="B3" s="358" t="s">
        <v>1830</v>
      </c>
      <c r="C3" s="358"/>
    </row>
    <row r="4" spans="2:3" ht="13.5" thickTop="1" x14ac:dyDescent="0.2"/>
    <row r="5" spans="2:3" ht="15" x14ac:dyDescent="0.25">
      <c r="B5" s="357" t="s">
        <v>1833</v>
      </c>
      <c r="C5" s="359">
        <v>0</v>
      </c>
    </row>
    <row r="6" spans="2:3" ht="15" x14ac:dyDescent="0.25">
      <c r="B6" s="357" t="s">
        <v>1843</v>
      </c>
      <c r="C6" s="359">
        <v>0</v>
      </c>
    </row>
    <row r="7" spans="2:3" x14ac:dyDescent="0.2">
      <c r="C7">
        <f>IF(OR(C5,C6),1,0)</f>
        <v>0</v>
      </c>
    </row>
    <row r="8" spans="2:3" x14ac:dyDescent="0.2">
      <c r="B8" s="357" t="s">
        <v>1831</v>
      </c>
      <c r="C8" s="357" t="s">
        <v>1832</v>
      </c>
    </row>
    <row r="9" spans="2:3" ht="15" x14ac:dyDescent="0.25">
      <c r="B9" t="str">
        <f ca="1">Processes!A2</f>
        <v>Processes</v>
      </c>
      <c r="C9" s="362">
        <v>1</v>
      </c>
    </row>
    <row r="10" spans="2:3" ht="15" x14ac:dyDescent="0.25">
      <c r="B10" t="str">
        <f ca="1">ProcDataGenPre2012!A2</f>
        <v>ProcDataGenPre2012</v>
      </c>
      <c r="C10" s="359">
        <f>1-$C$7</f>
        <v>1</v>
      </c>
    </row>
    <row r="11" spans="2:3" ht="15" x14ac:dyDescent="0.25">
      <c r="B11" t="str">
        <f ca="1">ProcDataGen2012On!A2</f>
        <v>ProcDataGen2012On</v>
      </c>
      <c r="C11" s="359">
        <f>1-$C$7</f>
        <v>1</v>
      </c>
    </row>
    <row r="12" spans="2:3" ht="15" x14ac:dyDescent="0.25">
      <c r="B12" t="str">
        <f ca="1">ProcDataIRP!A2</f>
        <v>ProcDataIRP</v>
      </c>
      <c r="C12" s="359">
        <f>C5</f>
        <v>0</v>
      </c>
    </row>
    <row r="13" spans="2:3" ht="15" x14ac:dyDescent="0.25">
      <c r="B13" t="str">
        <f ca="1">ProcDataRECostProfiles!A2</f>
        <v>ProcDataRECostProfiles</v>
      </c>
      <c r="C13" s="359">
        <f t="shared" ref="C13:C18" si="0">1-$C$7</f>
        <v>1</v>
      </c>
    </row>
    <row r="14" spans="2:3" ht="15" x14ac:dyDescent="0.25">
      <c r="B14" t="str">
        <f ca="1">ProcDataTnD!A2</f>
        <v>ProcDataTnD</v>
      </c>
      <c r="C14" s="359">
        <f t="shared" si="0"/>
        <v>1</v>
      </c>
    </row>
    <row r="15" spans="2:3" ht="15" x14ac:dyDescent="0.25">
      <c r="B15" t="str">
        <f ca="1">ProcDataExports!A2</f>
        <v>ProcDataExports</v>
      </c>
      <c r="C15" s="359">
        <f t="shared" si="0"/>
        <v>1</v>
      </c>
    </row>
    <row r="16" spans="2:3" ht="15" x14ac:dyDescent="0.25">
      <c r="B16" t="str">
        <f ca="1">ProcDataMines!A2</f>
        <v>ProcDataMines</v>
      </c>
      <c r="C16" s="359">
        <f t="shared" si="0"/>
        <v>1</v>
      </c>
    </row>
    <row r="17" spans="2:3" ht="15" x14ac:dyDescent="0.25">
      <c r="B17" t="str">
        <f ca="1">Commodities!A2</f>
        <v>Commodities</v>
      </c>
      <c r="C17" s="359">
        <f t="shared" si="0"/>
        <v>1</v>
      </c>
    </row>
    <row r="18" spans="2:3" ht="15" x14ac:dyDescent="0.25">
      <c r="B18" t="str">
        <f ca="1">CommData!A2</f>
        <v>CommData</v>
      </c>
      <c r="C18" s="359">
        <f t="shared" si="0"/>
        <v>1</v>
      </c>
    </row>
    <row r="19" spans="2:3" ht="15" x14ac:dyDescent="0.25">
      <c r="B19" s="357" t="str">
        <f ca="1">ProcDataRM!A2</f>
        <v>ProcDataRM</v>
      </c>
      <c r="C19" s="359">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IF(INDEX(Index!$C$9:$C$33,MATCH(A2,Index!B9:B33,0)),"Processes","")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1817</v>
      </c>
      <c r="D99" s="66"/>
      <c r="E99" s="65"/>
    </row>
    <row r="100" spans="1:5" ht="12.75" x14ac:dyDescent="0.2">
      <c r="A100" s="64"/>
      <c r="B100" s="49" t="s">
        <v>1818</v>
      </c>
      <c r="C100" s="49" t="s">
        <v>1819</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selection activeCell="V9" sqref="V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IF(INDEX(Index!$C$9:$C$33,MATCH(A2,Index!B9:B33,0)),"ProcData","")</f>
        <v>ProcData</v>
      </c>
      <c r="B1" s="19" t="s">
        <v>138</v>
      </c>
    </row>
    <row r="2" spans="1:62" ht="11.25" customHeight="1" x14ac:dyDescent="0.2">
      <c r="A2" s="64" t="str">
        <f ca="1">MID(CELL("filename",A1),FIND("]",CELL("filename",A1))+1,255)</f>
        <v>ProcDataGenPre2012</v>
      </c>
    </row>
    <row r="3" spans="1:62" ht="34.5" customHeight="1" x14ac:dyDescent="0.2">
      <c r="H3" s="83" t="s">
        <v>153</v>
      </c>
      <c r="I3" s="83" t="s">
        <v>395</v>
      </c>
      <c r="J3" s="83" t="s">
        <v>394</v>
      </c>
      <c r="K3" s="83" t="s">
        <v>393</v>
      </c>
      <c r="L3" s="83" t="s">
        <v>392</v>
      </c>
      <c r="M3" s="83" t="s">
        <v>163</v>
      </c>
      <c r="N3" s="83" t="s">
        <v>151</v>
      </c>
      <c r="O3" s="83" t="s">
        <v>391</v>
      </c>
      <c r="R3" s="49" t="s">
        <v>390</v>
      </c>
      <c r="S3" s="49" t="s">
        <v>390</v>
      </c>
      <c r="T3" s="49" t="s">
        <v>390</v>
      </c>
      <c r="U3" s="49" t="s">
        <v>390</v>
      </c>
      <c r="V3" s="49" t="s">
        <v>390</v>
      </c>
      <c r="W3" s="49" t="s">
        <v>389</v>
      </c>
      <c r="X3" s="49" t="s">
        <v>389</v>
      </c>
      <c r="Y3" s="49" t="s">
        <v>389</v>
      </c>
      <c r="Z3" s="49" t="s">
        <v>388</v>
      </c>
      <c r="AA3" s="49" t="s">
        <v>387</v>
      </c>
      <c r="AB3" s="49" t="s">
        <v>386</v>
      </c>
      <c r="AI3" s="49" t="s">
        <v>150</v>
      </c>
    </row>
    <row r="4" spans="1:62" ht="21.75" customHeight="1" x14ac:dyDescent="0.2">
      <c r="E4" s="82"/>
      <c r="F4" s="82"/>
      <c r="G4" s="82"/>
      <c r="H4" s="67" t="s">
        <v>121</v>
      </c>
      <c r="I4" s="67" t="s">
        <v>385</v>
      </c>
      <c r="J4" s="67" t="s">
        <v>120</v>
      </c>
      <c r="K4" s="67" t="s">
        <v>156</v>
      </c>
      <c r="L4" s="67" t="s">
        <v>384</v>
      </c>
      <c r="M4" s="67" t="s">
        <v>383</v>
      </c>
      <c r="N4" s="67" t="s">
        <v>119</v>
      </c>
      <c r="O4" s="67" t="s">
        <v>382</v>
      </c>
      <c r="P4" s="81" t="s">
        <v>381</v>
      </c>
      <c r="Q4" s="81" t="s">
        <v>381</v>
      </c>
      <c r="R4" s="81" t="s">
        <v>380</v>
      </c>
      <c r="S4" s="81" t="s">
        <v>380</v>
      </c>
      <c r="T4" s="81" t="s">
        <v>380</v>
      </c>
      <c r="U4" s="81" t="s">
        <v>380</v>
      </c>
      <c r="V4" s="81" t="s">
        <v>380</v>
      </c>
      <c r="W4" s="81" t="s">
        <v>379</v>
      </c>
      <c r="X4" s="81" t="s">
        <v>379</v>
      </c>
      <c r="Y4" s="81" t="s">
        <v>379</v>
      </c>
      <c r="Z4" s="81" t="s">
        <v>378</v>
      </c>
      <c r="AA4" s="81" t="s">
        <v>377</v>
      </c>
      <c r="AB4" s="81" t="s">
        <v>376</v>
      </c>
      <c r="AC4" s="81" t="s">
        <v>376</v>
      </c>
      <c r="AD4" s="81" t="s">
        <v>376</v>
      </c>
      <c r="AE4" s="81" t="s">
        <v>376</v>
      </c>
      <c r="AF4" s="81" t="s">
        <v>376</v>
      </c>
      <c r="AG4" s="81" t="s">
        <v>376</v>
      </c>
      <c r="AH4" s="81" t="s">
        <v>376</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375</v>
      </c>
      <c r="AB5" s="67" t="s">
        <v>374</v>
      </c>
      <c r="AC5" s="67" t="s">
        <v>373</v>
      </c>
      <c r="AD5" s="67" t="s">
        <v>372</v>
      </c>
      <c r="AE5" s="67" t="s">
        <v>371</v>
      </c>
      <c r="AF5" s="67" t="s">
        <v>370</v>
      </c>
      <c r="AG5" s="67" t="s">
        <v>369</v>
      </c>
      <c r="AH5" s="67" t="s">
        <v>368</v>
      </c>
      <c r="AM5" s="67"/>
      <c r="AN5" s="67"/>
    </row>
    <row r="6" spans="1:62" ht="17.25" customHeight="1" x14ac:dyDescent="0.2">
      <c r="H6" s="67" t="s">
        <v>122</v>
      </c>
      <c r="I6" s="67"/>
      <c r="J6" s="67"/>
      <c r="N6" s="80"/>
      <c r="Z6" s="67" t="s">
        <v>367</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1834</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0.6</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350</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350</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366</v>
      </c>
      <c r="F24" s="49" t="s">
        <v>365</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BH24" s="49">
        <f>AI24</f>
        <v>0.6</v>
      </c>
    </row>
    <row r="25" spans="2:62" ht="11.25" customHeight="1" x14ac:dyDescent="0.25">
      <c r="B25" s="49" t="str">
        <f>Processes!B31</f>
        <v>ETCLEPFSI-E</v>
      </c>
      <c r="C25" s="49" t="str">
        <f>Processes!C31</f>
        <v>Sasol Infrachem Coal Plant</v>
      </c>
      <c r="D25" s="49" t="str">
        <f>Processes!D31</f>
        <v>PJ,GW</v>
      </c>
      <c r="E25" s="49" t="s">
        <v>364</v>
      </c>
      <c r="F25" s="49" t="s">
        <v>363</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362</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361</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360</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G37"/>
  <sheetViews>
    <sheetView workbookViewId="0">
      <pane xSplit="3" ySplit="7" topLeftCell="P8" activePane="bottomRight" state="frozen"/>
      <selection pane="topRight" activeCell="D1" sqref="D1"/>
      <selection pane="bottomLeft" activeCell="A8" sqref="A8"/>
      <selection pane="bottomRight" activeCell="R14" sqref="R1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9" ht="11.25" customHeight="1" x14ac:dyDescent="0.2">
      <c r="A1" s="70" t="str">
        <f ca="1">IF(INDEX(Index!$C$9:$C$33,MATCH(A2,Index!B9:B33,0)),"ProcData","")</f>
        <v>ProcData</v>
      </c>
      <c r="B1" s="19" t="s">
        <v>138</v>
      </c>
      <c r="L1" s="84"/>
      <c r="AL1" s="49" t="s">
        <v>92</v>
      </c>
      <c r="AM1" s="49" t="s">
        <v>92</v>
      </c>
    </row>
    <row r="2" spans="1:59" ht="11.25" customHeight="1" x14ac:dyDescent="0.2">
      <c r="A2" s="64" t="str">
        <f ca="1">MID(CELL("filename",A1),FIND("]",CELL("filename",A1))+1,255)</f>
        <v>ProcDataGen2012On</v>
      </c>
    </row>
    <row r="3" spans="1:59" ht="34.5" customHeight="1" x14ac:dyDescent="0.2">
      <c r="H3" s="83" t="s">
        <v>153</v>
      </c>
      <c r="I3" s="83" t="s">
        <v>395</v>
      </c>
      <c r="J3" s="83" t="s">
        <v>152</v>
      </c>
      <c r="K3" s="83" t="s">
        <v>155</v>
      </c>
      <c r="L3" s="83" t="s">
        <v>412</v>
      </c>
      <c r="M3" s="83" t="s">
        <v>411</v>
      </c>
      <c r="N3" s="83" t="s">
        <v>163</v>
      </c>
      <c r="O3" s="83" t="s">
        <v>151</v>
      </c>
      <c r="P3" s="83" t="s">
        <v>391</v>
      </c>
      <c r="Q3" s="83" t="s">
        <v>387</v>
      </c>
      <c r="R3" s="49" t="s">
        <v>390</v>
      </c>
      <c r="S3" s="49" t="s">
        <v>390</v>
      </c>
      <c r="T3" s="49" t="s">
        <v>390</v>
      </c>
      <c r="U3" s="49" t="s">
        <v>390</v>
      </c>
      <c r="V3" s="49" t="s">
        <v>390</v>
      </c>
      <c r="W3" s="49" t="s">
        <v>390</v>
      </c>
      <c r="X3" s="49" t="s">
        <v>390</v>
      </c>
      <c r="Y3" s="49" t="s">
        <v>390</v>
      </c>
      <c r="Z3" s="49" t="s">
        <v>388</v>
      </c>
      <c r="AA3" s="49" t="s">
        <v>386</v>
      </c>
      <c r="AH3" s="49" t="s">
        <v>410</v>
      </c>
      <c r="AI3" s="49" t="s">
        <v>409</v>
      </c>
      <c r="AJ3" s="49" t="s">
        <v>409</v>
      </c>
      <c r="AK3" s="49" t="s">
        <v>408</v>
      </c>
    </row>
    <row r="4" spans="1:59" ht="21.75" customHeight="1" x14ac:dyDescent="0.2">
      <c r="E4" s="82"/>
      <c r="F4" s="82"/>
      <c r="G4" s="82"/>
      <c r="H4" s="67" t="s">
        <v>121</v>
      </c>
      <c r="I4" s="67" t="s">
        <v>385</v>
      </c>
      <c r="J4" s="67" t="s">
        <v>120</v>
      </c>
      <c r="K4" s="67" t="s">
        <v>156</v>
      </c>
      <c r="L4" s="67" t="s">
        <v>384</v>
      </c>
      <c r="M4" s="67" t="s">
        <v>407</v>
      </c>
      <c r="N4" s="67" t="s">
        <v>383</v>
      </c>
      <c r="O4" s="67" t="s">
        <v>119</v>
      </c>
      <c r="P4" s="67" t="s">
        <v>382</v>
      </c>
      <c r="Q4" s="81" t="s">
        <v>377</v>
      </c>
      <c r="R4" s="81" t="s">
        <v>379</v>
      </c>
      <c r="S4" s="81" t="s">
        <v>379</v>
      </c>
      <c r="T4" s="81" t="s">
        <v>379</v>
      </c>
      <c r="U4" s="81" t="s">
        <v>379</v>
      </c>
      <c r="V4" s="81" t="s">
        <v>380</v>
      </c>
      <c r="W4" s="81" t="s">
        <v>380</v>
      </c>
      <c r="X4" s="81" t="s">
        <v>380</v>
      </c>
      <c r="Y4" s="81" t="s">
        <v>380</v>
      </c>
      <c r="Z4" s="81" t="s">
        <v>378</v>
      </c>
      <c r="AA4" s="81" t="s">
        <v>376</v>
      </c>
      <c r="AB4" s="81" t="s">
        <v>376</v>
      </c>
      <c r="AC4" s="81" t="s">
        <v>376</v>
      </c>
      <c r="AD4" s="81" t="s">
        <v>376</v>
      </c>
      <c r="AE4" s="81" t="s">
        <v>376</v>
      </c>
      <c r="AF4" s="81" t="s">
        <v>376</v>
      </c>
      <c r="AG4" s="81" t="s">
        <v>376</v>
      </c>
      <c r="AH4" s="81" t="s">
        <v>406</v>
      </c>
      <c r="AI4" s="81" t="s">
        <v>165</v>
      </c>
      <c r="AJ4" s="81" t="s">
        <v>165</v>
      </c>
      <c r="AK4" s="81" t="s">
        <v>405</v>
      </c>
      <c r="AL4" s="81" t="s">
        <v>405</v>
      </c>
      <c r="AM4" s="81" t="s">
        <v>405</v>
      </c>
      <c r="AN4" s="81" t="s">
        <v>405</v>
      </c>
      <c r="AO4" s="81" t="s">
        <v>405</v>
      </c>
      <c r="AP4" s="81" t="s">
        <v>405</v>
      </c>
      <c r="AQ4" s="81" t="s">
        <v>405</v>
      </c>
      <c r="AR4" s="81" t="s">
        <v>405</v>
      </c>
      <c r="AS4" s="81" t="s">
        <v>405</v>
      </c>
      <c r="AT4" s="81" t="s">
        <v>405</v>
      </c>
      <c r="AU4" s="81" t="s">
        <v>405</v>
      </c>
      <c r="AV4" s="81" t="s">
        <v>405</v>
      </c>
      <c r="AW4" s="81" t="s">
        <v>381</v>
      </c>
      <c r="AX4" s="81" t="s">
        <v>381</v>
      </c>
      <c r="AY4" s="81" t="s">
        <v>381</v>
      </c>
      <c r="AZ4" s="81" t="s">
        <v>381</v>
      </c>
      <c r="BA4" s="81" t="s">
        <v>381</v>
      </c>
      <c r="BB4" s="81" t="s">
        <v>381</v>
      </c>
      <c r="BC4" s="81" t="s">
        <v>381</v>
      </c>
      <c r="BD4" s="81" t="s">
        <v>381</v>
      </c>
      <c r="BE4" s="81" t="s">
        <v>381</v>
      </c>
      <c r="BF4" s="81"/>
      <c r="BG4" s="81"/>
    </row>
    <row r="5" spans="1:59" ht="16.5" customHeight="1" x14ac:dyDescent="0.2">
      <c r="H5" s="67" t="s">
        <v>27</v>
      </c>
      <c r="I5" s="67"/>
      <c r="J5" s="67"/>
      <c r="O5" s="80"/>
      <c r="P5" s="67" t="s">
        <v>122</v>
      </c>
      <c r="Q5" s="67" t="s">
        <v>375</v>
      </c>
      <c r="R5" s="67"/>
      <c r="S5" s="67"/>
      <c r="T5" s="67"/>
      <c r="U5" s="67"/>
      <c r="V5" s="67"/>
      <c r="W5" s="67"/>
      <c r="X5" s="67"/>
      <c r="Y5" s="67"/>
      <c r="Z5" s="67" t="s">
        <v>27</v>
      </c>
      <c r="AA5" s="67" t="s">
        <v>374</v>
      </c>
      <c r="AB5" s="67" t="s">
        <v>373</v>
      </c>
      <c r="AC5" s="67" t="s">
        <v>372</v>
      </c>
      <c r="AD5" s="67" t="s">
        <v>371</v>
      </c>
      <c r="AE5" s="67" t="s">
        <v>370</v>
      </c>
      <c r="AF5" s="67" t="s">
        <v>369</v>
      </c>
      <c r="AG5" s="67" t="s">
        <v>368</v>
      </c>
      <c r="AT5" s="67"/>
      <c r="AU5" s="67"/>
      <c r="AY5" s="67"/>
      <c r="AZ5" s="67"/>
    </row>
    <row r="6" spans="1:59" ht="17.25" customHeight="1" x14ac:dyDescent="0.2">
      <c r="H6" s="67" t="s">
        <v>122</v>
      </c>
      <c r="I6" s="67"/>
      <c r="J6" s="67"/>
      <c r="O6" s="80"/>
      <c r="Q6" s="67" t="s">
        <v>122</v>
      </c>
      <c r="Z6" s="67" t="s">
        <v>367</v>
      </c>
      <c r="AA6" s="67" t="s">
        <v>122</v>
      </c>
      <c r="AB6" s="67" t="s">
        <v>122</v>
      </c>
      <c r="AC6" s="67" t="s">
        <v>122</v>
      </c>
      <c r="AD6" s="67" t="s">
        <v>122</v>
      </c>
      <c r="AE6" s="67" t="s">
        <v>122</v>
      </c>
      <c r="AF6" s="67" t="s">
        <v>122</v>
      </c>
      <c r="AG6" s="67" t="s">
        <v>122</v>
      </c>
      <c r="AK6" s="67"/>
      <c r="AL6" s="67"/>
      <c r="AM6" s="67"/>
      <c r="AN6" s="67"/>
      <c r="AO6" s="67"/>
      <c r="AP6" s="67"/>
      <c r="AQ6" s="67"/>
      <c r="AR6" s="67"/>
      <c r="AS6" s="67"/>
      <c r="AW6" s="67"/>
    </row>
    <row r="7" spans="1:59"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2025</v>
      </c>
      <c r="AC7" s="56"/>
      <c r="AD7" s="56"/>
      <c r="AH7" s="78" t="s">
        <v>44</v>
      </c>
      <c r="AI7" s="56">
        <v>0</v>
      </c>
      <c r="AJ7" s="49">
        <v>2012</v>
      </c>
      <c r="AK7" s="49">
        <v>2012</v>
      </c>
      <c r="AL7" s="49">
        <v>2013</v>
      </c>
      <c r="AM7" s="49">
        <v>2014</v>
      </c>
      <c r="AN7" s="49">
        <v>2015</v>
      </c>
      <c r="AO7" s="49">
        <v>2016</v>
      </c>
      <c r="AP7" s="49">
        <v>2017</v>
      </c>
      <c r="AQ7" s="49">
        <v>2018</v>
      </c>
      <c r="AR7" s="49">
        <v>2019</v>
      </c>
      <c r="AS7" s="49">
        <v>2020</v>
      </c>
      <c r="AT7" s="49">
        <v>2021</v>
      </c>
      <c r="AU7" s="49">
        <v>2022</v>
      </c>
      <c r="AV7" s="49">
        <v>2023</v>
      </c>
      <c r="AW7" s="56">
        <v>0</v>
      </c>
      <c r="AX7" s="49">
        <v>2012</v>
      </c>
      <c r="AY7" s="49">
        <v>2020</v>
      </c>
      <c r="AZ7" s="49">
        <v>2025</v>
      </c>
      <c r="BA7" s="49">
        <v>2030</v>
      </c>
      <c r="BB7" s="49">
        <v>2037</v>
      </c>
      <c r="BC7" s="49">
        <v>2040</v>
      </c>
      <c r="BD7" s="49">
        <v>2045</v>
      </c>
      <c r="BE7" s="49">
        <v>2050</v>
      </c>
    </row>
    <row r="8" spans="1:59" ht="11.25" customHeight="1" x14ac:dyDescent="0.2">
      <c r="A8" s="52" t="str">
        <f>Processes!A32</f>
        <v>* New Power Plants - Grid</v>
      </c>
      <c r="F8" s="55"/>
      <c r="Q8" s="56"/>
      <c r="AC8" s="56"/>
      <c r="AD8" s="56"/>
      <c r="AT8" s="56"/>
      <c r="AW8" s="56">
        <v>5</v>
      </c>
      <c r="AX8" s="56"/>
    </row>
    <row r="9" spans="1:59"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0.41</v>
      </c>
      <c r="V9" s="74">
        <v>0.4</v>
      </c>
      <c r="W9" s="74">
        <v>0.8</v>
      </c>
      <c r="X9" s="74">
        <f>INDEX('eskom production 2009-YTD'!$J$84:$T$99,MATCH($C9,'eskom production 2009-YTD'!$A$84:$A$99,0),MATCH(X$7,'eskom production 2009-YTD'!$J$65:$T$65,0))</f>
        <v>0.56045350538393268</v>
      </c>
      <c r="Y9" s="74">
        <f>INDEX('eskom production 2009-YTD'!$J$84:$T$99,MATCH($C9,'eskom production 2009-YTD'!$A$84:$A$99,0),MATCH(Y$7,'eskom production 2009-YTD'!$J$65:$T$65,0))</f>
        <v>0.8</v>
      </c>
      <c r="Z9" s="74"/>
      <c r="AA9" s="74">
        <v>96.25</v>
      </c>
      <c r="AB9" s="77">
        <v>1E-3</v>
      </c>
      <c r="AC9" s="76">
        <v>1.5E-3</v>
      </c>
      <c r="AD9" s="74">
        <v>0.62619999999999998</v>
      </c>
      <c r="AE9" s="74">
        <v>0.3</v>
      </c>
      <c r="AF9" s="74">
        <v>0.02</v>
      </c>
      <c r="AG9" s="74">
        <v>5.0000000000000001E-3</v>
      </c>
      <c r="AH9" s="74"/>
      <c r="AI9" s="85">
        <v>3</v>
      </c>
      <c r="AJ9" s="74">
        <f>SUM(AK9:AU9)</f>
        <v>4.3319999999999999</v>
      </c>
      <c r="AK9" s="77">
        <v>0</v>
      </c>
      <c r="AL9" s="77">
        <v>0</v>
      </c>
      <c r="AM9" s="77">
        <v>0</v>
      </c>
      <c r="AN9" s="77">
        <v>0.72199999999999998</v>
      </c>
      <c r="AO9" s="77">
        <v>0.72199999999999998</v>
      </c>
      <c r="AP9" s="49">
        <v>0</v>
      </c>
      <c r="AQ9" s="49">
        <v>0.72199999999999998</v>
      </c>
      <c r="AR9" s="55">
        <v>0.72199999999999998</v>
      </c>
      <c r="AS9" s="49">
        <v>0.72199999999999998</v>
      </c>
      <c r="AT9" s="49">
        <v>0.72199999999999998</v>
      </c>
      <c r="AU9" s="49">
        <v>0</v>
      </c>
      <c r="AW9" s="56">
        <v>5</v>
      </c>
      <c r="AX9" s="56"/>
      <c r="BA9" s="49">
        <v>0</v>
      </c>
    </row>
    <row r="10" spans="1:59"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2009-YTD'!S16/(AP10*8.76)</f>
        <v>0.21812807523495115</v>
      </c>
      <c r="T10" s="74">
        <v>0.4</v>
      </c>
      <c r="U10" s="74"/>
      <c r="W10" s="74">
        <f>NERSA2018!Q31</f>
        <v>0.55218394942432913</v>
      </c>
      <c r="X10" s="74">
        <f>X9</f>
        <v>0.56045350538393268</v>
      </c>
      <c r="Y10" s="74">
        <f>Y9</f>
        <v>0.8</v>
      </c>
      <c r="Z10" s="74"/>
      <c r="AA10" s="74">
        <f t="shared" ref="AA10:AC11" si="0">AA9</f>
        <v>96.25</v>
      </c>
      <c r="AB10" s="77">
        <f t="shared" si="0"/>
        <v>1E-3</v>
      </c>
      <c r="AC10" s="76">
        <f t="shared" si="0"/>
        <v>1.5E-3</v>
      </c>
      <c r="AD10" s="87">
        <f>AD9*(1-0.93)</f>
        <v>4.383399999999997E-2</v>
      </c>
      <c r="AE10" s="86">
        <f t="shared" ref="AE10:AG11" si="1">AE9</f>
        <v>0.3</v>
      </c>
      <c r="AF10" s="86">
        <f t="shared" si="1"/>
        <v>0.02</v>
      </c>
      <c r="AG10" s="86">
        <f t="shared" si="1"/>
        <v>5.0000000000000001E-3</v>
      </c>
      <c r="AH10" s="74"/>
      <c r="AI10" s="85">
        <v>3</v>
      </c>
      <c r="AJ10" s="74">
        <f>SUM(AK10:AV10)</f>
        <v>4.3319999999999999</v>
      </c>
      <c r="AO10" s="49">
        <v>0</v>
      </c>
      <c r="AP10" s="49">
        <v>0.72199999999999998</v>
      </c>
      <c r="AQ10" s="49">
        <v>0</v>
      </c>
      <c r="AR10" s="49">
        <v>0</v>
      </c>
      <c r="AS10" s="55">
        <f>0.722*2</f>
        <v>1.444</v>
      </c>
      <c r="AT10" s="49">
        <v>0.72199999999999998</v>
      </c>
      <c r="AU10" s="49">
        <v>0.72199999999999998</v>
      </c>
      <c r="AV10" s="49">
        <v>0.72199999999999998</v>
      </c>
      <c r="AW10" s="56">
        <v>5</v>
      </c>
      <c r="AX10" s="56"/>
      <c r="BA10" s="49">
        <v>0</v>
      </c>
    </row>
    <row r="11" spans="1:59"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f t="shared" si="0"/>
        <v>96.25</v>
      </c>
      <c r="AB11" s="77">
        <f t="shared" si="0"/>
        <v>1E-3</v>
      </c>
      <c r="AC11" s="74">
        <f t="shared" si="0"/>
        <v>1.5E-3</v>
      </c>
      <c r="AD11" s="74">
        <f>AD10</f>
        <v>4.383399999999997E-2</v>
      </c>
      <c r="AE11" s="74">
        <f t="shared" si="1"/>
        <v>0.3</v>
      </c>
      <c r="AF11" s="74">
        <f t="shared" si="1"/>
        <v>0.02</v>
      </c>
      <c r="AG11" s="74">
        <f t="shared" si="1"/>
        <v>5.0000000000000001E-3</v>
      </c>
      <c r="AH11" s="85">
        <v>2026</v>
      </c>
      <c r="AI11" s="85"/>
      <c r="AJ11" s="85"/>
      <c r="AS11" s="56"/>
      <c r="AW11" s="56"/>
      <c r="AX11" s="56"/>
    </row>
    <row r="12" spans="1:59"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Z12" s="49">
        <v>0.65700000000000003</v>
      </c>
      <c r="AB12" s="60"/>
      <c r="AI12" s="85">
        <v>3</v>
      </c>
      <c r="AJ12" s="74">
        <f>SUM(AK12:AU12)</f>
        <v>1.32</v>
      </c>
      <c r="AN12" s="49">
        <v>0</v>
      </c>
      <c r="AO12" s="49">
        <v>0.99</v>
      </c>
      <c r="AP12" s="49">
        <v>0.33</v>
      </c>
      <c r="AQ12" s="49">
        <v>0</v>
      </c>
      <c r="AW12" s="56"/>
    </row>
    <row r="13" spans="1:59" ht="11.25" customHeight="1" x14ac:dyDescent="0.2">
      <c r="B13" s="49" t="str">
        <f>Processes!B37</f>
        <v>ETODSGT-N</v>
      </c>
      <c r="C13" s="49" t="str">
        <f>Processes!C37</f>
        <v>DOE Peakers</v>
      </c>
      <c r="D13" s="49" t="str">
        <f>Processes!D37</f>
        <v>PJ,GW</v>
      </c>
      <c r="E13" s="49" t="s">
        <v>362</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B13" s="60"/>
      <c r="AI13" s="85">
        <v>3</v>
      </c>
      <c r="AJ13" s="74">
        <f>SUM(AK13:AU13)</f>
        <v>1.0050000000000001</v>
      </c>
      <c r="AM13" s="49">
        <v>0</v>
      </c>
      <c r="AN13" s="49">
        <v>0.33500000000000002</v>
      </c>
      <c r="AO13" s="49">
        <v>0.67</v>
      </c>
      <c r="AP13" s="49">
        <v>0</v>
      </c>
      <c r="AW13" s="56"/>
    </row>
    <row r="14" spans="1:59" ht="11.25" customHeight="1" x14ac:dyDescent="0.2">
      <c r="B14" s="49" t="str">
        <f>Processes!B38</f>
        <v>ETCLDFB-N</v>
      </c>
      <c r="C14" s="49" t="str">
        <f>Processes!C38</f>
        <v>Fluidised Bed Combustion Coal</v>
      </c>
      <c r="D14" s="49" t="str">
        <f>Processes!D38</f>
        <v>PJ,GW</v>
      </c>
      <c r="E14" s="49" t="s">
        <v>404</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A14" s="74">
        <f>AA13</f>
        <v>0</v>
      </c>
      <c r="AB14" s="77">
        <f t="shared" ref="AB14:AG14" si="2">AB11</f>
        <v>1E-3</v>
      </c>
      <c r="AC14" s="77">
        <f t="shared" si="2"/>
        <v>1.5E-3</v>
      </c>
      <c r="AD14" s="77">
        <f t="shared" si="2"/>
        <v>4.383399999999997E-2</v>
      </c>
      <c r="AE14" s="77">
        <f t="shared" si="2"/>
        <v>0.3</v>
      </c>
      <c r="AF14" s="77">
        <f t="shared" si="2"/>
        <v>0.02</v>
      </c>
      <c r="AG14" s="77">
        <f t="shared" si="2"/>
        <v>5.0000000000000001E-3</v>
      </c>
      <c r="AH14" s="85">
        <v>2026</v>
      </c>
      <c r="AI14" s="77"/>
      <c r="AJ14" s="77"/>
      <c r="AW14" s="56"/>
    </row>
    <row r="15" spans="1:59" ht="11.25" customHeight="1" x14ac:dyDescent="0.2">
      <c r="B15" s="49" t="str">
        <f>Processes!B39</f>
        <v>ERHYD-N</v>
      </c>
      <c r="C15" s="49" t="str">
        <f>Processes!C39</f>
        <v>Micro hydro</v>
      </c>
      <c r="D15" s="49" t="str">
        <f>Processes!D39</f>
        <v>PJ,GW</v>
      </c>
      <c r="E15" s="49" t="s">
        <v>361</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H15" s="85"/>
      <c r="AI15" s="49">
        <v>3</v>
      </c>
      <c r="AJ15" s="49">
        <v>0.01</v>
      </c>
      <c r="AT15" s="49">
        <v>4.4999999999999997E-3</v>
      </c>
      <c r="AW15" s="56"/>
    </row>
    <row r="16" spans="1:59" ht="11.25" customHeight="1" x14ac:dyDescent="0.2">
      <c r="B16" s="49" t="str">
        <f>Processes!B40</f>
        <v>ETNUC-N</v>
      </c>
      <c r="C16" s="49" t="str">
        <f>Processes!C40</f>
        <v>Nuclear Mid</v>
      </c>
      <c r="D16" s="49" t="str">
        <f>Processes!D40</f>
        <v>PJ,GW</v>
      </c>
      <c r="E16" s="49" t="s">
        <v>360</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H16" s="85">
        <v>2030</v>
      </c>
      <c r="AW16" s="56"/>
    </row>
    <row r="17" spans="1:57" ht="11.25" customHeight="1" x14ac:dyDescent="0.2">
      <c r="B17" s="49" t="str">
        <f>Processes!B41</f>
        <v>ERSOLTC09-N</v>
      </c>
      <c r="C17" s="49" t="str">
        <f>Processes!C41</f>
        <v>Solar Central Receiver 09 hrs storage</v>
      </c>
      <c r="D17" s="49" t="str">
        <f>Processes!D41</f>
        <v>PJ,GW</v>
      </c>
      <c r="E17" s="49" t="s">
        <v>397</v>
      </c>
      <c r="F17" s="49" t="s">
        <v>132</v>
      </c>
      <c r="H17" s="49">
        <v>1</v>
      </c>
      <c r="J17" s="58">
        <f>INDEX('IRP Costs'!$B$14:$AK$14,1,MATCH(C17,'IRP Costs'!$B$2:$AK$2,0))</f>
        <v>0.89327615502872393</v>
      </c>
      <c r="L17" s="84"/>
      <c r="M17" s="49">
        <v>-3</v>
      </c>
      <c r="N17" s="49">
        <v>30</v>
      </c>
      <c r="O17" s="49">
        <v>31.536000000000001</v>
      </c>
      <c r="P17" s="49">
        <v>1</v>
      </c>
      <c r="R17" s="74"/>
      <c r="S17" s="74"/>
      <c r="T17" s="74"/>
      <c r="U17" s="74"/>
      <c r="AH17" s="85"/>
      <c r="AK17" s="49">
        <v>0</v>
      </c>
      <c r="AL17" s="49">
        <f>REIPPP!D10/1000</f>
        <v>0</v>
      </c>
      <c r="AM17" s="49">
        <f>REIPPP!E10/1000</f>
        <v>0</v>
      </c>
      <c r="AN17" s="49">
        <f>REIPPP!F10/1000</f>
        <v>0</v>
      </c>
      <c r="AO17" s="49">
        <f>REIPPP!G10/1000</f>
        <v>0.2</v>
      </c>
      <c r="AP17" s="49">
        <f>REIPPP!H10/1000</f>
        <v>0.1</v>
      </c>
      <c r="AQ17" s="49">
        <f>REIPPP!I10/1000</f>
        <v>0.1</v>
      </c>
      <c r="AR17" s="49">
        <f>REIPPP!J10/1000</f>
        <v>0.1</v>
      </c>
      <c r="AS17" s="49">
        <v>0</v>
      </c>
      <c r="AT17" s="49">
        <v>0</v>
      </c>
      <c r="AU17" s="49">
        <v>0</v>
      </c>
      <c r="AV17" s="49">
        <v>0</v>
      </c>
      <c r="AW17" s="56"/>
    </row>
    <row r="18" spans="1:57" ht="11.25" customHeight="1" x14ac:dyDescent="0.2">
      <c r="B18" s="49" t="str">
        <f>Processes!B42</f>
        <v>ERSOLPCF-N</v>
      </c>
      <c r="C18" s="49" t="str">
        <f>Processes!C42</f>
        <v>Solar PV Fixed</v>
      </c>
      <c r="D18" s="49" t="str">
        <f>Processes!D42</f>
        <v>PJ,GW</v>
      </c>
      <c r="E18" s="49" t="s">
        <v>397</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H18" s="85"/>
      <c r="AK18" s="49">
        <v>0</v>
      </c>
      <c r="AL18" s="49">
        <f>REIPPP!D9/1000</f>
        <v>0.21</v>
      </c>
      <c r="AM18" s="49">
        <f>REIPPP!E9/1000</f>
        <v>0.75</v>
      </c>
      <c r="AN18" s="350">
        <f>IF(AL1="*",AL18,0)+IF(AM1="*",AM18,0)</f>
        <v>0.96</v>
      </c>
      <c r="AO18" s="49">
        <v>0</v>
      </c>
      <c r="AP18" s="49">
        <v>0</v>
      </c>
      <c r="AQ18" s="49">
        <v>0</v>
      </c>
      <c r="AR18" s="49">
        <v>0</v>
      </c>
      <c r="AS18" s="49">
        <v>0</v>
      </c>
      <c r="AT18" s="49">
        <v>0</v>
      </c>
      <c r="AW18" s="56"/>
    </row>
    <row r="19" spans="1:57" ht="11.25" customHeight="1" x14ac:dyDescent="0.2">
      <c r="B19" s="49" t="str">
        <f>Processes!B43</f>
        <v>ERSOLPCT-N</v>
      </c>
      <c r="C19" s="49" t="str">
        <f>Processes!C43</f>
        <v>Solar PV tracking</v>
      </c>
      <c r="D19" s="49" t="str">
        <f>Processes!D43</f>
        <v>PJ,GW</v>
      </c>
      <c r="E19" s="49" t="s">
        <v>397</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H19" s="85"/>
      <c r="AK19" s="49">
        <v>0</v>
      </c>
      <c r="AL19" s="49">
        <v>0</v>
      </c>
      <c r="AM19" s="49">
        <v>0</v>
      </c>
      <c r="AN19" s="49">
        <f>REIPPP!F9/1000</f>
        <v>5.0000000000000001E-3</v>
      </c>
      <c r="AO19" s="49">
        <f>REIPPP!G9/1000</f>
        <v>0.50900000000000001</v>
      </c>
      <c r="AP19" s="49">
        <f>REIPPP!H9/1000</f>
        <v>0</v>
      </c>
      <c r="AQ19" s="49">
        <f>REIPPP!I9/1000</f>
        <v>0</v>
      </c>
      <c r="AR19" s="49">
        <f>REIPPP!J9/1000</f>
        <v>0</v>
      </c>
      <c r="AS19" s="49">
        <f>REIPPP!J45</f>
        <v>0.114</v>
      </c>
      <c r="AT19" s="49">
        <f>REIPPP!K45</f>
        <v>0.3</v>
      </c>
      <c r="AU19" s="49">
        <f>REIPPP!L45</f>
        <v>0.4</v>
      </c>
      <c r="AW19" s="56"/>
    </row>
    <row r="20" spans="1:57" ht="11.25" customHeight="1" x14ac:dyDescent="0.2">
      <c r="B20" s="49" t="str">
        <f>Processes!B44</f>
        <v>ERWNDH-N</v>
      </c>
      <c r="C20" s="49" t="str">
        <f>Processes!C44</f>
        <v>Wind</v>
      </c>
      <c r="D20" s="49" t="str">
        <f>Processes!D44</f>
        <v>PJ,GW</v>
      </c>
      <c r="E20" s="49" t="s">
        <v>403</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H20" s="85"/>
      <c r="AK20" s="49">
        <v>0</v>
      </c>
      <c r="AL20" s="49">
        <f>REIPPP!D8/1000</f>
        <v>0.25700000000000001</v>
      </c>
      <c r="AM20" s="49">
        <f>REIPPP!E8/1000</f>
        <v>0.30299999999999999</v>
      </c>
      <c r="AN20" s="350">
        <f>REIPPP!F8/1000+IF(AL1="*",AL20,0)+IF(AM1="*",AM20,0)</f>
        <v>1.075</v>
      </c>
      <c r="AO20" s="49">
        <f>REIPPP!G8/1000</f>
        <v>0.38500000000000001</v>
      </c>
      <c r="AP20" s="49">
        <f>REIPPP!H8/1000</f>
        <v>0.62</v>
      </c>
      <c r="AQ20" s="49">
        <f>REIPPP!I8/1000</f>
        <v>0</v>
      </c>
      <c r="AR20" s="49">
        <f>REIPPP!J8/1000</f>
        <v>0</v>
      </c>
      <c r="AS20" s="49">
        <f>REIPPP!J46</f>
        <v>0.24399999999999999</v>
      </c>
      <c r="AT20" s="49">
        <f>REIPPP!K46</f>
        <v>0.3</v>
      </c>
      <c r="AU20" s="49">
        <f>REIPPP!L46</f>
        <v>0.81799999999999995</v>
      </c>
      <c r="AV20" s="49">
        <f>REIPPP!M46</f>
        <v>0</v>
      </c>
      <c r="AW20" s="56">
        <v>3</v>
      </c>
      <c r="AY20" s="49">
        <v>1</v>
      </c>
      <c r="AZ20" s="49">
        <v>2</v>
      </c>
      <c r="BA20" s="49">
        <v>3</v>
      </c>
      <c r="BB20" s="49">
        <v>3.7</v>
      </c>
      <c r="BC20" s="49">
        <f>4*5</f>
        <v>20</v>
      </c>
      <c r="BD20" s="49">
        <f>4.5*5</f>
        <v>22.5</v>
      </c>
      <c r="BE20" s="49">
        <f>5*3</f>
        <v>15</v>
      </c>
    </row>
    <row r="21" spans="1:57"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H21" s="85">
        <v>2030</v>
      </c>
      <c r="AI21" s="85">
        <v>3</v>
      </c>
      <c r="AJ21" s="49">
        <v>2.5</v>
      </c>
      <c r="AW21" s="56"/>
    </row>
    <row r="22" spans="1:57" ht="11.25" customHeight="1" x14ac:dyDescent="0.2">
      <c r="B22" s="49" t="str">
        <f>Processes!B46</f>
        <v>ETGICGT-N</v>
      </c>
      <c r="C22" s="49" t="str">
        <f>Processes!C46</f>
        <v>Open Cycle Gas Turbine - LNG</v>
      </c>
      <c r="D22" s="49" t="str">
        <f>Processes!D46</f>
        <v>PJ,GW</v>
      </c>
      <c r="E22" s="49" t="s">
        <v>402</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H22" s="85">
        <v>2026</v>
      </c>
      <c r="AW22" s="56"/>
    </row>
    <row r="23" spans="1:57" ht="11.25" customHeight="1" x14ac:dyDescent="0.2">
      <c r="B23" s="49" t="str">
        <f>Processes!B47</f>
        <v>ETGICCC-N</v>
      </c>
      <c r="C23" s="49" t="str">
        <f>Processes!C47</f>
        <v>Combined Cycle Gas Turbine - LNG</v>
      </c>
      <c r="D23" s="49" t="str">
        <f>Processes!D47</f>
        <v>PJ,GW</v>
      </c>
      <c r="E23" s="49" t="s">
        <v>402</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H23" s="85">
        <v>2026</v>
      </c>
      <c r="AW23" s="56"/>
    </row>
    <row r="24" spans="1:57" ht="11.25" customHeight="1" x14ac:dyDescent="0.2">
      <c r="B24" s="49" t="str">
        <f>Processes!B48</f>
        <v>ETGICEN-N</v>
      </c>
      <c r="C24" s="49" t="str">
        <f>Processes!C48</f>
        <v>Gas Engines - LNG</v>
      </c>
      <c r="D24" s="49" t="str">
        <f>Processes!D48</f>
        <v>PJ,GW</v>
      </c>
      <c r="E24" s="49" t="s">
        <v>402</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H24" s="85">
        <v>2026</v>
      </c>
      <c r="AW24" s="56"/>
    </row>
    <row r="25" spans="1:57" ht="11.25" customHeight="1" x14ac:dyDescent="0.2">
      <c r="B25" s="49" t="str">
        <f>Processes!B49</f>
        <v>ERBIO-N</v>
      </c>
      <c r="C25" s="49" t="str">
        <f>Processes!C49</f>
        <v>Biomass municipal waste</v>
      </c>
      <c r="D25" s="49" t="str">
        <f>Processes!D49</f>
        <v>PJ,GW</v>
      </c>
      <c r="E25" s="49" t="s">
        <v>401</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H25" s="85"/>
      <c r="AW25" s="56">
        <v>3</v>
      </c>
      <c r="AX25" s="49">
        <v>0</v>
      </c>
    </row>
    <row r="26" spans="1:57" ht="11.25" customHeight="1" x14ac:dyDescent="0.2">
      <c r="B26" s="49" t="str">
        <f>Processes!B50</f>
        <v>ERBIG-N</v>
      </c>
      <c r="C26" s="49" t="str">
        <f>Processes!C50</f>
        <v>Landfill gas</v>
      </c>
      <c r="D26" s="49" t="str">
        <f>Processes!D50</f>
        <v>PJ,GW</v>
      </c>
      <c r="E26" s="49" t="s">
        <v>400</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H26" s="85"/>
      <c r="AW26" s="56">
        <v>3</v>
      </c>
      <c r="AX26" s="49">
        <v>0</v>
      </c>
    </row>
    <row r="27" spans="1:57"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Z27" s="49">
        <v>0.16600000000000001</v>
      </c>
      <c r="AH27" s="85">
        <v>2022</v>
      </c>
      <c r="AW27" s="56">
        <v>3</v>
      </c>
      <c r="AY27" s="49">
        <v>1</v>
      </c>
      <c r="AZ27" s="49">
        <v>2</v>
      </c>
      <c r="BA27" s="49">
        <v>3</v>
      </c>
      <c r="BB27" s="49">
        <f>BB20</f>
        <v>3.7</v>
      </c>
      <c r="BC27" s="49">
        <f>BC20</f>
        <v>20</v>
      </c>
      <c r="BD27" s="49">
        <f>BD20</f>
        <v>22.5</v>
      </c>
      <c r="BE27" s="49">
        <f>BE20</f>
        <v>15</v>
      </c>
    </row>
    <row r="28" spans="1:57" ht="11.25" customHeight="1" x14ac:dyDescent="0.2">
      <c r="A28" s="52" t="str">
        <f>Processes!A52</f>
        <v>* New Power Plants - On-site</v>
      </c>
      <c r="J28" s="58"/>
      <c r="K28" s="72"/>
      <c r="L28" s="84"/>
      <c r="O28" s="49">
        <v>31.536000000000001</v>
      </c>
      <c r="R28" s="74"/>
      <c r="S28" s="74"/>
      <c r="T28" s="74"/>
      <c r="U28" s="74"/>
      <c r="AH28" s="85"/>
      <c r="AW28" s="56"/>
    </row>
    <row r="29" spans="1:57" ht="11.25" customHeight="1" x14ac:dyDescent="0.2">
      <c r="B29" s="49" t="str">
        <f>Processes!B53</f>
        <v>ERSOLPRC-N</v>
      </c>
      <c r="C29" s="49" t="str">
        <f>Processes!C53</f>
        <v>Solar PV rooftop commercial</v>
      </c>
      <c r="D29" s="49" t="str">
        <f>Processes!D53</f>
        <v>PJ,GW</v>
      </c>
      <c r="E29" s="49" t="s">
        <v>397</v>
      </c>
      <c r="F29" s="62" t="s">
        <v>399</v>
      </c>
      <c r="H29" s="49">
        <v>1</v>
      </c>
      <c r="J29" s="58"/>
      <c r="K29" s="72">
        <f>K$18*ProcDataRECostProfiles!Q15</f>
        <v>312.93250262966257</v>
      </c>
      <c r="L29" s="84"/>
      <c r="M29" s="49">
        <v>-1</v>
      </c>
      <c r="N29" s="49">
        <v>25</v>
      </c>
      <c r="O29" s="49">
        <v>31.536000000000001</v>
      </c>
      <c r="R29" s="74"/>
      <c r="S29" s="74"/>
      <c r="T29" s="74"/>
      <c r="U29" s="74"/>
      <c r="AH29" s="85"/>
      <c r="AK29" s="49">
        <v>0</v>
      </c>
      <c r="AL29" s="49">
        <v>0</v>
      </c>
      <c r="AM29" s="49">
        <v>0</v>
      </c>
      <c r="AN29" s="49">
        <f>REIPPP!D75/1000</f>
        <v>0.1232</v>
      </c>
      <c r="AO29" s="49">
        <f>REIPPP!E75/1000</f>
        <v>7.6800000000000007E-2</v>
      </c>
      <c r="AP29" s="49">
        <f>REIPPP!F75/1000</f>
        <v>0.1072</v>
      </c>
      <c r="AQ29" s="49">
        <f>REIPPP!G75/1000</f>
        <v>0.16</v>
      </c>
      <c r="AR29" s="49">
        <f>REIPPP!H75/1000</f>
        <v>0.24</v>
      </c>
      <c r="AS29" s="49">
        <f>REIPPP!I75/1000</f>
        <v>0.24499999999999997</v>
      </c>
      <c r="AT29" s="49">
        <f>REIPPP!J75/1000</f>
        <v>0.28000000000000003</v>
      </c>
      <c r="AW29" s="56">
        <v>3</v>
      </c>
      <c r="AY29" s="49">
        <v>1</v>
      </c>
      <c r="AZ29" s="49">
        <v>2</v>
      </c>
      <c r="BA29" s="49">
        <v>3</v>
      </c>
      <c r="BB29" s="49">
        <f>BB27</f>
        <v>3.7</v>
      </c>
      <c r="BC29" s="49">
        <f t="shared" ref="BC29:BE29" si="3">BC27</f>
        <v>20</v>
      </c>
      <c r="BD29" s="49">
        <f t="shared" si="3"/>
        <v>22.5</v>
      </c>
      <c r="BE29" s="49">
        <f t="shared" si="3"/>
        <v>15</v>
      </c>
    </row>
    <row r="30" spans="1:57" ht="11.25" customHeight="1" x14ac:dyDescent="0.2">
      <c r="B30" s="49" t="str">
        <f>Processes!B54</f>
        <v>ERSOLPRR-N</v>
      </c>
      <c r="C30" s="49" t="str">
        <f>Processes!C54</f>
        <v>Solar PV rooftop residential</v>
      </c>
      <c r="D30" s="49" t="str">
        <f>Processes!D54</f>
        <v>PJ,GW</v>
      </c>
      <c r="E30" s="49" t="s">
        <v>397</v>
      </c>
      <c r="F30" s="62" t="s">
        <v>398</v>
      </c>
      <c r="H30" s="49">
        <v>1</v>
      </c>
      <c r="J30" s="58"/>
      <c r="K30" s="72">
        <f>K$18*ProcDataRECostProfiles!Q16</f>
        <v>472.09644793268058</v>
      </c>
      <c r="L30" s="84"/>
      <c r="M30" s="49">
        <v>-1</v>
      </c>
      <c r="N30" s="49">
        <v>25</v>
      </c>
      <c r="O30" s="49">
        <v>31.536000000000001</v>
      </c>
      <c r="R30" s="74"/>
      <c r="S30" s="74"/>
      <c r="T30" s="74"/>
      <c r="U30" s="74"/>
      <c r="AH30" s="85"/>
      <c r="AK30" s="49">
        <v>0</v>
      </c>
      <c r="AL30" s="49">
        <v>0</v>
      </c>
      <c r="AM30" s="49">
        <v>0</v>
      </c>
      <c r="AN30" s="49">
        <f>REIPPP!D76/1000</f>
        <v>1.54E-2</v>
      </c>
      <c r="AO30" s="49">
        <f>REIPPP!E76/1000</f>
        <v>9.6000000000000009E-3</v>
      </c>
      <c r="AP30" s="49">
        <f>REIPPP!F76/1000</f>
        <v>1.34E-2</v>
      </c>
      <c r="AQ30" s="49">
        <f>REIPPP!G76/1000</f>
        <v>0.02</v>
      </c>
      <c r="AR30" s="49">
        <f>REIPPP!H76/1000</f>
        <v>0.03</v>
      </c>
      <c r="AS30" s="49">
        <f>REIPPP!I76/1000</f>
        <v>3.5000000000000003E-2</v>
      </c>
      <c r="AT30" s="49">
        <f>REIPPP!J76/1000</f>
        <v>0.04</v>
      </c>
      <c r="AW30" s="56">
        <v>3</v>
      </c>
      <c r="AY30" s="49">
        <v>1</v>
      </c>
      <c r="AZ30" s="49">
        <v>2</v>
      </c>
      <c r="BA30" s="49">
        <v>3</v>
      </c>
      <c r="BB30" s="49">
        <f>BB27</f>
        <v>3.7</v>
      </c>
      <c r="BC30" s="49">
        <f t="shared" ref="BC30:BE30" si="4">BC27</f>
        <v>20</v>
      </c>
      <c r="BD30" s="49">
        <f t="shared" si="4"/>
        <v>22.5</v>
      </c>
      <c r="BE30" s="49">
        <f t="shared" si="4"/>
        <v>15</v>
      </c>
    </row>
    <row r="31" spans="1:57" ht="11.25" customHeight="1" x14ac:dyDescent="0.2">
      <c r="B31" s="49" t="str">
        <f>Processes!B55</f>
        <v>ERSOLPRI-N</v>
      </c>
      <c r="C31" s="49" t="str">
        <f>Processes!C55</f>
        <v>Solar PV rooftop Industry</v>
      </c>
      <c r="D31" s="49" t="str">
        <f>Processes!D55</f>
        <v>PJ,GW</v>
      </c>
      <c r="E31" s="49" t="s">
        <v>397</v>
      </c>
      <c r="F31" s="62" t="s">
        <v>396</v>
      </c>
      <c r="H31" s="49">
        <v>1</v>
      </c>
      <c r="J31" s="58"/>
      <c r="K31" s="72">
        <f>K$18*ProcDataRECostProfiles!Q17</f>
        <v>312.93250262966257</v>
      </c>
      <c r="L31" s="84"/>
      <c r="M31" s="49">
        <v>-1</v>
      </c>
      <c r="N31" s="49">
        <v>25</v>
      </c>
      <c r="O31" s="49">
        <v>31.536000000000001</v>
      </c>
      <c r="R31" s="74"/>
      <c r="S31" s="74"/>
      <c r="T31" s="74"/>
      <c r="U31" s="74"/>
      <c r="AH31" s="85"/>
      <c r="AK31" s="49">
        <v>0</v>
      </c>
      <c r="AL31" s="49">
        <v>0</v>
      </c>
      <c r="AM31" s="49">
        <v>0</v>
      </c>
      <c r="AN31" s="49">
        <f>REIPPP!D77/1000</f>
        <v>1.5399999999999997E-2</v>
      </c>
      <c r="AO31" s="49">
        <f>REIPPP!E77/1000</f>
        <v>9.5999999999999974E-3</v>
      </c>
      <c r="AP31" s="49">
        <f>REIPPP!F77/1000</f>
        <v>1.3399999999999997E-2</v>
      </c>
      <c r="AQ31" s="49">
        <f>REIPPP!G77/1000</f>
        <v>1.9999999999999997E-2</v>
      </c>
      <c r="AR31" s="49">
        <f>REIPPP!H77/1000</f>
        <v>2.9999999999999992E-2</v>
      </c>
      <c r="AS31" s="49">
        <f>REIPPP!I77/1000</f>
        <v>7.0000000000000034E-2</v>
      </c>
      <c r="AT31" s="49">
        <f>REIPPP!J77/1000</f>
        <v>8.0000000000000029E-2</v>
      </c>
      <c r="AW31" s="56">
        <v>3</v>
      </c>
      <c r="AY31" s="49">
        <v>1</v>
      </c>
      <c r="AZ31" s="49">
        <v>2</v>
      </c>
      <c r="BA31" s="49">
        <v>3</v>
      </c>
      <c r="BB31" s="49">
        <f>BB30</f>
        <v>3.7</v>
      </c>
      <c r="BC31" s="49">
        <f t="shared" ref="BC31:BE31" si="5">BC30</f>
        <v>20</v>
      </c>
      <c r="BD31" s="49">
        <f t="shared" si="5"/>
        <v>22.5</v>
      </c>
      <c r="BE31" s="49">
        <f t="shared" si="5"/>
        <v>15</v>
      </c>
    </row>
    <row r="32" spans="1:57" ht="11.25" customHeight="1" x14ac:dyDescent="0.2">
      <c r="B32" s="49" t="str">
        <f>Processes!B56</f>
        <v>ETGASENSS-N</v>
      </c>
      <c r="C32" s="49" t="str">
        <f>Processes!C56</f>
        <v xml:space="preserve">Sasol SSF Gas Plant </v>
      </c>
      <c r="D32" s="49" t="str">
        <f>Processes!D56</f>
        <v>PJ,GW</v>
      </c>
      <c r="E32" s="49" t="s">
        <v>134</v>
      </c>
      <c r="F32" s="49" t="s">
        <v>365</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H32" s="85"/>
      <c r="AI32" s="49">
        <v>3</v>
      </c>
      <c r="AJ32" s="60">
        <f>AK32</f>
        <v>0.249</v>
      </c>
      <c r="AK32" s="60">
        <f>ROUND(NERSA2018!I110/1000*0.99,3)</f>
        <v>0.249</v>
      </c>
      <c r="AL32" s="49">
        <v>0</v>
      </c>
      <c r="AW32" s="56"/>
    </row>
    <row r="33" spans="2:49" ht="11.25" customHeight="1" x14ac:dyDescent="0.2">
      <c r="B33" s="49" t="str">
        <f>Processes!B57</f>
        <v>ETGASENSI-N</v>
      </c>
      <c r="C33" s="49" t="str">
        <f>Processes!C57</f>
        <v xml:space="preserve">Sasol Infrachem Gas Plant </v>
      </c>
      <c r="D33" s="49" t="str">
        <f>Processes!D57</f>
        <v>PJ,GW</v>
      </c>
      <c r="E33" s="49" t="s">
        <v>134</v>
      </c>
      <c r="F33" s="49" t="s">
        <v>363</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H33" s="85"/>
      <c r="AI33" s="49">
        <v>3</v>
      </c>
      <c r="AJ33" s="60">
        <f>AK33</f>
        <v>0.17199999999999999</v>
      </c>
      <c r="AK33" s="60">
        <f>ROUND(NERSA2018!I109/1000*0.98,3)</f>
        <v>0.17199999999999999</v>
      </c>
      <c r="AL33" s="49">
        <v>0</v>
      </c>
      <c r="AW33" s="56"/>
    </row>
    <row r="34" spans="2:49" ht="11.25" customHeight="1" x14ac:dyDescent="0.2">
      <c r="AH34" s="85"/>
      <c r="AW34" s="56"/>
    </row>
    <row r="35" spans="2:49" ht="11.25" customHeight="1" x14ac:dyDescent="0.2">
      <c r="AH35" s="85"/>
      <c r="AW35" s="56"/>
    </row>
    <row r="36" spans="2:49" ht="11.25" customHeight="1" x14ac:dyDescent="0.2">
      <c r="AW36" s="56"/>
    </row>
    <row r="37" spans="2:49" ht="11.25" customHeight="1" x14ac:dyDescent="0.2">
      <c r="AW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P27"/>
  <sheetViews>
    <sheetView zoomScale="130" zoomScaleNormal="130" workbookViewId="0">
      <selection activeCell="H25" sqref="H25:P27"/>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6" ht="11.25" customHeight="1" x14ac:dyDescent="0.2">
      <c r="A1" s="70" t="str">
        <f ca="1">IF(INDEX(Index!$C$9:$C$33,MATCH(A2,Index!B9:B33,0)),"ProcData","")</f>
        <v/>
      </c>
      <c r="B1" s="19" t="s">
        <v>138</v>
      </c>
    </row>
    <row r="2" spans="1:16" ht="11.25" customHeight="1" x14ac:dyDescent="0.2">
      <c r="A2" s="64" t="str">
        <f ca="1">MID(CELL("filename",A1),FIND("]",CELL("filename",A1))+1,255)</f>
        <v>ProcDataIRP</v>
      </c>
    </row>
    <row r="3" spans="1:16" ht="34.5" customHeight="1" x14ac:dyDescent="0.2"/>
    <row r="4" spans="1:16" ht="21.75" customHeight="1" x14ac:dyDescent="0.2">
      <c r="E4" s="82"/>
      <c r="F4" s="82"/>
      <c r="G4" s="82"/>
      <c r="H4" s="81" t="s">
        <v>405</v>
      </c>
      <c r="I4" s="81" t="s">
        <v>405</v>
      </c>
      <c r="J4" s="81" t="s">
        <v>405</v>
      </c>
      <c r="K4" s="81" t="s">
        <v>405</v>
      </c>
      <c r="L4" s="81" t="s">
        <v>405</v>
      </c>
      <c r="M4" s="81" t="s">
        <v>405</v>
      </c>
      <c r="N4" s="81" t="s">
        <v>405</v>
      </c>
      <c r="O4" s="81" t="s">
        <v>405</v>
      </c>
      <c r="P4" s="81" t="s">
        <v>405</v>
      </c>
    </row>
    <row r="5" spans="1:16" ht="16.5" customHeight="1" x14ac:dyDescent="0.2">
      <c r="H5" s="67"/>
    </row>
    <row r="6" spans="1:16" ht="17.25" customHeight="1" x14ac:dyDescent="0.2"/>
    <row r="7" spans="1:16"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row>
    <row r="8" spans="1:16" ht="11.25" customHeight="1" x14ac:dyDescent="0.2">
      <c r="A8" s="52" t="str">
        <f>Processes!A32</f>
        <v>* New Power Plants - Grid</v>
      </c>
      <c r="F8" s="55"/>
    </row>
    <row r="9" spans="1:16" ht="11.25" customHeight="1" x14ac:dyDescent="0.2">
      <c r="B9" s="49" t="str">
        <f>Processes!B35</f>
        <v>ETCLEWATE-N</v>
      </c>
      <c r="C9" s="49" t="str">
        <f>Processes!C35</f>
        <v>Generic Waterberg Coal Plant</v>
      </c>
      <c r="D9" s="49" t="str">
        <f>Processes!D35</f>
        <v>PJ,GW</v>
      </c>
      <c r="E9" s="62" t="str">
        <f>"PWR"&amp;MID(B9,3,7)</f>
        <v>PWRCLEWATE</v>
      </c>
      <c r="F9" s="49" t="s">
        <v>132</v>
      </c>
    </row>
    <row r="10" spans="1:16" ht="11.25" customHeight="1" x14ac:dyDescent="0.2">
      <c r="B10" s="49" t="str">
        <f>Processes!B38</f>
        <v>ETCLDFB-N</v>
      </c>
      <c r="C10" s="49" t="str">
        <f>Processes!C38</f>
        <v>Fluidised Bed Combustion Coal</v>
      </c>
      <c r="D10" s="49" t="str">
        <f>Processes!D38</f>
        <v>PJ,GW</v>
      </c>
      <c r="E10" s="49" t="s">
        <v>404</v>
      </c>
      <c r="F10" s="49" t="s">
        <v>132</v>
      </c>
      <c r="L10" s="49">
        <v>0.75</v>
      </c>
      <c r="M10" s="49">
        <v>0.75</v>
      </c>
    </row>
    <row r="11" spans="1:16" ht="11.25" customHeight="1" x14ac:dyDescent="0.2">
      <c r="B11" s="49" t="str">
        <f>Processes!B39</f>
        <v>ERHYD-N</v>
      </c>
      <c r="C11" s="49" t="str">
        <f>Processes!C39</f>
        <v>Micro hydro</v>
      </c>
      <c r="D11" s="49" t="str">
        <f>Processes!D39</f>
        <v>PJ,GW</v>
      </c>
      <c r="E11" s="49" t="s">
        <v>361</v>
      </c>
      <c r="F11" s="49" t="s">
        <v>132</v>
      </c>
    </row>
    <row r="12" spans="1:16" ht="11.25" customHeight="1" x14ac:dyDescent="0.2">
      <c r="B12" s="49" t="str">
        <f>Processes!B40</f>
        <v>ETNUC-N</v>
      </c>
      <c r="C12" s="49" t="str">
        <f>Processes!C40</f>
        <v>Nuclear Mid</v>
      </c>
      <c r="D12" s="49" t="str">
        <f>Processes!D40</f>
        <v>PJ,GW</v>
      </c>
      <c r="E12" s="49" t="s">
        <v>360</v>
      </c>
      <c r="F12" s="49" t="s">
        <v>132</v>
      </c>
    </row>
    <row r="13" spans="1:16" ht="11.25" customHeight="1" x14ac:dyDescent="0.2">
      <c r="B13" s="49" t="str">
        <f>Processes!B41</f>
        <v>ERSOLTC09-N</v>
      </c>
      <c r="C13" s="49" t="str">
        <f>Processes!C41</f>
        <v>Solar Central Receiver 09 hrs storage</v>
      </c>
      <c r="D13" s="49" t="str">
        <f>Processes!D41</f>
        <v>PJ,GW</v>
      </c>
      <c r="E13" s="49" t="s">
        <v>397</v>
      </c>
      <c r="F13" s="49" t="s">
        <v>132</v>
      </c>
    </row>
    <row r="14" spans="1:16" ht="11.25" customHeight="1" x14ac:dyDescent="0.2">
      <c r="B14" s="49" t="str">
        <f>Processes!B42</f>
        <v>ERSOLPCF-N</v>
      </c>
      <c r="C14" s="49" t="str">
        <f>Processes!C42</f>
        <v>Solar PV Fixed</v>
      </c>
      <c r="D14" s="49" t="str">
        <f>Processes!D42</f>
        <v>PJ,GW</v>
      </c>
      <c r="E14" s="49" t="s">
        <v>397</v>
      </c>
      <c r="F14" s="49" t="s">
        <v>132</v>
      </c>
    </row>
    <row r="15" spans="1:16" ht="11.25" customHeight="1" x14ac:dyDescent="0.2">
      <c r="B15" s="49" t="str">
        <f>Processes!B43</f>
        <v>ERSOLPCT-N</v>
      </c>
      <c r="C15" s="49" t="str">
        <f>Processes!C43</f>
        <v>Solar PV tracking</v>
      </c>
      <c r="D15" s="49" t="str">
        <f>Processes!D43</f>
        <v>PJ,GW</v>
      </c>
      <c r="E15" s="49" t="s">
        <v>397</v>
      </c>
      <c r="F15" s="49" t="s">
        <v>132</v>
      </c>
      <c r="H15" s="49">
        <v>1.4</v>
      </c>
      <c r="I15" s="49">
        <v>1</v>
      </c>
      <c r="K15" s="49">
        <v>1</v>
      </c>
      <c r="N15" s="49">
        <v>1</v>
      </c>
      <c r="O15" s="49">
        <v>1</v>
      </c>
      <c r="P15" s="49">
        <v>1</v>
      </c>
    </row>
    <row r="16" spans="1:16" ht="11.25" customHeight="1" x14ac:dyDescent="0.2">
      <c r="B16" s="49" t="str">
        <f>Processes!B44</f>
        <v>ERWNDH-N</v>
      </c>
      <c r="C16" s="49" t="str">
        <f>Processes!C44</f>
        <v>Wind</v>
      </c>
      <c r="D16" s="49" t="str">
        <f>Processes!D44</f>
        <v>PJ,GW</v>
      </c>
      <c r="E16" s="49" t="s">
        <v>403</v>
      </c>
      <c r="F16" s="49" t="s">
        <v>132</v>
      </c>
      <c r="H16" s="49">
        <f>REIPPP!L46</f>
        <v>0.81799999999999995</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402</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402</v>
      </c>
      <c r="F19" s="49" t="s">
        <v>132</v>
      </c>
      <c r="M19" s="49">
        <v>1</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activeCell="A10" sqref="A1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IF(INDEX(Index!$C$9:$C$33,MATCH(A2,Index!B9:B33,0)),"ProcData","")</f>
        <v>ProcData</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412</v>
      </c>
      <c r="P3" s="83" t="s">
        <v>1812</v>
      </c>
      <c r="Q3" s="83" t="s">
        <v>426</v>
      </c>
      <c r="R3" s="83" t="s">
        <v>424</v>
      </c>
      <c r="S3" s="49" t="s">
        <v>425</v>
      </c>
      <c r="AA3" s="83" t="s">
        <v>424</v>
      </c>
      <c r="AJ3" s="83" t="s">
        <v>424</v>
      </c>
      <c r="AS3" s="83" t="s">
        <v>424</v>
      </c>
      <c r="BB3" s="83" t="s">
        <v>424</v>
      </c>
    </row>
    <row r="4" spans="1:62" ht="21.75" customHeight="1" x14ac:dyDescent="0.2">
      <c r="E4" s="82"/>
      <c r="F4" s="82"/>
      <c r="G4" s="82"/>
      <c r="H4" s="67" t="s">
        <v>384</v>
      </c>
      <c r="I4" s="67" t="s">
        <v>384</v>
      </c>
      <c r="J4" s="67" t="s">
        <v>384</v>
      </c>
      <c r="K4" s="67" t="s">
        <v>384</v>
      </c>
      <c r="L4" s="67" t="s">
        <v>384</v>
      </c>
      <c r="M4" s="67" t="s">
        <v>384</v>
      </c>
      <c r="N4" s="67" t="s">
        <v>384</v>
      </c>
      <c r="O4" s="67" t="s">
        <v>384</v>
      </c>
      <c r="P4" s="67" t="s">
        <v>1813</v>
      </c>
      <c r="S4" s="67" t="s">
        <v>423</v>
      </c>
      <c r="T4" s="67" t="s">
        <v>423</v>
      </c>
      <c r="U4" s="67" t="s">
        <v>423</v>
      </c>
      <c r="V4" s="67" t="s">
        <v>423</v>
      </c>
      <c r="W4" s="67" t="s">
        <v>423</v>
      </c>
      <c r="X4" s="67" t="s">
        <v>423</v>
      </c>
      <c r="Y4" s="67" t="s">
        <v>423</v>
      </c>
      <c r="Z4" s="67" t="s">
        <v>423</v>
      </c>
      <c r="AB4" s="67" t="s">
        <v>423</v>
      </c>
      <c r="AC4" s="67" t="s">
        <v>423</v>
      </c>
      <c r="AD4" s="67" t="s">
        <v>423</v>
      </c>
      <c r="AE4" s="67" t="s">
        <v>423</v>
      </c>
      <c r="AF4" s="67" t="s">
        <v>423</v>
      </c>
      <c r="AG4" s="67" t="s">
        <v>423</v>
      </c>
      <c r="AH4" s="67" t="s">
        <v>423</v>
      </c>
      <c r="AI4" s="67" t="s">
        <v>423</v>
      </c>
      <c r="AK4" s="67" t="s">
        <v>423</v>
      </c>
      <c r="AL4" s="67" t="s">
        <v>423</v>
      </c>
      <c r="AM4" s="67" t="s">
        <v>423</v>
      </c>
      <c r="AN4" s="67" t="s">
        <v>423</v>
      </c>
      <c r="AO4" s="67" t="s">
        <v>423</v>
      </c>
      <c r="AP4" s="67" t="s">
        <v>423</v>
      </c>
      <c r="AQ4" s="67" t="s">
        <v>423</v>
      </c>
      <c r="AR4" s="67" t="s">
        <v>423</v>
      </c>
      <c r="AT4" s="67" t="s">
        <v>423</v>
      </c>
      <c r="AU4" s="67" t="s">
        <v>423</v>
      </c>
      <c r="AV4" s="67" t="s">
        <v>423</v>
      </c>
      <c r="AW4" s="67" t="s">
        <v>423</v>
      </c>
      <c r="AX4" s="67" t="s">
        <v>423</v>
      </c>
      <c r="AY4" s="67" t="s">
        <v>423</v>
      </c>
      <c r="AZ4" s="67" t="s">
        <v>423</v>
      </c>
      <c r="BA4" s="67" t="s">
        <v>423</v>
      </c>
      <c r="BC4" s="67" t="s">
        <v>423</v>
      </c>
      <c r="BD4" s="67" t="s">
        <v>423</v>
      </c>
      <c r="BE4" s="67" t="s">
        <v>423</v>
      </c>
      <c r="BF4" s="67" t="s">
        <v>423</v>
      </c>
      <c r="BG4" s="67" t="s">
        <v>423</v>
      </c>
      <c r="BH4" s="67" t="s">
        <v>423</v>
      </c>
      <c r="BI4" s="67" t="s">
        <v>423</v>
      </c>
      <c r="BJ4" s="67" t="s">
        <v>423</v>
      </c>
    </row>
    <row r="5" spans="1:62" ht="16.5" customHeight="1" x14ac:dyDescent="0.2">
      <c r="S5" s="49" t="s">
        <v>422</v>
      </c>
      <c r="T5" s="49" t="s">
        <v>421</v>
      </c>
      <c r="U5" s="49" t="s">
        <v>420</v>
      </c>
      <c r="V5" s="49" t="s">
        <v>419</v>
      </c>
      <c r="W5" s="49" t="s">
        <v>418</v>
      </c>
      <c r="X5" s="49" t="s">
        <v>417</v>
      </c>
      <c r="Y5" s="49" t="s">
        <v>416</v>
      </c>
      <c r="Z5" s="49" t="s">
        <v>415</v>
      </c>
      <c r="AB5" s="49" t="s">
        <v>422</v>
      </c>
      <c r="AC5" s="49" t="s">
        <v>421</v>
      </c>
      <c r="AD5" s="49" t="s">
        <v>420</v>
      </c>
      <c r="AE5" s="49" t="s">
        <v>419</v>
      </c>
      <c r="AF5" s="49" t="s">
        <v>418</v>
      </c>
      <c r="AG5" s="49" t="s">
        <v>417</v>
      </c>
      <c r="AH5" s="49" t="s">
        <v>416</v>
      </c>
      <c r="AI5" s="49" t="s">
        <v>415</v>
      </c>
      <c r="AK5" s="49" t="s">
        <v>422</v>
      </c>
      <c r="AL5" s="49" t="s">
        <v>421</v>
      </c>
      <c r="AM5" s="49" t="s">
        <v>420</v>
      </c>
      <c r="AN5" s="49" t="s">
        <v>419</v>
      </c>
      <c r="AO5" s="49" t="s">
        <v>418</v>
      </c>
      <c r="AP5" s="49" t="s">
        <v>417</v>
      </c>
      <c r="AQ5" s="49" t="s">
        <v>416</v>
      </c>
      <c r="AR5" s="49" t="s">
        <v>415</v>
      </c>
      <c r="AT5" s="49" t="s">
        <v>422</v>
      </c>
      <c r="AU5" s="49" t="s">
        <v>421</v>
      </c>
      <c r="AV5" s="49" t="s">
        <v>420</v>
      </c>
      <c r="AW5" s="49" t="s">
        <v>419</v>
      </c>
      <c r="AX5" s="49" t="s">
        <v>418</v>
      </c>
      <c r="AY5" s="49" t="s">
        <v>417</v>
      </c>
      <c r="AZ5" s="49" t="s">
        <v>416</v>
      </c>
      <c r="BA5" s="49" t="s">
        <v>415</v>
      </c>
      <c r="BC5" s="49" t="s">
        <v>422</v>
      </c>
      <c r="BD5" s="49" t="s">
        <v>421</v>
      </c>
      <c r="BE5" s="49" t="s">
        <v>420</v>
      </c>
      <c r="BF5" s="49" t="s">
        <v>419</v>
      </c>
      <c r="BG5" s="49" t="s">
        <v>418</v>
      </c>
      <c r="BH5" s="49" t="s">
        <v>417</v>
      </c>
      <c r="BI5" s="49" t="s">
        <v>416</v>
      </c>
      <c r="BJ5" s="49" t="s">
        <v>415</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397</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397</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397</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403</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397</v>
      </c>
      <c r="F15" s="62" t="s">
        <v>399</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397</v>
      </c>
      <c r="F16" s="62" t="s">
        <v>398</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397</v>
      </c>
      <c r="F17" s="62" t="s">
        <v>396</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414</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413</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414</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413</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N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14" ht="11.25" customHeight="1" x14ac:dyDescent="0.2">
      <c r="A1" s="70" t="str">
        <f ca="1">IF(INDEX(Index!$C$9:$C$33,MATCH(A2,Index!B9:B33,0)),"ProcData","")</f>
        <v>ProcData</v>
      </c>
      <c r="B1" s="19" t="s">
        <v>138</v>
      </c>
      <c r="H1" s="56" t="s">
        <v>92</v>
      </c>
    </row>
    <row r="2" spans="1:14" ht="11.25" customHeight="1" x14ac:dyDescent="0.2">
      <c r="A2" s="64" t="str">
        <f ca="1">MID(CELL("filename",A1),FIND("]",CELL("filename",A1))+1,255)</f>
        <v>ProcDataTnD</v>
      </c>
    </row>
    <row r="3" spans="1:14" ht="34.5" customHeight="1" x14ac:dyDescent="0.2">
      <c r="H3" s="83" t="s">
        <v>429</v>
      </c>
      <c r="I3" s="49" t="s">
        <v>164</v>
      </c>
      <c r="J3" s="83" t="s">
        <v>393</v>
      </c>
      <c r="K3" s="83" t="s">
        <v>1809</v>
      </c>
      <c r="L3" s="83" t="s">
        <v>1809</v>
      </c>
      <c r="M3" s="83" t="s">
        <v>151</v>
      </c>
      <c r="N3" s="83" t="s">
        <v>1810</v>
      </c>
    </row>
    <row r="4" spans="1:14" ht="21.75" customHeight="1" x14ac:dyDescent="0.2">
      <c r="E4" s="82"/>
      <c r="F4" s="82"/>
      <c r="G4" s="82"/>
      <c r="H4" s="82" t="s">
        <v>428</v>
      </c>
      <c r="I4" s="67" t="s">
        <v>121</v>
      </c>
      <c r="J4" s="67" t="s">
        <v>156</v>
      </c>
      <c r="K4" s="67" t="s">
        <v>384</v>
      </c>
      <c r="L4" s="67" t="s">
        <v>384</v>
      </c>
      <c r="M4" s="67" t="s">
        <v>119</v>
      </c>
      <c r="N4" s="81" t="s">
        <v>154</v>
      </c>
    </row>
    <row r="5" spans="1:14" ht="16.5" customHeight="1" x14ac:dyDescent="0.2">
      <c r="I5" s="67" t="s">
        <v>27</v>
      </c>
      <c r="M5" s="80"/>
    </row>
    <row r="6" spans="1:14" ht="17.25" customHeight="1" x14ac:dyDescent="0.2">
      <c r="I6" s="67" t="s">
        <v>122</v>
      </c>
      <c r="M6" s="80"/>
      <c r="N6" s="67"/>
    </row>
    <row r="7" spans="1:14" ht="21.75" customHeight="1" x14ac:dyDescent="0.2">
      <c r="B7" s="70" t="s">
        <v>56</v>
      </c>
      <c r="C7" s="70" t="s">
        <v>57</v>
      </c>
      <c r="D7" s="79" t="s">
        <v>93</v>
      </c>
      <c r="E7" s="70" t="s">
        <v>80</v>
      </c>
      <c r="F7" s="70" t="s">
        <v>81</v>
      </c>
      <c r="G7" s="79" t="s">
        <v>94</v>
      </c>
      <c r="H7" s="79"/>
      <c r="K7" s="49">
        <v>2012</v>
      </c>
      <c r="L7" s="49">
        <v>2017</v>
      </c>
      <c r="M7" s="78" t="s">
        <v>44</v>
      </c>
      <c r="N7" s="49">
        <v>2012</v>
      </c>
    </row>
    <row r="8" spans="1:14" ht="11.25" customHeight="1" x14ac:dyDescent="0.2">
      <c r="A8" s="52" t="s">
        <v>147</v>
      </c>
      <c r="F8" s="55"/>
    </row>
    <row r="9" spans="1:14"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58">
        <v>0.01</v>
      </c>
      <c r="K9" s="58">
        <v>0.01</v>
      </c>
      <c r="L9" s="58"/>
      <c r="M9" s="49">
        <v>31.536000000000001</v>
      </c>
      <c r="N9" s="90">
        <v>34.200000000000003</v>
      </c>
    </row>
    <row r="10" spans="1:14" s="56" customFormat="1" ht="11.25" customHeight="1" x14ac:dyDescent="0.2">
      <c r="A10" s="49"/>
      <c r="B10" s="49" t="str">
        <f>Processes!B83</f>
        <v>ETRANSDUM</v>
      </c>
      <c r="C10" s="49" t="str">
        <f>Processes!C83</f>
        <v>dummy tech tracking investment costs</v>
      </c>
      <c r="D10" s="49" t="str">
        <f>Processes!D83</f>
        <v>PJ,GW</v>
      </c>
      <c r="E10" s="62"/>
      <c r="F10" s="49" t="s">
        <v>427</v>
      </c>
      <c r="H10" s="56">
        <v>0</v>
      </c>
      <c r="I10" s="60">
        <f t="shared" si="0"/>
        <v>1</v>
      </c>
      <c r="J10" s="58">
        <f>INDEX(ElecBY!$Q$58:$Q$80,MATCH(B10,ElecBY!$D$58:$D$80,0))</f>
        <v>204.62606607891979</v>
      </c>
      <c r="K10" s="58">
        <f>INDEX(ElecBY!$N$58:$N$80,MATCH(B10,ElecBY!$D$58:$D$80,0))</f>
        <v>3924.3313635870418</v>
      </c>
      <c r="L10" s="49">
        <v>9706.0655000000006</v>
      </c>
      <c r="M10" s="49">
        <v>31.536000000000001</v>
      </c>
      <c r="N10" s="58">
        <f>INDEX(ElecBY!$F$58:$F$80,MATCH(B10,ElecBY!$D$58:$D$80,0))</f>
        <v>34.200000000000003</v>
      </c>
    </row>
    <row r="11" spans="1:14"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60">
        <f t="shared" si="0"/>
        <v>0.87</v>
      </c>
      <c r="J11" s="58">
        <f>INDEX(ElecBY!$Q$58:$Q$80,MATCH(B11,ElecBY!$D$58:$D$80,0))</f>
        <v>1195.8626674828206</v>
      </c>
      <c r="K11" s="58">
        <f>INDEX(ElecBY!$N$58:$N$80,MATCH(B11,ElecBY!$D$58:$D$80,0))</f>
        <v>22934.328272409461</v>
      </c>
      <c r="L11" s="49"/>
      <c r="M11" s="49">
        <v>31.536000000000001</v>
      </c>
      <c r="N11" s="58">
        <f>INDEX(ElecBY!$F$58:$F$80,MATCH(B11,ElecBY!$D$58:$D$80,0))</f>
        <v>0.91200000000000003</v>
      </c>
    </row>
    <row r="12" spans="1:14"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60">
        <f t="shared" si="0"/>
        <v>0.877</v>
      </c>
      <c r="J12" s="58">
        <f>INDEX(ElecBY!$Q$58:$Q$80,MATCH(B12,ElecBY!$D$58:$D$80,0))</f>
        <v>597.93133567839402</v>
      </c>
      <c r="K12" s="58">
        <f>INDEX(ElecBY!$N$58:$N$80,MATCH(B12,ElecBY!$D$58:$D$80,0))</f>
        <v>11467.164173352327</v>
      </c>
      <c r="M12" s="49">
        <v>31.536000000000001</v>
      </c>
      <c r="N12" s="58">
        <f>INDEX(ElecBY!$F$58:$F$80,MATCH(B12,ElecBY!$D$58:$D$80,0))</f>
        <v>6.0609000000000002</v>
      </c>
    </row>
    <row r="13" spans="1:14" ht="11.25" customHeight="1" x14ac:dyDescent="0.2">
      <c r="B13" s="49" t="str">
        <f>Processes!B86</f>
        <v>XICPELC</v>
      </c>
      <c r="C13" s="49" t="str">
        <f>Processes!C86</f>
        <v xml:space="preserve">Industrial CP-Electricity                         </v>
      </c>
      <c r="D13" s="49" t="str">
        <f>Processes!D86</f>
        <v>PJ,GW</v>
      </c>
      <c r="E13" s="62" t="s">
        <v>396</v>
      </c>
      <c r="F13" s="49" t="str">
        <f t="shared" si="1"/>
        <v>ICPELC</v>
      </c>
      <c r="H13" s="89">
        <v>0.06</v>
      </c>
      <c r="I13" s="60">
        <f t="shared" si="0"/>
        <v>0.94</v>
      </c>
      <c r="J13" s="58">
        <f>INDEX(ElecBY!$Q$58:$Q$80,MATCH(B13,ElecBY!$D$58:$D$80,0))</f>
        <v>284.22338537890141</v>
      </c>
      <c r="K13" s="58">
        <f>INDEX(ElecBY!$N$58:$N$80,MATCH(B13,ElecBY!$D$58:$D$80,0))</f>
        <v>5450.8536809632542</v>
      </c>
      <c r="M13" s="49">
        <v>31.536000000000001</v>
      </c>
      <c r="N13" s="58">
        <f>INDEX(ElecBY!$F$58:$F$80,MATCH(B13,ElecBY!$D$58:$D$80,0))</f>
        <v>1.2666999999999999</v>
      </c>
    </row>
    <row r="14" spans="1:14" ht="11.25" customHeight="1" x14ac:dyDescent="0.2">
      <c r="B14" s="49" t="str">
        <f>Processes!B87</f>
        <v>XIFAELC</v>
      </c>
      <c r="C14" s="49" t="str">
        <f>Processes!C87</f>
        <v xml:space="preserve">Industrial FA-Electricity                         </v>
      </c>
      <c r="D14" s="49" t="str">
        <f>Processes!D87</f>
        <v>PJ,GW</v>
      </c>
      <c r="E14" s="62" t="s">
        <v>396</v>
      </c>
      <c r="F14" s="49" t="str">
        <f t="shared" si="1"/>
        <v>IFAELC</v>
      </c>
      <c r="H14" s="89">
        <v>0.06</v>
      </c>
      <c r="I14" s="60">
        <f t="shared" si="0"/>
        <v>0.94</v>
      </c>
      <c r="J14" s="58">
        <f>INDEX(ElecBY!$Q$58:$Q$80,MATCH(B14,ElecBY!$D$58:$D$80,0))</f>
        <v>284.22338537890136</v>
      </c>
      <c r="K14" s="58">
        <f>INDEX(ElecBY!$N$58:$N$80,MATCH(B14,ElecBY!$D$58:$D$80,0))</f>
        <v>5450.8536809632542</v>
      </c>
      <c r="M14" s="49">
        <v>31.536000000000001</v>
      </c>
      <c r="N14" s="58">
        <f>INDEX(ElecBY!$F$58:$F$80,MATCH(B14,ElecBY!$D$58:$D$80,0))</f>
        <v>0</v>
      </c>
    </row>
    <row r="15" spans="1:14" ht="11.25" customHeight="1" x14ac:dyDescent="0.2">
      <c r="B15" s="49" t="str">
        <f>Processes!B88</f>
        <v>XIFBELC</v>
      </c>
      <c r="C15" s="49" t="str">
        <f>Processes!C88</f>
        <v xml:space="preserve">Industrial FB-Electricity                         </v>
      </c>
      <c r="D15" s="49" t="str">
        <f>Processes!D88</f>
        <v>PJ,GW</v>
      </c>
      <c r="E15" s="62" t="s">
        <v>396</v>
      </c>
      <c r="F15" s="49" t="str">
        <f t="shared" si="1"/>
        <v>IFBELC</v>
      </c>
      <c r="H15" s="89">
        <v>0.06</v>
      </c>
      <c r="I15" s="60">
        <f t="shared" si="0"/>
        <v>0.94</v>
      </c>
      <c r="J15" s="58">
        <f>INDEX(ElecBY!$Q$58:$Q$80,MATCH(B15,ElecBY!$D$58:$D$80,0))</f>
        <v>456.64168726285698</v>
      </c>
      <c r="K15" s="58">
        <f>INDEX(ElecBY!$N$58:$N$80,MATCH(B15,ElecBY!$D$58:$D$80,0))</f>
        <v>8757.502548848277</v>
      </c>
      <c r="M15" s="49">
        <v>31.536000000000001</v>
      </c>
      <c r="N15" s="58">
        <f>INDEX(ElecBY!$F$58:$F$80,MATCH(B15,ElecBY!$D$58:$D$80,0))</f>
        <v>0.54330000000000001</v>
      </c>
    </row>
    <row r="16" spans="1:14" ht="11.25" customHeight="1" x14ac:dyDescent="0.2">
      <c r="B16" s="49" t="str">
        <f>Processes!B89</f>
        <v>XIISELC</v>
      </c>
      <c r="C16" s="49" t="str">
        <f>Processes!C89</f>
        <v xml:space="preserve">Industrial IS-Electricity                         </v>
      </c>
      <c r="D16" s="49" t="str">
        <f>Processes!D89</f>
        <v>PJ,GW</v>
      </c>
      <c r="E16" s="62" t="s">
        <v>396</v>
      </c>
      <c r="F16" s="49" t="str">
        <f t="shared" si="1"/>
        <v>IISELC</v>
      </c>
      <c r="H16" s="89">
        <v>0.06</v>
      </c>
      <c r="I16" s="60">
        <f t="shared" si="0"/>
        <v>0.94</v>
      </c>
      <c r="J16" s="58">
        <f>INDEX(ElecBY!$Q$58:$Q$80,MATCH(B16,ElecBY!$D$58:$D$80,0))</f>
        <v>284.22338537890141</v>
      </c>
      <c r="K16" s="58">
        <f>INDEX(ElecBY!$N$58:$N$80,MATCH(B16,ElecBY!$D$58:$D$80,0))</f>
        <v>5450.8536809632542</v>
      </c>
      <c r="M16" s="49">
        <v>31.536000000000001</v>
      </c>
      <c r="N16" s="58">
        <f>INDEX(ElecBY!$F$58:$F$80,MATCH(B16,ElecBY!$D$58:$D$80,0))</f>
        <v>3.5015000000000001</v>
      </c>
    </row>
    <row r="17" spans="2:14" ht="11.25" customHeight="1" x14ac:dyDescent="0.2">
      <c r="B17" s="49" t="str">
        <f>Processes!B90</f>
        <v>XIMIELC</v>
      </c>
      <c r="C17" s="49" t="str">
        <f>Processes!C90</f>
        <v xml:space="preserve">Industrial MI-Electricity                         </v>
      </c>
      <c r="D17" s="49" t="str">
        <f>Processes!D90</f>
        <v>PJ,GW</v>
      </c>
      <c r="E17" s="62" t="s">
        <v>396</v>
      </c>
      <c r="F17" s="49" t="str">
        <f t="shared" si="1"/>
        <v>IMIELC</v>
      </c>
      <c r="H17" s="89">
        <v>0.05</v>
      </c>
      <c r="I17" s="60">
        <f t="shared" si="0"/>
        <v>0.95</v>
      </c>
      <c r="J17" s="58">
        <f>INDEX(ElecBY!$Q$58:$Q$80,MATCH(B17,ElecBY!$D$58:$D$80,0))</f>
        <v>284.22338537890141</v>
      </c>
      <c r="K17" s="58">
        <f>INDEX(ElecBY!$N$58:$N$80,MATCH(B17,ElecBY!$D$58:$D$80,0))</f>
        <v>5450.8536809632551</v>
      </c>
      <c r="M17" s="49">
        <v>31.536000000000001</v>
      </c>
      <c r="N17" s="58">
        <f>INDEX(ElecBY!$F$58:$F$80,MATCH(B17,ElecBY!$D$58:$D$80,0))</f>
        <v>4.1947999999999999</v>
      </c>
    </row>
    <row r="18" spans="2:14" ht="11.25" customHeight="1" x14ac:dyDescent="0.2">
      <c r="B18" s="49" t="str">
        <f>Processes!B91</f>
        <v>XINFELC</v>
      </c>
      <c r="C18" s="49" t="str">
        <f>Processes!C91</f>
        <v xml:space="preserve">Industrial NF-Electricity                         </v>
      </c>
      <c r="D18" s="49" t="str">
        <f>Processes!D91</f>
        <v>PJ,GW</v>
      </c>
      <c r="E18" s="62" t="s">
        <v>396</v>
      </c>
      <c r="F18" s="49" t="str">
        <f t="shared" si="1"/>
        <v>INFELC</v>
      </c>
      <c r="H18" s="89">
        <v>0.06</v>
      </c>
      <c r="I18" s="60">
        <f t="shared" si="0"/>
        <v>0.94</v>
      </c>
      <c r="J18" s="58">
        <f>INDEX(ElecBY!$Q$58:$Q$80,MATCH(B18,ElecBY!$D$58:$D$80,0))</f>
        <v>284.22338537890136</v>
      </c>
      <c r="K18" s="58">
        <f>INDEX(ElecBY!$N$58:$N$80,MATCH(B18,ElecBY!$D$58:$D$80,0))</f>
        <v>5450.8536809632542</v>
      </c>
      <c r="M18" s="49">
        <v>31.536000000000001</v>
      </c>
      <c r="N18" s="58">
        <f>INDEX(ElecBY!$F$58:$F$80,MATCH(B18,ElecBY!$D$58:$D$80,0))</f>
        <v>2.8782000000000001</v>
      </c>
    </row>
    <row r="19" spans="2:14" ht="11.25" customHeight="1" x14ac:dyDescent="0.2">
      <c r="B19" s="49" t="str">
        <f>Processes!B92</f>
        <v>XINMELC</v>
      </c>
      <c r="C19" s="49" t="str">
        <f>Processes!C92</f>
        <v xml:space="preserve">Industrial NM-Electricity                         </v>
      </c>
      <c r="D19" s="49" t="str">
        <f>Processes!D92</f>
        <v>PJ,GW</v>
      </c>
      <c r="E19" s="62" t="s">
        <v>396</v>
      </c>
      <c r="F19" s="49" t="str">
        <f t="shared" si="1"/>
        <v>INMELC</v>
      </c>
      <c r="H19" s="89">
        <v>0.06</v>
      </c>
      <c r="I19" s="60">
        <f t="shared" si="0"/>
        <v>0.94</v>
      </c>
      <c r="J19" s="58">
        <f>INDEX(ElecBY!$Q$58:$Q$80,MATCH(B19,ElecBY!$D$58:$D$80,0))</f>
        <v>284.22338537890141</v>
      </c>
      <c r="K19" s="58">
        <f>INDEX(ElecBY!$N$58:$N$80,MATCH(B19,ElecBY!$D$58:$D$80,0))</f>
        <v>5450.8536809632551</v>
      </c>
      <c r="M19" s="49">
        <v>31.536000000000001</v>
      </c>
      <c r="N19" s="58">
        <f>INDEX(ElecBY!$F$58:$F$80,MATCH(B19,ElecBY!$D$58:$D$80,0))</f>
        <v>0.8427</v>
      </c>
    </row>
    <row r="20" spans="2:14" ht="11.25" customHeight="1" x14ac:dyDescent="0.2">
      <c r="B20" s="49" t="str">
        <f>Processes!B93</f>
        <v>XIOTELC</v>
      </c>
      <c r="C20" s="49" t="str">
        <f>Processes!C93</f>
        <v xml:space="preserve">Industrial OT-Electricity                         </v>
      </c>
      <c r="D20" s="49" t="str">
        <f>Processes!D93</f>
        <v>PJ,GW</v>
      </c>
      <c r="E20" s="62" t="s">
        <v>396</v>
      </c>
      <c r="F20" s="49" t="str">
        <f t="shared" si="1"/>
        <v>IOTELC</v>
      </c>
      <c r="H20" s="89">
        <v>0.06</v>
      </c>
      <c r="I20" s="60">
        <f t="shared" si="0"/>
        <v>0.94</v>
      </c>
      <c r="J20" s="58">
        <f>INDEX(ElecBY!$Q$58:$Q$80,MATCH(B20,ElecBY!$D$58:$D$80,0))</f>
        <v>456.64168726285692</v>
      </c>
      <c r="K20" s="58">
        <f>INDEX(ElecBY!$N$58:$N$80,MATCH(B20,ElecBY!$D$58:$D$80,0))</f>
        <v>8757.502548848277</v>
      </c>
      <c r="M20" s="49">
        <v>31.536000000000001</v>
      </c>
      <c r="N20" s="58">
        <f>INDEX(ElecBY!$F$58:$F$80,MATCH(B20,ElecBY!$D$58:$D$80,0))</f>
        <v>0.90400000000000003</v>
      </c>
    </row>
    <row r="21" spans="2:14" ht="11.25" customHeight="1" x14ac:dyDescent="0.2">
      <c r="B21" s="49" t="str">
        <f>Processes!B94</f>
        <v>XIPPELC</v>
      </c>
      <c r="C21" s="49" t="str">
        <f>Processes!C94</f>
        <v xml:space="preserve">Industrial PP-Electricity                         </v>
      </c>
      <c r="D21" s="49" t="str">
        <f>Processes!D94</f>
        <v>PJ,GW</v>
      </c>
      <c r="E21" s="62" t="s">
        <v>396</v>
      </c>
      <c r="F21" s="49" t="str">
        <f t="shared" si="1"/>
        <v>IPPELC</v>
      </c>
      <c r="H21" s="89">
        <v>0.06</v>
      </c>
      <c r="I21" s="60">
        <f t="shared" si="0"/>
        <v>0.94</v>
      </c>
      <c r="J21" s="58">
        <f>INDEX(ElecBY!$Q$58:$Q$80,MATCH(B21,ElecBY!$D$58:$D$80,0))</f>
        <v>456.64168726285692</v>
      </c>
      <c r="K21" s="58">
        <f>INDEX(ElecBY!$N$58:$N$80,MATCH(B21,ElecBY!$D$58:$D$80,0))</f>
        <v>8757.502548848277</v>
      </c>
      <c r="M21" s="49">
        <v>31.536000000000001</v>
      </c>
      <c r="N21" s="58">
        <f>INDEX(ElecBY!$F$58:$F$80,MATCH(B21,ElecBY!$D$58:$D$80,0))</f>
        <v>1.3541000000000001</v>
      </c>
    </row>
    <row r="22" spans="2:14"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60">
        <f t="shared" si="0"/>
        <v>0.80299999999999994</v>
      </c>
      <c r="J22" s="58">
        <f>INDEX(ElecBY!$Q$58:$Q$80,MATCH(B22,ElecBY!$D$58:$D$80,0))</f>
        <v>1195.8626674828204</v>
      </c>
      <c r="K22" s="58">
        <f>INDEX(ElecBY!$N$58:$N$80,MATCH(B22,ElecBY!$D$58:$D$80,0))</f>
        <v>22934.328272409461</v>
      </c>
      <c r="M22" s="49">
        <v>31.536000000000001</v>
      </c>
      <c r="N22" s="58">
        <f>INDEX(ElecBY!$F$58:$F$80,MATCH(B22,ElecBY!$D$58:$D$80,0))</f>
        <v>10.6821</v>
      </c>
    </row>
    <row r="23" spans="2:14"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60">
        <f t="shared" si="0"/>
        <v>0.95199999999999996</v>
      </c>
      <c r="J23" s="58">
        <f>INDEX(ElecBY!$Q$58:$Q$80,MATCH(B23,ElecBY!$D$58:$D$80,0))</f>
        <v>597.93133567839402</v>
      </c>
      <c r="K23" s="58">
        <f>INDEX(ElecBY!$N$58:$N$80,MATCH(B23,ElecBY!$D$58:$D$80,0))</f>
        <v>11467.164173352325</v>
      </c>
      <c r="M23" s="49">
        <v>31.536000000000001</v>
      </c>
      <c r="N23" s="58">
        <f>INDEX(ElecBY!$F$58:$F$80,MATCH(B23,ElecBY!$D$58:$D$80,0))</f>
        <v>9.9384999999999994</v>
      </c>
    </row>
    <row r="24" spans="2:14"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60">
        <f t="shared" si="0"/>
        <v>0.94</v>
      </c>
      <c r="J24" s="58">
        <f>INDEX(ElecBY!$Q$58:$Q$80,MATCH(B24,ElecBY!$D$58:$D$80,0))</f>
        <v>298.96566783919695</v>
      </c>
      <c r="K24" s="58">
        <f>INDEX(ElecBY!$N$58:$N$80,MATCH(B24,ElecBY!$D$58:$D$80,0))</f>
        <v>5733.5820866761624</v>
      </c>
      <c r="M24" s="49">
        <v>31.536000000000001</v>
      </c>
      <c r="N24" s="58">
        <f>INDEX(ElecBY!$F$58:$F$80,MATCH(B24,ElecBY!$D$58:$D$80,0))</f>
        <v>0.77349999999999997</v>
      </c>
    </row>
    <row r="25" spans="2:14"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J25" s="58">
        <v>0.01</v>
      </c>
      <c r="M25" s="49">
        <v>31.536000000000001</v>
      </c>
      <c r="N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IF(INDEX(Index!$C$9:$C$33,MATCH(A2,Index!B9:B33,0)),"ProcData","")</f>
        <v>ProcData</v>
      </c>
      <c r="B1" s="19" t="s">
        <v>138</v>
      </c>
    </row>
    <row r="2" spans="1:11" ht="11.25" customHeight="1" x14ac:dyDescent="0.2">
      <c r="A2" s="64" t="str">
        <f ca="1">MID(CELL("filename",A1),FIND("]",CELL("filename",A1))+1,255)</f>
        <v>ProcDataExports</v>
      </c>
    </row>
    <row r="3" spans="1:11" ht="34.5" customHeight="1" x14ac:dyDescent="0.2">
      <c r="H3" s="83" t="s">
        <v>394</v>
      </c>
      <c r="I3" s="49" t="s">
        <v>1815</v>
      </c>
      <c r="J3" s="49" t="s">
        <v>1815</v>
      </c>
      <c r="K3" s="49" t="s">
        <v>1815</v>
      </c>
    </row>
    <row r="4" spans="1:11" ht="21.75" customHeight="1" x14ac:dyDescent="0.2">
      <c r="E4" s="82"/>
      <c r="F4" s="82"/>
      <c r="G4" s="82"/>
      <c r="H4" s="67" t="s">
        <v>120</v>
      </c>
      <c r="I4" s="67" t="s">
        <v>1821</v>
      </c>
      <c r="J4" s="67" t="s">
        <v>1821</v>
      </c>
      <c r="K4" s="67" t="s">
        <v>1821</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1816</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1820</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topLeftCell="E1" workbookViewId="0">
      <selection activeCell="N8" sqref="N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IF(INDEX(Index!$C$9:$C$33,MATCH(A2,Index!B9:B33,0)),"ProcData","")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3" t="s">
        <v>155</v>
      </c>
      <c r="I3" s="83" t="s">
        <v>436</v>
      </c>
      <c r="J3" s="83" t="s">
        <v>435</v>
      </c>
      <c r="K3" s="83" t="s">
        <v>434</v>
      </c>
      <c r="L3" s="49" t="s">
        <v>410</v>
      </c>
      <c r="M3" s="49"/>
      <c r="N3" s="49" t="s">
        <v>433</v>
      </c>
    </row>
    <row r="4" spans="1:22" ht="21.75" customHeight="1" x14ac:dyDescent="0.2">
      <c r="E4" s="82"/>
      <c r="F4" s="82"/>
      <c r="G4" s="82"/>
      <c r="H4" s="67" t="s">
        <v>156</v>
      </c>
      <c r="I4" s="67" t="s">
        <v>120</v>
      </c>
      <c r="J4" s="81" t="s">
        <v>149</v>
      </c>
      <c r="K4" s="81" t="s">
        <v>149</v>
      </c>
      <c r="L4" s="81" t="s">
        <v>406</v>
      </c>
      <c r="M4" s="49"/>
      <c r="N4" s="81" t="s">
        <v>377</v>
      </c>
      <c r="O4" s="81" t="s">
        <v>377</v>
      </c>
      <c r="V4" s="67"/>
    </row>
    <row r="5" spans="1:22" ht="16.5" customHeight="1" x14ac:dyDescent="0.2">
      <c r="J5" s="49" t="s">
        <v>122</v>
      </c>
      <c r="K5" s="49" t="s">
        <v>122</v>
      </c>
      <c r="M5" s="49"/>
      <c r="N5" s="67" t="s">
        <v>432</v>
      </c>
      <c r="O5" s="67" t="s">
        <v>431</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430</v>
      </c>
      <c r="F8" s="55"/>
      <c r="M8" s="49"/>
      <c r="N8" s="360">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IF(INDEX(Index!$C$9:$C$33,MATCH(A2,Index!B9:B33,0)),"Commodities","")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427</v>
      </c>
      <c r="C8" s="19" t="s">
        <v>1811</v>
      </c>
      <c r="D8" s="19" t="s">
        <v>115</v>
      </c>
      <c r="E8" s="65" t="s">
        <v>117</v>
      </c>
    </row>
    <row r="9" spans="1:6" s="18" customFormat="1" ht="12.75" x14ac:dyDescent="0.2">
      <c r="A9" s="47" t="s">
        <v>346</v>
      </c>
      <c r="B9" s="49"/>
      <c r="C9" s="49"/>
      <c r="D9" s="49"/>
    </row>
    <row r="10" spans="1:6" s="18" customFormat="1" ht="12.75" x14ac:dyDescent="0.2">
      <c r="A10" s="51"/>
      <c r="B10" s="51" t="s">
        <v>359</v>
      </c>
      <c r="C10" s="51" t="str">
        <f>"Coal for "&amp;INDEX(ProcDataGenPre2012!$C$9:$C$29,MATCH(B10,ProcDataGenPre2012!$E$9:$E$29,0))&amp;" Power Plant"</f>
        <v>Coal for ARNOT Power Plant</v>
      </c>
      <c r="D10" s="71" t="s">
        <v>115</v>
      </c>
      <c r="E10" s="65" t="s">
        <v>117</v>
      </c>
    </row>
    <row r="11" spans="1:6" s="18" customFormat="1" ht="12.75" x14ac:dyDescent="0.2">
      <c r="A11" s="51"/>
      <c r="B11" s="51" t="s">
        <v>358</v>
      </c>
      <c r="C11" s="51" t="str">
        <f>"Coal for "&amp;INDEX(ProcDataGenPre2012!$C$9:$C$29,MATCH(B11,ProcDataGenPre2012!$E$9:$E$29,0))&amp;" Power Plant"</f>
        <v>Coal for CAMDEN Power Plant</v>
      </c>
      <c r="D11" s="71" t="s">
        <v>115</v>
      </c>
      <c r="E11" s="65" t="s">
        <v>117</v>
      </c>
    </row>
    <row r="12" spans="1:6" s="18" customFormat="1" ht="12.75" x14ac:dyDescent="0.2">
      <c r="A12" s="51"/>
      <c r="B12" s="51" t="s">
        <v>357</v>
      </c>
      <c r="C12" s="51" t="str">
        <f>"Coal for "&amp;INDEX(ProcDataGenPre2012!$C$9:$C$29,MATCH(B12,ProcDataGenPre2012!$E$9:$E$29,0))&amp;" Power Plant"</f>
        <v>Coal for DUVHA Power Plant</v>
      </c>
      <c r="D12" s="71" t="s">
        <v>115</v>
      </c>
      <c r="E12" s="65" t="s">
        <v>117</v>
      </c>
    </row>
    <row r="13" spans="1:6" s="18" customFormat="1" ht="12.75" x14ac:dyDescent="0.2">
      <c r="A13" s="51"/>
      <c r="B13" s="51" t="s">
        <v>356</v>
      </c>
      <c r="C13" s="51" t="str">
        <f>"Coal for "&amp;INDEX(ProcDataGenPre2012!$C$9:$C$29,MATCH(B13,ProcDataGenPre2012!$E$9:$E$29,0))&amp;" Power Plant"</f>
        <v>Coal for GROOTVLEI Power Plant</v>
      </c>
      <c r="D13" s="71" t="s">
        <v>115</v>
      </c>
      <c r="E13" s="65" t="s">
        <v>117</v>
      </c>
    </row>
    <row r="14" spans="1:6" s="18" customFormat="1" ht="12.75" x14ac:dyDescent="0.2">
      <c r="A14" s="51"/>
      <c r="B14" s="51" t="s">
        <v>355</v>
      </c>
      <c r="C14" s="51" t="str">
        <f>"Coal for "&amp;INDEX(ProcDataGenPre2012!$C$9:$C$29,MATCH(B14,ProcDataGenPre2012!$E$9:$E$29,0))&amp;" Power Plant"</f>
        <v>Coal for HENDRINA Power Plant</v>
      </c>
      <c r="D14" s="71" t="s">
        <v>115</v>
      </c>
      <c r="E14" s="65" t="s">
        <v>117</v>
      </c>
    </row>
    <row r="15" spans="1:6" s="18" customFormat="1" ht="12.75" x14ac:dyDescent="0.2">
      <c r="A15" s="51"/>
      <c r="B15" s="51" t="s">
        <v>354</v>
      </c>
      <c r="C15" s="51" t="str">
        <f>"Coal for "&amp;INDEX(ProcDataGenPre2012!$C$9:$C$29,MATCH(B15,ProcDataGenPre2012!$E$9:$E$29,0))&amp;" Power Plant"</f>
        <v>Coal for KENDAL Power Plant</v>
      </c>
      <c r="D15" s="71" t="s">
        <v>115</v>
      </c>
      <c r="E15" s="65" t="s">
        <v>117</v>
      </c>
    </row>
    <row r="16" spans="1:6" s="18" customFormat="1" ht="12.75" x14ac:dyDescent="0.2">
      <c r="A16" s="51"/>
      <c r="B16" s="51" t="s">
        <v>353</v>
      </c>
      <c r="C16" s="51" t="str">
        <f>"Coal for "&amp;INDEX(ProcDataGenPre2012!$C$9:$C$29,MATCH(B16,ProcDataGenPre2012!$E$9:$E$29,0))&amp;" Power Plant"</f>
        <v>Coal for KOMATI Power Plant</v>
      </c>
      <c r="D16" s="71" t="s">
        <v>115</v>
      </c>
      <c r="E16" s="65" t="s">
        <v>117</v>
      </c>
    </row>
    <row r="17" spans="1:11" s="18" customFormat="1" ht="12.75" x14ac:dyDescent="0.2">
      <c r="A17" s="51"/>
      <c r="B17" s="51" t="s">
        <v>352</v>
      </c>
      <c r="C17" s="51" t="str">
        <f>"Coal for "&amp;INDEX(ProcDataGenPre2012!$C$9:$C$29,MATCH(B17,ProcDataGenPre2012!$E$9:$E$29,0))&amp;" Power Plant"</f>
        <v>Coal for KRIEL Power Plant</v>
      </c>
      <c r="D17" s="71" t="s">
        <v>115</v>
      </c>
      <c r="E17" s="65" t="s">
        <v>117</v>
      </c>
    </row>
    <row r="18" spans="1:11" s="18" customFormat="1" ht="12.75" x14ac:dyDescent="0.2">
      <c r="A18" s="51"/>
      <c r="B18" s="51" t="s">
        <v>351</v>
      </c>
      <c r="C18" s="51" t="str">
        <f>"Coal for "&amp;INDEX(ProcDataGenPre2012!$C$9:$C$29,MATCH(B18,ProcDataGenPre2012!$E$9:$E$29,0))&amp;" Power Plant"</f>
        <v>Coal for LETHABO Power Plant</v>
      </c>
      <c r="D18" s="71" t="s">
        <v>115</v>
      </c>
      <c r="E18" s="65" t="s">
        <v>117</v>
      </c>
    </row>
    <row r="19" spans="1:11" s="18" customFormat="1" ht="12.75" x14ac:dyDescent="0.2">
      <c r="A19" s="51"/>
      <c r="B19" s="51" t="s">
        <v>350</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349</v>
      </c>
      <c r="C20" s="51" t="str">
        <f>"Coal for "&amp;INDEX(ProcDataGenPre2012!$C$9:$C$29,MATCH(B20,ProcDataGenPre2012!$E$9:$E$29,0))&amp;" Power Plant"</f>
        <v>Coal for MATIMBA Power Plant</v>
      </c>
      <c r="D20" s="71" t="s">
        <v>115</v>
      </c>
      <c r="E20" s="65" t="s">
        <v>117</v>
      </c>
    </row>
    <row r="21" spans="1:11" s="18" customFormat="1" ht="12.75" x14ac:dyDescent="0.2">
      <c r="A21" s="51"/>
      <c r="B21" s="51" t="s">
        <v>348</v>
      </c>
      <c r="C21" s="51" t="str">
        <f>"Coal for "&amp;INDEX(ProcDataGenPre2012!$C$9:$C$29,MATCH(B21,ProcDataGenPre2012!$E$9:$E$29,0))&amp;" Power Plant"</f>
        <v>Coal for MATLA Power Plant</v>
      </c>
      <c r="D21" s="71" t="s">
        <v>115</v>
      </c>
      <c r="E21" s="65" t="s">
        <v>117</v>
      </c>
    </row>
    <row r="22" spans="1:11" s="18" customFormat="1" ht="12.75" x14ac:dyDescent="0.2">
      <c r="A22" s="51"/>
      <c r="B22" s="51" t="s">
        <v>347</v>
      </c>
      <c r="C22" s="51" t="str">
        <f>"Coal for "&amp;INDEX(ProcDataGenPre2012!$C$9:$C$29,MATCH(B22,ProcDataGenPre2012!$E$9:$E$29,0))&amp;" Power Plant"</f>
        <v>Coal for TUTUKA Power Plant</v>
      </c>
      <c r="D22" s="71" t="s">
        <v>115</v>
      </c>
      <c r="E22" s="65" t="s">
        <v>117</v>
      </c>
    </row>
    <row r="23" spans="1:11" s="18" customFormat="1" ht="12.75" x14ac:dyDescent="0.2">
      <c r="A23" s="47" t="s">
        <v>345</v>
      </c>
      <c r="B23" s="51"/>
      <c r="C23" s="51"/>
      <c r="D23" s="71"/>
      <c r="E23" s="65"/>
    </row>
    <row r="24" spans="1:11" s="18" customFormat="1" ht="12.75" x14ac:dyDescent="0.2">
      <c r="A24" s="51"/>
      <c r="B24" s="51" t="s">
        <v>344</v>
      </c>
      <c r="C24" s="51" t="str">
        <f>"Coal for "&amp;INDEX(ProcDataGen2012On!$C$9:$C$20,MATCH(B24,ProcDataGen2012On!$E$9:$E$20,0))&amp;" Power Plant"</f>
        <v>Coal for KUSILE Power Plant</v>
      </c>
      <c r="D24" s="71" t="s">
        <v>115</v>
      </c>
      <c r="E24" s="65" t="s">
        <v>117</v>
      </c>
    </row>
    <row r="25" spans="1:11" s="18" customFormat="1" ht="12.75" x14ac:dyDescent="0.2">
      <c r="A25" s="51"/>
      <c r="B25" s="51" t="s">
        <v>343</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342</v>
      </c>
      <c r="C26" s="51" t="str">
        <f>"Coal for "&amp;INDEX(ProcDataGen2012On!$C$9:$C$20,MATCH(B26,ProcDataGen2012On!$E$9:$E$20,0))&amp;" Power Plant"</f>
        <v>Coal for Generic Waterberg Coal Plant Power Plant</v>
      </c>
      <c r="D26" s="71" t="s">
        <v>115</v>
      </c>
      <c r="E26" s="65" t="s">
        <v>117</v>
      </c>
      <c r="K26" s="64"/>
    </row>
    <row r="27" spans="1:11" ht="12.75" x14ac:dyDescent="0.2">
      <c r="A27" s="50" t="s">
        <v>341</v>
      </c>
      <c r="B27" s="51"/>
      <c r="C27" s="51"/>
      <c r="D27" s="71"/>
    </row>
    <row r="28" spans="1:11" ht="12.75" x14ac:dyDescent="0.2">
      <c r="A28" s="51"/>
      <c r="B28" s="51" t="s">
        <v>340</v>
      </c>
      <c r="C28" s="51" t="s">
        <v>339</v>
      </c>
      <c r="D28" s="71" t="s">
        <v>115</v>
      </c>
      <c r="E28" s="65" t="s">
        <v>117</v>
      </c>
    </row>
    <row r="29" spans="1:11" ht="12.75" x14ac:dyDescent="0.2">
      <c r="A29" s="51"/>
      <c r="B29" s="51" t="s">
        <v>338</v>
      </c>
      <c r="C29" s="51" t="s">
        <v>337</v>
      </c>
      <c r="D29" s="71" t="s">
        <v>115</v>
      </c>
      <c r="E29" s="65" t="s">
        <v>117</v>
      </c>
    </row>
    <row r="30" spans="1:11" ht="12.75" x14ac:dyDescent="0.2">
      <c r="A30" s="51"/>
      <c r="B30" s="51" t="s">
        <v>336</v>
      </c>
      <c r="C30" s="51" t="s">
        <v>335</v>
      </c>
      <c r="D30" s="71" t="s">
        <v>115</v>
      </c>
      <c r="E30" s="65" t="s">
        <v>117</v>
      </c>
    </row>
    <row r="31" spans="1:11" ht="12.75" x14ac:dyDescent="0.2">
      <c r="B31" s="51" t="s">
        <v>334</v>
      </c>
      <c r="C31" s="51" t="s">
        <v>333</v>
      </c>
      <c r="D31" s="71" t="s">
        <v>115</v>
      </c>
      <c r="E31" s="65" t="s">
        <v>117</v>
      </c>
    </row>
    <row r="32" spans="1:11" ht="12.75" x14ac:dyDescent="0.2">
      <c r="B32" s="51" t="s">
        <v>332</v>
      </c>
      <c r="C32" s="51" t="s">
        <v>331</v>
      </c>
      <c r="D32" s="71" t="s">
        <v>115</v>
      </c>
      <c r="E32" s="65" t="s">
        <v>117</v>
      </c>
    </row>
    <row r="33" spans="2:5" ht="12.75" x14ac:dyDescent="0.2">
      <c r="B33" s="51" t="s">
        <v>330</v>
      </c>
      <c r="C33" s="51" t="s">
        <v>329</v>
      </c>
      <c r="D33" s="71" t="s">
        <v>115</v>
      </c>
      <c r="E33" s="65" t="s">
        <v>117</v>
      </c>
    </row>
    <row r="34" spans="2:5" ht="12.75" x14ac:dyDescent="0.2">
      <c r="B34" s="51" t="s">
        <v>328</v>
      </c>
      <c r="C34" s="51" t="s">
        <v>327</v>
      </c>
      <c r="D34" s="71" t="s">
        <v>115</v>
      </c>
      <c r="E34" s="65" t="s">
        <v>117</v>
      </c>
    </row>
    <row r="35" spans="2:5" ht="12.75" x14ac:dyDescent="0.2">
      <c r="B35" s="51" t="s">
        <v>326</v>
      </c>
      <c r="C35" s="51" t="s">
        <v>325</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IF(INDEX(Index!$C$9:$C$33,MATCH(A2,Index!B9:B33,0)),"CommData","")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438</v>
      </c>
      <c r="F4" s="67" t="s">
        <v>438</v>
      </c>
      <c r="G4" s="67" t="s">
        <v>1814</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437</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topLeftCell="A21" zoomScale="120" zoomScaleNormal="120" workbookViewId="0">
      <selection activeCell="I37" sqref="I37"/>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IF(INDEX(Index!$C$9:$C$33,MATCH(A2,Index!B9:B33,0)),"ProcData","")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1835</v>
      </c>
      <c r="I3" s="83" t="s">
        <v>1844</v>
      </c>
      <c r="J3" s="83" t="s">
        <v>1845</v>
      </c>
      <c r="K3" s="83" t="s">
        <v>1836</v>
      </c>
      <c r="L3" s="83" t="s">
        <v>1841</v>
      </c>
      <c r="M3" s="83" t="s">
        <v>1842</v>
      </c>
      <c r="N3" s="83" t="s">
        <v>1837</v>
      </c>
      <c r="O3" s="83" t="s">
        <v>1838</v>
      </c>
      <c r="P3" s="83" t="s">
        <v>1838</v>
      </c>
      <c r="Q3" s="83" t="s">
        <v>1838</v>
      </c>
      <c r="R3" s="83" t="s">
        <v>1838</v>
      </c>
      <c r="S3" s="83" t="s">
        <v>1839</v>
      </c>
      <c r="T3" s="83" t="s">
        <v>1838</v>
      </c>
      <c r="U3" s="83" t="s">
        <v>1840</v>
      </c>
    </row>
    <row r="4" spans="1:21" ht="21.75" customHeight="1" x14ac:dyDescent="0.2">
      <c r="E4" s="82"/>
      <c r="F4" s="82"/>
      <c r="G4" s="82"/>
      <c r="O4" s="49" t="s">
        <v>423</v>
      </c>
      <c r="P4" s="49" t="s">
        <v>423</v>
      </c>
      <c r="Q4" s="49" t="s">
        <v>423</v>
      </c>
      <c r="R4" s="49" t="s">
        <v>423</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41.321196428571433</v>
      </c>
      <c r="U7" s="58">
        <f>SUM(U9:U43)</f>
        <v>966.21461067083055</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ProcDataGenPre2012!T9</f>
        <v>0.56546768435301509</v>
      </c>
      <c r="L9" s="58">
        <f>ProcDataGenPre2012!U9</f>
        <v>0.6</v>
      </c>
      <c r="M9" s="58">
        <f>ProcDataGenPre2012!V9</f>
        <v>0.6</v>
      </c>
      <c r="N9" s="49">
        <v>3</v>
      </c>
      <c r="O9" s="49">
        <v>0.67</v>
      </c>
      <c r="P9" s="49">
        <f t="shared" ref="P9:P25" si="0">1-N9/H9</f>
        <v>0.625</v>
      </c>
      <c r="S9" s="49">
        <f>ProcDataGenPre2012!AL9</f>
        <v>1.4810000000000001</v>
      </c>
      <c r="T9" s="49">
        <f t="shared" ref="T9:T30" si="1">P9*S9</f>
        <v>0.92562500000000003</v>
      </c>
      <c r="U9" s="58">
        <f t="shared" ref="U9:U30" si="2">K9*S9*31.536</f>
        <v>26.41006415165365</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ProcDataGenPre2012!T10</f>
        <v>0.38403426090943366</v>
      </c>
      <c r="L10" s="58">
        <f>ProcDataGenPre2012!U10</f>
        <v>0.38403426090943366</v>
      </c>
      <c r="M10" s="58">
        <f>ProcDataGenPre2012!V10</f>
        <v>0</v>
      </c>
      <c r="N10" s="49">
        <v>1.5</v>
      </c>
      <c r="O10" s="49">
        <v>0.6</v>
      </c>
      <c r="P10" s="49">
        <f t="shared" si="0"/>
        <v>0.5</v>
      </c>
      <c r="S10" s="49">
        <f>ProcDataGenPre2012!AL10</f>
        <v>0.56999999999999995</v>
      </c>
      <c r="T10" s="49">
        <f t="shared" si="1"/>
        <v>0.28499999999999998</v>
      </c>
      <c r="U10" s="58">
        <f t="shared" si="2"/>
        <v>6.9032155376627431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ProcDataGenPre2012!T11</f>
        <v>0.35449964375734888</v>
      </c>
      <c r="L11" s="58">
        <f>ProcDataGenPre2012!U11</f>
        <v>0.35449964375734888</v>
      </c>
      <c r="M11" s="58">
        <f>ProcDataGenPre2012!V11</f>
        <v>0</v>
      </c>
      <c r="N11" s="49">
        <v>2</v>
      </c>
      <c r="O11" s="49">
        <v>0.6</v>
      </c>
      <c r="P11" s="49">
        <f t="shared" si="0"/>
        <v>0.5</v>
      </c>
      <c r="S11" s="49">
        <f>ProcDataGenPre2012!AL11</f>
        <v>0.20499999999999999</v>
      </c>
      <c r="T11" s="49">
        <f t="shared" si="1"/>
        <v>0.10249999999999999</v>
      </c>
      <c r="U11" s="58">
        <f t="shared" si="2"/>
        <v>2.2917976569340093</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ProcDataGenPre2012!T12</f>
        <v>0.55282077584476752</v>
      </c>
      <c r="L12" s="58">
        <f>ProcDataGenPre2012!U12</f>
        <v>0.65500000000000003</v>
      </c>
      <c r="M12" s="58">
        <f>ProcDataGenPre2012!V12</f>
        <v>0.54579999999999995</v>
      </c>
      <c r="N12" s="49">
        <v>2</v>
      </c>
      <c r="O12" s="49">
        <v>0.8</v>
      </c>
      <c r="P12" s="49">
        <f t="shared" si="0"/>
        <v>0.66666666666666674</v>
      </c>
      <c r="S12" s="49">
        <f>ProcDataGenPre2012!AL12</f>
        <v>2.2320000000000002</v>
      </c>
      <c r="T12" s="49">
        <f t="shared" si="1"/>
        <v>1.4880000000000002</v>
      </c>
      <c r="U12" s="58">
        <f t="shared" si="2"/>
        <v>38.912143363074598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ProcDataGenPre2012!T13</f>
        <v>0.57394359336158685</v>
      </c>
      <c r="L13" s="58">
        <f>ProcDataGenPre2012!U13</f>
        <v>0.61119999999999997</v>
      </c>
      <c r="M13" s="58">
        <f>ProcDataGenPre2012!V13</f>
        <v>0.60209999999999997</v>
      </c>
      <c r="N13" s="49">
        <v>2</v>
      </c>
      <c r="O13" s="49">
        <v>0.8</v>
      </c>
      <c r="P13" s="49">
        <f t="shared" si="0"/>
        <v>0.66666666666666674</v>
      </c>
      <c r="S13" s="49">
        <f>ProcDataGenPre2012!AL13</f>
        <v>2.875</v>
      </c>
      <c r="T13" s="49">
        <f t="shared" si="1"/>
        <v>1.916666666666667</v>
      </c>
      <c r="U13" s="58">
        <f t="shared" si="2"/>
        <v>52.037169835721635</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ProcDataGenPre2012!T14</f>
        <v>0.5808497594274038</v>
      </c>
      <c r="L14" s="58">
        <f>ProcDataGenPre2012!U14</f>
        <v>0.60929999999999995</v>
      </c>
      <c r="M14" s="58">
        <f>ProcDataGenPre2012!V14</f>
        <v>0</v>
      </c>
      <c r="N14" s="49">
        <v>2</v>
      </c>
      <c r="O14" s="49">
        <v>0.8</v>
      </c>
      <c r="P14" s="49">
        <f t="shared" si="0"/>
        <v>0.7142857142857143</v>
      </c>
      <c r="S14" s="49">
        <f>ProcDataGenPre2012!AL14</f>
        <v>1.2929999999999999</v>
      </c>
      <c r="T14" s="49">
        <f t="shared" si="1"/>
        <v>0.92357142857142849</v>
      </c>
      <c r="U14" s="58">
        <f t="shared" si="2"/>
        <v>23.684757671200266</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ProcDataGenPre2012!T15</f>
        <v>0.77246695597306003</v>
      </c>
      <c r="L15" s="58">
        <f>ProcDataGenPre2012!U15</f>
        <v>0.74139999999999995</v>
      </c>
      <c r="M15" s="58">
        <f>ProcDataGenPre2012!V15</f>
        <v>0.72940000000000005</v>
      </c>
      <c r="N15" s="49">
        <v>1</v>
      </c>
      <c r="O15" s="49">
        <v>1</v>
      </c>
      <c r="P15" s="49">
        <f t="shared" si="0"/>
        <v>0.83333333333333337</v>
      </c>
      <c r="S15" s="49">
        <f>ProcDataGenPre2012!AL15</f>
        <v>3.84</v>
      </c>
      <c r="T15" s="49">
        <f t="shared" si="1"/>
        <v>3.2</v>
      </c>
      <c r="U15" s="58">
        <f t="shared" si="2"/>
        <v>93.544388826495052</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ProcDataGenPre2012!T16</f>
        <v>0.53742576863948577</v>
      </c>
      <c r="L16" s="58">
        <f>ProcDataGenPre2012!U16</f>
        <v>0.64439999999999997</v>
      </c>
      <c r="M16" s="58">
        <f>ProcDataGenPre2012!V16</f>
        <v>0.64149999999999996</v>
      </c>
      <c r="N16" s="49">
        <v>2</v>
      </c>
      <c r="O16" s="49">
        <v>0.8</v>
      </c>
      <c r="P16" s="49">
        <f t="shared" si="0"/>
        <v>0.66666666666666674</v>
      </c>
      <c r="S16" s="49">
        <f>ProcDataGenPre2012!AL16</f>
        <v>2.85</v>
      </c>
      <c r="T16" s="49">
        <f t="shared" si="1"/>
        <v>1.9000000000000004</v>
      </c>
      <c r="U16" s="58">
        <f t="shared" si="2"/>
        <v>48.30253826347225</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ProcDataGenPre2012!T17</f>
        <v>0.64402381583376223</v>
      </c>
      <c r="L17" s="58">
        <f>ProcDataGenPre2012!U17</f>
        <v>0.74880000000000002</v>
      </c>
      <c r="M17" s="58">
        <f>ProcDataGenPre2012!V17</f>
        <v>0.70930000000000004</v>
      </c>
      <c r="N17" s="49">
        <v>1</v>
      </c>
      <c r="O17" s="49">
        <v>0.8</v>
      </c>
      <c r="P17" s="49">
        <f t="shared" si="0"/>
        <v>0.83333333333333337</v>
      </c>
      <c r="S17" s="49">
        <f>ProcDataGenPre2012!AL17</f>
        <v>3.5579999999999998</v>
      </c>
      <c r="T17" s="49">
        <f t="shared" si="1"/>
        <v>2.9649999999999999</v>
      </c>
      <c r="U17" s="58">
        <f t="shared" si="2"/>
        <v>72.262748929723088</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ProcDataGenPre2012!T18</f>
        <v>0.73013198915694388</v>
      </c>
      <c r="L18" s="58">
        <f>ProcDataGenPre2012!U18</f>
        <v>0.77</v>
      </c>
      <c r="M18" s="58">
        <f>ProcDataGenPre2012!V18</f>
        <v>0.70930000000000004</v>
      </c>
      <c r="N18" s="49">
        <v>0.5</v>
      </c>
      <c r="O18" s="49">
        <v>0.8</v>
      </c>
      <c r="P18" s="49">
        <f t="shared" si="0"/>
        <v>0.83333333333333337</v>
      </c>
      <c r="S18" s="49">
        <f>ProcDataGenPre2012!AL18</f>
        <v>1.8330000000000002</v>
      </c>
      <c r="T18" s="49">
        <f t="shared" si="1"/>
        <v>1.5275000000000003</v>
      </c>
      <c r="U18" s="58">
        <f t="shared" si="2"/>
        <v>42.205635937627861</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ProcDataGenPre2012!T19</f>
        <v>0.73013198915694388</v>
      </c>
      <c r="L19" s="58">
        <f>ProcDataGenPre2012!U19</f>
        <v>0.77</v>
      </c>
      <c r="M19" s="58">
        <f>ProcDataGenPre2012!V19</f>
        <v>0.70930000000000004</v>
      </c>
      <c r="N19" s="49">
        <v>0.5</v>
      </c>
      <c r="O19" s="49">
        <v>0.8</v>
      </c>
      <c r="P19" s="49">
        <f t="shared" si="0"/>
        <v>0.83333333333333337</v>
      </c>
      <c r="S19" s="49">
        <f>ProcDataGenPre2012!AL19</f>
        <v>2.0099999999999998</v>
      </c>
      <c r="T19" s="49">
        <f t="shared" si="1"/>
        <v>1.6749999999999998</v>
      </c>
      <c r="U19" s="58">
        <f t="shared" si="2"/>
        <v>46.281139244207296</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ProcDataGenPre2012!T20</f>
        <v>0.82643832522800109</v>
      </c>
      <c r="L20" s="58">
        <f>ProcDataGenPre2012!U20</f>
        <v>0.78369999999999995</v>
      </c>
      <c r="M20" s="58">
        <f>ProcDataGenPre2012!V20</f>
        <v>0.79410000000000003</v>
      </c>
      <c r="N20" s="49">
        <v>0</v>
      </c>
      <c r="O20" s="49">
        <v>1</v>
      </c>
      <c r="P20" s="49">
        <f t="shared" si="0"/>
        <v>1</v>
      </c>
      <c r="S20" s="49">
        <f>ProcDataGenPre2012!AL20</f>
        <v>3.69</v>
      </c>
      <c r="T20" s="49">
        <f t="shared" si="1"/>
        <v>3.69</v>
      </c>
      <c r="U20" s="58">
        <f t="shared" si="2"/>
        <v>96.170842800000003</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ProcDataGenPre2012!T21</f>
        <v>0.67608498455931632</v>
      </c>
      <c r="L21" s="58">
        <f>ProcDataGenPre2012!U21</f>
        <v>0.70530000000000004</v>
      </c>
      <c r="M21" s="58">
        <f>ProcDataGenPre2012!V21</f>
        <v>0.6976</v>
      </c>
      <c r="N21" s="49">
        <v>1</v>
      </c>
      <c r="O21" s="49">
        <v>1</v>
      </c>
      <c r="P21" s="49">
        <f t="shared" si="0"/>
        <v>0.83333333333333337</v>
      </c>
      <c r="S21" s="49">
        <f>ProcDataGenPre2012!AL21</f>
        <v>3.45</v>
      </c>
      <c r="T21" s="49">
        <f t="shared" si="1"/>
        <v>2.8750000000000004</v>
      </c>
      <c r="U21" s="58">
        <f t="shared" si="2"/>
        <v>73.557505452065968</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ProcDataGenPre2012!T22</f>
        <v>0.56232505142099387</v>
      </c>
      <c r="L22" s="58">
        <f>ProcDataGenPre2012!U22</f>
        <v>0.61150000000000004</v>
      </c>
      <c r="M22" s="58">
        <f>ProcDataGenPre2012!V22</f>
        <v>0.58079999999999998</v>
      </c>
      <c r="N22" s="49">
        <v>2</v>
      </c>
      <c r="O22" s="49">
        <v>0.8</v>
      </c>
      <c r="P22" s="49">
        <f t="shared" si="0"/>
        <v>0.66666666666666674</v>
      </c>
      <c r="S22" s="49">
        <f>ProcDataGenPre2012!AL22</f>
        <v>3.51</v>
      </c>
      <c r="T22" s="49">
        <f t="shared" si="1"/>
        <v>2.3400000000000003</v>
      </c>
      <c r="U22" s="58">
        <f t="shared" si="2"/>
        <v>62.244524703859746</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50">
        <v>3</v>
      </c>
      <c r="I23" s="58">
        <f>ProcDataGenPre2012!Q23</f>
        <v>0</v>
      </c>
      <c r="J23" s="58">
        <f>ProcDataGenPre2012!R23</f>
        <v>0</v>
      </c>
      <c r="K23" s="58">
        <f>ProcDataGenPre2012!S23</f>
        <v>0.32478976407914761</v>
      </c>
      <c r="L23" s="58">
        <f>ProcDataGenPre2012!T23</f>
        <v>0</v>
      </c>
      <c r="M23" s="58">
        <f>ProcDataGenPre2012!U23</f>
        <v>0</v>
      </c>
      <c r="N23" s="49">
        <v>2</v>
      </c>
      <c r="O23" s="49">
        <v>0.8</v>
      </c>
      <c r="P23" s="49">
        <f t="shared" si="0"/>
        <v>0.33333333333333337</v>
      </c>
      <c r="S23" s="49">
        <f>ProcDataGenPre2012!AL23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ProcDataGenPre2012!AI24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ProcDataGenPre2012!AI25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50">
        <v>0.05</v>
      </c>
      <c r="J26" s="350">
        <v>0.05</v>
      </c>
      <c r="K26" s="350">
        <v>0.05</v>
      </c>
      <c r="L26" s="350">
        <v>0.05</v>
      </c>
      <c r="M26" s="350">
        <v>0.05</v>
      </c>
      <c r="P26" s="49">
        <v>1</v>
      </c>
      <c r="S26" s="49">
        <f>ProcDataGenPre2012!AI26</f>
        <v>2.46</v>
      </c>
      <c r="T26" s="49">
        <f t="shared" si="1"/>
        <v>2.46</v>
      </c>
      <c r="U26" s="58">
        <f t="shared" si="2"/>
        <v>3.8789280000000002</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ProcDataGenPre2012!AI27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ProcDataGenPre2012!T28</f>
        <v>0</v>
      </c>
      <c r="M28" s="58">
        <f>ProcDataGenPre2012!U28</f>
        <v>0</v>
      </c>
      <c r="P28" s="49">
        <v>1</v>
      </c>
      <c r="S28" s="49">
        <f>ProcDataGenPre2012!AI28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ProcDataGenPre2012!T29</f>
        <v>0.84160000000000001</v>
      </c>
      <c r="M29" s="58">
        <f>L29</f>
        <v>0.84160000000000001</v>
      </c>
      <c r="P29" s="49">
        <v>1</v>
      </c>
      <c r="S29" s="49">
        <f>ProcDataGenPre2012!AI29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61">
        <v>0</v>
      </c>
      <c r="J30" s="361">
        <v>0</v>
      </c>
      <c r="K30" s="361">
        <v>0</v>
      </c>
      <c r="L30" s="361">
        <v>0</v>
      </c>
      <c r="M30" s="361">
        <v>0</v>
      </c>
      <c r="P30" s="49">
        <v>1</v>
      </c>
      <c r="S30" s="49">
        <f>ProcDataGenPre2012!AI30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0.56045350538393268</v>
      </c>
      <c r="L32" s="58">
        <f>ProcDataGen2012On!Y9</f>
        <v>0.8</v>
      </c>
      <c r="M32" s="58">
        <f>L32</f>
        <v>0.8</v>
      </c>
      <c r="N32" s="49">
        <v>1</v>
      </c>
      <c r="P32" s="49">
        <f>1-N32/H32</f>
        <v>0.8</v>
      </c>
      <c r="Q32" s="49">
        <v>1</v>
      </c>
      <c r="R32" s="49">
        <v>1</v>
      </c>
      <c r="S32" s="49">
        <f>SUM(ProcDataGen2012On!AK9:AS9)</f>
        <v>3.61</v>
      </c>
      <c r="T32" s="49">
        <f t="shared" ref="T32:T43" si="3">P32*S32</f>
        <v>2.8879999999999999</v>
      </c>
      <c r="U32" s="58">
        <f t="shared" ref="U32:U43" si="4">K32*S32*31.536</f>
        <v>63.804806902293599</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0.56045350538393268</v>
      </c>
      <c r="L33" s="58">
        <f>ProcDataGen2012On!Y10</f>
        <v>0.8</v>
      </c>
      <c r="M33" s="58">
        <f>L33</f>
        <v>0.8</v>
      </c>
      <c r="N33" s="49">
        <v>1</v>
      </c>
      <c r="P33" s="49">
        <f>1-N33/H33</f>
        <v>0.66666666666666674</v>
      </c>
      <c r="Q33" s="49">
        <v>0.8</v>
      </c>
      <c r="R33" s="49">
        <v>1</v>
      </c>
      <c r="S33" s="49">
        <f>SUM(ProcDataGen2012On!AK10:AS10)</f>
        <v>2.1659999999999999</v>
      </c>
      <c r="T33" s="49">
        <f t="shared" si="3"/>
        <v>1.4440000000000002</v>
      </c>
      <c r="U33" s="58">
        <f t="shared" si="4"/>
        <v>38.282884141376158</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SUM(ProcDataGen2012On!AK11:AS11)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61">
        <v>0</v>
      </c>
      <c r="J35" s="361">
        <v>0</v>
      </c>
      <c r="K35" s="361">
        <v>0</v>
      </c>
      <c r="L35" s="361">
        <v>0</v>
      </c>
      <c r="M35" s="361">
        <v>0</v>
      </c>
      <c r="P35" s="49">
        <v>1</v>
      </c>
      <c r="S35" s="49">
        <f>SUM(ProcDataGen2012On!AK12:AS12)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50">
        <v>0.05</v>
      </c>
      <c r="J36" s="350">
        <v>0.05</v>
      </c>
      <c r="K36" s="350">
        <v>0.05</v>
      </c>
      <c r="L36" s="350">
        <v>0.05</v>
      </c>
      <c r="M36" s="350">
        <v>0.05</v>
      </c>
      <c r="P36" s="49">
        <v>1</v>
      </c>
      <c r="S36" s="49">
        <f>SUM(ProcDataGen2012On!AK13:AS13)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SUM(ProcDataGen2012On!AK14:AS14)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SUM(ProcDataGen2012On!AK15:AS15)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SUM(ProcDataGen2012On!AK16:AS16)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P40" s="49">
        <v>0</v>
      </c>
      <c r="S40" s="49">
        <f>SUM(ProcDataGen2012On!AK17:AS17)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P41" s="49">
        <v>0</v>
      </c>
      <c r="S41" s="49">
        <f>SUM(ProcDataGen2012On!AK18:AS18)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P42" s="49">
        <v>0</v>
      </c>
      <c r="S42" s="49">
        <f>SUM(ProcDataGen2012On!AK19:AS19)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P43" s="49">
        <v>0</v>
      </c>
      <c r="S43" s="49">
        <f>SUM(ProcDataGen2012On!AK20:AS20)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0</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c r="P48" s="49">
        <v>0</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c r="P49" s="49">
        <v>0</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c r="P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c r="P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c r="P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0</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0</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533</v>
      </c>
      <c r="T2" s="93"/>
    </row>
    <row r="3" spans="1:20" x14ac:dyDescent="0.25">
      <c r="B3" s="92" t="s">
        <v>532</v>
      </c>
    </row>
    <row r="7" spans="1:20" x14ac:dyDescent="0.25">
      <c r="K7" s="92">
        <v>1</v>
      </c>
      <c r="L7" s="92">
        <v>3</v>
      </c>
      <c r="M7" s="92">
        <v>4</v>
      </c>
      <c r="N7" s="92">
        <v>5</v>
      </c>
      <c r="T7" s="97"/>
    </row>
    <row r="8" spans="1:20" x14ac:dyDescent="0.25">
      <c r="F8" s="92" t="s">
        <v>527</v>
      </c>
      <c r="G8" s="92" t="s">
        <v>526</v>
      </c>
      <c r="H8" s="92" t="s">
        <v>525</v>
      </c>
      <c r="I8" s="92" t="s">
        <v>524</v>
      </c>
      <c r="J8" s="92" t="s">
        <v>523</v>
      </c>
      <c r="K8" s="92" t="s">
        <v>444</v>
      </c>
      <c r="L8" s="92" t="s">
        <v>126</v>
      </c>
      <c r="M8" s="92" t="s">
        <v>143</v>
      </c>
      <c r="N8" s="92" t="s">
        <v>125</v>
      </c>
      <c r="O8" s="92" t="s">
        <v>115</v>
      </c>
      <c r="T8" s="93"/>
    </row>
    <row r="9" spans="1:20" x14ac:dyDescent="0.25">
      <c r="A9" s="92" t="str">
        <f t="shared" ref="A9:A40" si="0">B9&amp;C9</f>
        <v xml:space="preserve">KrielSeriti </v>
      </c>
      <c r="B9" s="93" t="s">
        <v>452</v>
      </c>
      <c r="C9" s="93" t="s">
        <v>492</v>
      </c>
      <c r="D9" s="92" t="s">
        <v>465</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444</v>
      </c>
      <c r="C10" s="92">
        <v>4573</v>
      </c>
      <c r="D10" s="92" t="s">
        <v>465</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443</v>
      </c>
      <c r="C11" s="92">
        <v>2958731</v>
      </c>
      <c r="D11" s="92" t="s">
        <v>465</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442</v>
      </c>
      <c r="C12" s="92">
        <f>C11/C10</f>
        <v>647</v>
      </c>
      <c r="D12" s="92" t="s">
        <v>465</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441</v>
      </c>
      <c r="C13" s="92">
        <v>20.94</v>
      </c>
      <c r="D13" s="92" t="s">
        <v>465</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440</v>
      </c>
      <c r="C14" s="97">
        <f>C12/C13</f>
        <v>30.897803247373446</v>
      </c>
      <c r="D14" s="92" t="s">
        <v>465</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483</v>
      </c>
      <c r="C15" s="93" t="s">
        <v>464</v>
      </c>
      <c r="D15" s="92" t="s">
        <v>465</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444</v>
      </c>
      <c r="C16" s="92">
        <v>14790</v>
      </c>
      <c r="D16" s="92" t="s">
        <v>465</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443</v>
      </c>
      <c r="C17" s="92">
        <v>3283380</v>
      </c>
      <c r="D17" s="92" t="s">
        <v>465</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442</v>
      </c>
      <c r="C18" s="92">
        <f>C17/C16</f>
        <v>222</v>
      </c>
      <c r="D18" s="92" t="s">
        <v>465</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441</v>
      </c>
      <c r="C19" s="92">
        <v>15.4</v>
      </c>
      <c r="D19" s="92" t="s">
        <v>465</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440</v>
      </c>
      <c r="C20" s="97">
        <f>C18/C19</f>
        <v>14.415584415584416</v>
      </c>
      <c r="D20" s="92" t="s">
        <v>465</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460</v>
      </c>
      <c r="C21" s="93" t="s">
        <v>464</v>
      </c>
      <c r="D21" s="92" t="s">
        <v>465</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444</v>
      </c>
      <c r="C22" s="92">
        <v>3591</v>
      </c>
      <c r="D22" s="92" t="s">
        <v>465</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443</v>
      </c>
      <c r="C23" s="92">
        <v>2542428</v>
      </c>
      <c r="D23" s="92" t="s">
        <v>465</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442</v>
      </c>
      <c r="C24" s="92">
        <f>C23/C22</f>
        <v>708</v>
      </c>
      <c r="D24" s="92" t="s">
        <v>465</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441</v>
      </c>
      <c r="C25" s="92">
        <v>20.350000000000001</v>
      </c>
      <c r="D25" s="92" t="s">
        <v>465</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440</v>
      </c>
      <c r="C26" s="92">
        <f>C24/C25</f>
        <v>34.791154791154788</v>
      </c>
      <c r="D26" s="92" t="s">
        <v>465</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455</v>
      </c>
      <c r="C27" s="93" t="s">
        <v>469</v>
      </c>
      <c r="D27" s="92" t="s">
        <v>465</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444</v>
      </c>
      <c r="C28" s="92">
        <v>5887</v>
      </c>
      <c r="D28" s="92" t="s">
        <v>465</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443</v>
      </c>
      <c r="C29" s="92">
        <v>3726471</v>
      </c>
      <c r="D29" s="92" t="s">
        <v>465</v>
      </c>
      <c r="O29" s="97">
        <f>SUM(O9:O28)</f>
        <v>2248.2044700000001</v>
      </c>
    </row>
    <row r="30" spans="1:20" x14ac:dyDescent="0.25">
      <c r="A30" s="92" t="str">
        <f t="shared" si="0"/>
        <v>rands/ton633</v>
      </c>
      <c r="B30" s="92" t="s">
        <v>442</v>
      </c>
      <c r="C30" s="92">
        <f>C29/C28</f>
        <v>633</v>
      </c>
      <c r="D30" s="92" t="s">
        <v>465</v>
      </c>
      <c r="N30" s="92" t="s">
        <v>116</v>
      </c>
      <c r="O30" s="92">
        <v>2291</v>
      </c>
    </row>
    <row r="31" spans="1:20" x14ac:dyDescent="0.25">
      <c r="A31" s="92" t="str">
        <f t="shared" si="0"/>
        <v>CV as received19.81</v>
      </c>
      <c r="B31" s="92" t="s">
        <v>441</v>
      </c>
      <c r="C31" s="92">
        <v>19.809999999999999</v>
      </c>
      <c r="D31" s="92" t="s">
        <v>465</v>
      </c>
      <c r="N31" s="92" t="s">
        <v>531</v>
      </c>
      <c r="O31" s="92">
        <v>20</v>
      </c>
    </row>
    <row r="32" spans="1:20" x14ac:dyDescent="0.25">
      <c r="A32" s="92" t="str">
        <f t="shared" si="0"/>
        <v>Rand/GJ31.9535588086825</v>
      </c>
      <c r="B32" s="92" t="s">
        <v>440</v>
      </c>
      <c r="C32" s="92">
        <f>C30/C31</f>
        <v>31.953558808682487</v>
      </c>
      <c r="D32" s="92" t="s">
        <v>465</v>
      </c>
      <c r="N32" s="92" t="s">
        <v>530</v>
      </c>
      <c r="O32" s="92">
        <f>O30-O31</f>
        <v>2271</v>
      </c>
    </row>
    <row r="33" spans="1:23" x14ac:dyDescent="0.25">
      <c r="A33" s="92" t="str">
        <f t="shared" si="0"/>
        <v>Kendal South 32</v>
      </c>
      <c r="B33" s="92" t="s">
        <v>454</v>
      </c>
      <c r="C33" s="92" t="s">
        <v>501</v>
      </c>
      <c r="D33" s="92" t="s">
        <v>465</v>
      </c>
      <c r="I33" s="92" t="s">
        <v>529</v>
      </c>
      <c r="N33" s="92" t="s">
        <v>528</v>
      </c>
      <c r="O33" s="92">
        <f>O29/O32</f>
        <v>0.98996233817701462</v>
      </c>
      <c r="T33" s="97"/>
    </row>
    <row r="34" spans="1:23" x14ac:dyDescent="0.25">
      <c r="A34" s="92" t="str">
        <f t="shared" si="0"/>
        <v>Ktons10290</v>
      </c>
      <c r="B34" s="92" t="s">
        <v>444</v>
      </c>
      <c r="C34" s="92">
        <v>10290</v>
      </c>
      <c r="D34" s="92" t="s">
        <v>465</v>
      </c>
    </row>
    <row r="35" spans="1:23" x14ac:dyDescent="0.25">
      <c r="A35" s="92" t="str">
        <f t="shared" si="0"/>
        <v>Rand '0004712820</v>
      </c>
      <c r="B35" s="92" t="s">
        <v>443</v>
      </c>
      <c r="C35" s="92">
        <v>4712820</v>
      </c>
      <c r="D35" s="92" t="s">
        <v>465</v>
      </c>
      <c r="F35" s="92" t="s">
        <v>527</v>
      </c>
      <c r="G35" s="92" t="s">
        <v>526</v>
      </c>
      <c r="H35" s="92" t="s">
        <v>525</v>
      </c>
      <c r="I35" s="92" t="s">
        <v>524</v>
      </c>
      <c r="J35" s="92" t="s">
        <v>523</v>
      </c>
      <c r="K35" s="92" t="s">
        <v>522</v>
      </c>
      <c r="L35" s="92" t="s">
        <v>444</v>
      </c>
      <c r="M35" s="92" t="s">
        <v>126</v>
      </c>
      <c r="N35" s="92" t="s">
        <v>521</v>
      </c>
      <c r="O35" s="92" t="s">
        <v>125</v>
      </c>
      <c r="P35" s="92" t="s">
        <v>115</v>
      </c>
      <c r="Q35" s="92" t="s">
        <v>520</v>
      </c>
      <c r="R35" s="92" t="s">
        <v>519</v>
      </c>
      <c r="S35" s="92" t="s">
        <v>518</v>
      </c>
      <c r="T35" s="92" t="s">
        <v>145</v>
      </c>
      <c r="U35" s="97"/>
    </row>
    <row r="36" spans="1:23" x14ac:dyDescent="0.25">
      <c r="A36" s="92" t="str">
        <f t="shared" si="0"/>
        <v>rands/ton458</v>
      </c>
      <c r="B36" s="92" t="s">
        <v>442</v>
      </c>
      <c r="C36" s="92">
        <f>C35/C34</f>
        <v>458</v>
      </c>
      <c r="D36" s="92" t="s">
        <v>465</v>
      </c>
      <c r="F36" s="92" t="s">
        <v>517</v>
      </c>
      <c r="G36" s="92">
        <v>49</v>
      </c>
      <c r="H36" s="92" t="s">
        <v>439</v>
      </c>
      <c r="I36" s="92" t="s">
        <v>445</v>
      </c>
      <c r="J36" s="92" t="s">
        <v>458</v>
      </c>
      <c r="K36" s="92" t="s">
        <v>516</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441</v>
      </c>
      <c r="C37" s="92">
        <v>18.48</v>
      </c>
      <c r="D37" s="92" t="s">
        <v>465</v>
      </c>
      <c r="F37" s="92" t="s">
        <v>515</v>
      </c>
      <c r="G37" s="92">
        <v>73</v>
      </c>
      <c r="H37" s="92" t="s">
        <v>439</v>
      </c>
      <c r="I37" s="92" t="s">
        <v>445</v>
      </c>
      <c r="J37" s="92" t="s">
        <v>514</v>
      </c>
      <c r="K37" s="92" t="s">
        <v>513</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440</v>
      </c>
      <c r="C38" s="92">
        <f>C36/C37</f>
        <v>24.783549783549784</v>
      </c>
      <c r="D38" s="92" t="s">
        <v>465</v>
      </c>
      <c r="F38" s="92" t="s">
        <v>512</v>
      </c>
      <c r="G38" s="92">
        <v>31</v>
      </c>
      <c r="H38" s="92" t="s">
        <v>462</v>
      </c>
      <c r="I38" s="92" t="s">
        <v>501</v>
      </c>
      <c r="J38" s="92" t="s">
        <v>508</v>
      </c>
      <c r="K38" s="92" t="s">
        <v>511</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510</v>
      </c>
    </row>
    <row r="39" spans="1:23" x14ac:dyDescent="0.25">
      <c r="A39" s="92" t="str">
        <f t="shared" si="0"/>
        <v>DuvhaSouth 32</v>
      </c>
      <c r="B39" s="93" t="s">
        <v>508</v>
      </c>
      <c r="C39" s="93" t="s">
        <v>501</v>
      </c>
      <c r="D39" s="92" t="s">
        <v>462</v>
      </c>
      <c r="F39" s="92" t="s">
        <v>509</v>
      </c>
      <c r="G39" s="92">
        <v>91</v>
      </c>
      <c r="H39" s="92" t="s">
        <v>439</v>
      </c>
      <c r="I39" s="92" t="s">
        <v>445</v>
      </c>
      <c r="J39" s="92" t="s">
        <v>508</v>
      </c>
      <c r="K39" s="92" t="s">
        <v>507</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444</v>
      </c>
      <c r="C40" s="92">
        <v>5895</v>
      </c>
      <c r="D40" s="92" t="s">
        <v>462</v>
      </c>
      <c r="F40" s="92" t="s">
        <v>506</v>
      </c>
      <c r="G40" s="92">
        <v>109</v>
      </c>
      <c r="H40" s="92" t="s">
        <v>439</v>
      </c>
      <c r="I40" s="92" t="str">
        <f>INDEX($C$9:$C$128,$G40)</f>
        <v>various</v>
      </c>
      <c r="J40" s="92" t="str">
        <f>INDEX($B$9:$B$128,$G40)</f>
        <v>Grootvlei</v>
      </c>
      <c r="K40" s="92" t="s">
        <v>505</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443</v>
      </c>
      <c r="C41" s="92">
        <v>1229749</v>
      </c>
      <c r="D41" s="92" t="s">
        <v>462</v>
      </c>
      <c r="F41" s="92" t="s">
        <v>504</v>
      </c>
      <c r="G41" s="92">
        <v>85</v>
      </c>
      <c r="H41" s="92" t="s">
        <v>439</v>
      </c>
      <c r="I41" s="92" t="s">
        <v>445</v>
      </c>
      <c r="J41" s="92" t="s">
        <v>451</v>
      </c>
      <c r="K41" s="92" t="s">
        <v>503</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442</v>
      </c>
      <c r="C42" s="97">
        <f>C41/C40</f>
        <v>208.60882103477525</v>
      </c>
      <c r="D42" s="92" t="s">
        <v>462</v>
      </c>
      <c r="F42" s="92" t="s">
        <v>502</v>
      </c>
      <c r="G42" s="92">
        <v>25</v>
      </c>
      <c r="H42" s="92" t="s">
        <v>465</v>
      </c>
      <c r="I42" s="92" t="s">
        <v>501</v>
      </c>
      <c r="J42" s="92" t="s">
        <v>497</v>
      </c>
      <c r="K42" s="92" t="s">
        <v>500</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499</v>
      </c>
    </row>
    <row r="43" spans="1:23" x14ac:dyDescent="0.25">
      <c r="A43" s="92" t="str">
        <f t="shared" si="10"/>
        <v>CV as received20.78</v>
      </c>
      <c r="B43" s="92" t="s">
        <v>441</v>
      </c>
      <c r="C43" s="92">
        <v>20.78</v>
      </c>
      <c r="D43" s="92" t="s">
        <v>462</v>
      </c>
      <c r="F43" s="92" t="s">
        <v>498</v>
      </c>
      <c r="G43" s="92">
        <v>67</v>
      </c>
      <c r="H43" s="92" t="s">
        <v>439</v>
      </c>
      <c r="I43" s="92" t="s">
        <v>445</v>
      </c>
      <c r="J43" s="92" t="s">
        <v>497</v>
      </c>
      <c r="K43" s="92" t="s">
        <v>496</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440</v>
      </c>
      <c r="C44" s="97">
        <f>C42/C43</f>
        <v>10.038923052684083</v>
      </c>
      <c r="D44" s="92" t="s">
        <v>462</v>
      </c>
      <c r="F44" s="92" t="s">
        <v>495</v>
      </c>
      <c r="G44" s="92">
        <v>103</v>
      </c>
      <c r="H44" s="92" t="s">
        <v>439</v>
      </c>
      <c r="I44" s="92" t="s">
        <v>445</v>
      </c>
      <c r="J44" s="92" t="s">
        <v>448</v>
      </c>
      <c r="K44" s="92" t="s">
        <v>494</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476</v>
      </c>
      <c r="C45" s="93" t="s">
        <v>477</v>
      </c>
      <c r="D45" s="92" t="s">
        <v>462</v>
      </c>
      <c r="F45" s="92" t="s">
        <v>493</v>
      </c>
      <c r="G45" s="92">
        <v>1</v>
      </c>
      <c r="H45" s="92" t="s">
        <v>465</v>
      </c>
      <c r="I45" s="92" t="s">
        <v>492</v>
      </c>
      <c r="J45" s="92" t="s">
        <v>452</v>
      </c>
      <c r="K45" s="92" t="s">
        <v>491</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444</v>
      </c>
      <c r="C46" s="92">
        <v>14425</v>
      </c>
      <c r="D46" s="92" t="s">
        <v>462</v>
      </c>
      <c r="F46" s="92" t="s">
        <v>490</v>
      </c>
      <c r="G46" s="92">
        <v>79</v>
      </c>
      <c r="H46" s="92" t="s">
        <v>439</v>
      </c>
      <c r="I46" s="92" t="s">
        <v>445</v>
      </c>
      <c r="J46" s="92" t="s">
        <v>452</v>
      </c>
      <c r="K46" s="92" t="s">
        <v>489</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443</v>
      </c>
      <c r="C47" s="92">
        <v>4709451</v>
      </c>
      <c r="D47" s="92" t="s">
        <v>462</v>
      </c>
      <c r="I47" s="92" t="s">
        <v>488</v>
      </c>
      <c r="J47" s="92" t="s">
        <v>446</v>
      </c>
      <c r="K47" s="92" t="s">
        <v>224</v>
      </c>
      <c r="N47" s="92">
        <v>19.5</v>
      </c>
      <c r="P47" s="98">
        <v>156</v>
      </c>
      <c r="R47" s="98">
        <v>16.05</v>
      </c>
      <c r="T47" s="92" t="s">
        <v>487</v>
      </c>
      <c r="V47" s="92">
        <f>-PMT(10%,30,20)/11*1000</f>
        <v>192.87136045933443</v>
      </c>
      <c r="W47" s="92">
        <f>V47/N47</f>
        <v>9.8908389979145852</v>
      </c>
    </row>
    <row r="48" spans="1:23" x14ac:dyDescent="0.25">
      <c r="A48" s="92" t="str">
        <f t="shared" si="10"/>
        <v>rands/ton326.478405545927</v>
      </c>
      <c r="B48" s="92" t="s">
        <v>442</v>
      </c>
      <c r="C48" s="97">
        <f>C47/C46</f>
        <v>326.47840554592722</v>
      </c>
      <c r="D48" s="92" t="s">
        <v>462</v>
      </c>
      <c r="F48" s="92" t="s">
        <v>486</v>
      </c>
      <c r="G48" s="92">
        <v>115</v>
      </c>
      <c r="H48" s="92" t="s">
        <v>439</v>
      </c>
      <c r="I48" s="92" t="s">
        <v>445</v>
      </c>
      <c r="J48" s="92" t="s">
        <v>446</v>
      </c>
      <c r="K48" s="92" t="s">
        <v>485</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441</v>
      </c>
      <c r="C49" s="92">
        <v>18.690000000000001</v>
      </c>
      <c r="D49" s="92" t="s">
        <v>462</v>
      </c>
      <c r="F49" s="92" t="s">
        <v>484</v>
      </c>
      <c r="G49" s="92">
        <v>7</v>
      </c>
      <c r="H49" s="92" t="s">
        <v>465</v>
      </c>
      <c r="I49" s="92" t="s">
        <v>464</v>
      </c>
      <c r="J49" s="92" t="s">
        <v>483</v>
      </c>
      <c r="K49" s="92" t="s">
        <v>482</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440</v>
      </c>
      <c r="C50" s="92">
        <f>C48/C49</f>
        <v>17.4680794834632</v>
      </c>
      <c r="D50" s="92" t="s">
        <v>462</v>
      </c>
      <c r="F50" s="92" t="s">
        <v>481</v>
      </c>
      <c r="G50" s="92">
        <v>97</v>
      </c>
      <c r="H50" s="92" t="s">
        <v>439</v>
      </c>
      <c r="I50" s="92" t="s">
        <v>445</v>
      </c>
      <c r="J50" s="92" t="s">
        <v>449</v>
      </c>
      <c r="K50" s="92" t="s">
        <v>480</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479</v>
      </c>
    </row>
    <row r="51" spans="1:20" x14ac:dyDescent="0.25">
      <c r="A51" s="92" t="str">
        <f t="shared" si="10"/>
        <v>MedupiExxaro</v>
      </c>
      <c r="B51" s="93" t="s">
        <v>468</v>
      </c>
      <c r="C51" s="93" t="s">
        <v>469</v>
      </c>
      <c r="D51" s="92" t="s">
        <v>462</v>
      </c>
      <c r="F51" s="92" t="s">
        <v>478</v>
      </c>
      <c r="G51" s="92">
        <v>37</v>
      </c>
      <c r="H51" s="92" t="s">
        <v>462</v>
      </c>
      <c r="I51" s="92" t="s">
        <v>477</v>
      </c>
      <c r="J51" s="92" t="s">
        <v>476</v>
      </c>
      <c r="K51" s="92" t="s">
        <v>475</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444</v>
      </c>
      <c r="C52" s="92">
        <v>9539</v>
      </c>
      <c r="D52" s="92" t="s">
        <v>462</v>
      </c>
      <c r="F52" s="92" t="s">
        <v>474</v>
      </c>
      <c r="G52" s="92">
        <v>19</v>
      </c>
      <c r="H52" s="92" t="s">
        <v>465</v>
      </c>
      <c r="I52" s="92" t="s">
        <v>469</v>
      </c>
      <c r="J52" s="92" t="s">
        <v>455</v>
      </c>
      <c r="K52" s="92" t="s">
        <v>473</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443</v>
      </c>
      <c r="C53" s="92">
        <v>3812228</v>
      </c>
      <c r="D53" s="92" t="s">
        <v>462</v>
      </c>
      <c r="F53" s="92" t="s">
        <v>472</v>
      </c>
      <c r="G53" s="92">
        <v>61</v>
      </c>
      <c r="H53" s="92" t="s">
        <v>439</v>
      </c>
      <c r="I53" s="92" t="s">
        <v>445</v>
      </c>
      <c r="J53" s="92" t="s">
        <v>455</v>
      </c>
      <c r="K53" s="92" t="s">
        <v>471</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442</v>
      </c>
      <c r="C54" s="92">
        <f>C53/C52</f>
        <v>399.64650382639689</v>
      </c>
      <c r="D54" s="92" t="s">
        <v>462</v>
      </c>
      <c r="F54" s="92" t="s">
        <v>470</v>
      </c>
      <c r="G54" s="92">
        <v>43</v>
      </c>
      <c r="H54" s="92" t="s">
        <v>462</v>
      </c>
      <c r="I54" s="92" t="s">
        <v>469</v>
      </c>
      <c r="J54" s="92" t="s">
        <v>468</v>
      </c>
      <c r="K54" s="92" t="s">
        <v>467</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441</v>
      </c>
      <c r="C55" s="92">
        <v>18.690000000000001</v>
      </c>
      <c r="D55" s="92" t="s">
        <v>462</v>
      </c>
      <c r="F55" s="92" t="s">
        <v>466</v>
      </c>
      <c r="G55" s="92">
        <v>13</v>
      </c>
      <c r="H55" s="92" t="s">
        <v>465</v>
      </c>
      <c r="I55" s="92" t="s">
        <v>464</v>
      </c>
      <c r="J55" s="92" t="s">
        <v>460</v>
      </c>
      <c r="K55" s="92" t="s">
        <v>463</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440</v>
      </c>
      <c r="C56" s="92">
        <f>C54/C55</f>
        <v>21.382905501679875</v>
      </c>
      <c r="D56" s="92" t="s">
        <v>462</v>
      </c>
      <c r="F56" s="92" t="s">
        <v>461</v>
      </c>
      <c r="G56" s="92">
        <v>55</v>
      </c>
      <c r="H56" s="92" t="s">
        <v>439</v>
      </c>
      <c r="I56" s="92" t="s">
        <v>445</v>
      </c>
      <c r="J56" s="92" t="s">
        <v>460</v>
      </c>
      <c r="K56" s="92" t="s">
        <v>459</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458</v>
      </c>
      <c r="C57" s="93" t="s">
        <v>445</v>
      </c>
      <c r="D57" s="92" t="s">
        <v>439</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444</v>
      </c>
      <c r="C58" s="92">
        <v>5858</v>
      </c>
      <c r="D58" s="92" t="s">
        <v>439</v>
      </c>
      <c r="M58" s="92">
        <f>M57*0.73</f>
        <v>323.82978237175473</v>
      </c>
      <c r="O58" s="97"/>
    </row>
    <row r="59" spans="1:20" x14ac:dyDescent="0.25">
      <c r="A59" s="92" t="str">
        <f t="shared" si="10"/>
        <v>Rand '0003113714</v>
      </c>
      <c r="B59" s="92" t="s">
        <v>443</v>
      </c>
      <c r="C59" s="92">
        <v>3113714</v>
      </c>
      <c r="D59" s="92" t="s">
        <v>439</v>
      </c>
    </row>
    <row r="60" spans="1:20" x14ac:dyDescent="0.25">
      <c r="A60" s="92" t="str">
        <f t="shared" si="10"/>
        <v>rands/ton531.531922157733</v>
      </c>
      <c r="B60" s="92" t="s">
        <v>442</v>
      </c>
      <c r="C60" s="92">
        <f>C59/C58</f>
        <v>531.53192215773299</v>
      </c>
      <c r="D60" s="92" t="s">
        <v>439</v>
      </c>
      <c r="Q60" s="92" t="s">
        <v>457</v>
      </c>
    </row>
    <row r="61" spans="1:20" x14ac:dyDescent="0.25">
      <c r="A61" s="92" t="str">
        <f t="shared" si="10"/>
        <v>CV as received20.52</v>
      </c>
      <c r="B61" s="92" t="s">
        <v>441</v>
      </c>
      <c r="C61" s="92">
        <v>20.52</v>
      </c>
      <c r="D61" s="92" t="s">
        <v>439</v>
      </c>
      <c r="Q61" s="96">
        <v>0.4</v>
      </c>
    </row>
    <row r="62" spans="1:20" x14ac:dyDescent="0.25">
      <c r="A62" s="92" t="str">
        <f t="shared" si="10"/>
        <v>Rand/GJ25.9031151148993</v>
      </c>
      <c r="B62" s="92" t="s">
        <v>440</v>
      </c>
      <c r="C62" s="92">
        <f>C60/C61</f>
        <v>25.903115114899268</v>
      </c>
      <c r="D62" s="92" t="s">
        <v>439</v>
      </c>
    </row>
    <row r="63" spans="1:20" x14ac:dyDescent="0.25">
      <c r="A63" s="92" t="str">
        <f t="shared" si="10"/>
        <v>Tutuka various</v>
      </c>
      <c r="B63" s="93" t="s">
        <v>456</v>
      </c>
      <c r="C63" s="93" t="s">
        <v>445</v>
      </c>
      <c r="D63" s="92" t="s">
        <v>439</v>
      </c>
    </row>
    <row r="64" spans="1:20" x14ac:dyDescent="0.25">
      <c r="A64" s="92" t="str">
        <f t="shared" si="10"/>
        <v>Ktons5417</v>
      </c>
      <c r="B64" s="92" t="s">
        <v>444</v>
      </c>
      <c r="C64" s="92">
        <v>5417</v>
      </c>
      <c r="D64" s="92" t="s">
        <v>439</v>
      </c>
    </row>
    <row r="65" spans="1:4" x14ac:dyDescent="0.25">
      <c r="A65" s="92" t="str">
        <f t="shared" si="10"/>
        <v>Rand '0003377630</v>
      </c>
      <c r="B65" s="92" t="s">
        <v>443</v>
      </c>
      <c r="C65" s="92">
        <v>3377630</v>
      </c>
      <c r="D65" s="92" t="s">
        <v>439</v>
      </c>
    </row>
    <row r="66" spans="1:4" x14ac:dyDescent="0.25">
      <c r="A66" s="92" t="str">
        <f t="shared" si="10"/>
        <v>rands/ton623.52409082518</v>
      </c>
      <c r="B66" s="92" t="s">
        <v>442</v>
      </c>
      <c r="C66" s="92">
        <f>C65/C64</f>
        <v>623.52409082518</v>
      </c>
      <c r="D66" s="92" t="s">
        <v>439</v>
      </c>
    </row>
    <row r="67" spans="1:4" x14ac:dyDescent="0.25">
      <c r="A67" s="92" t="str">
        <f t="shared" si="10"/>
        <v>CV as received20.35</v>
      </c>
      <c r="B67" s="92" t="s">
        <v>441</v>
      </c>
      <c r="C67" s="92">
        <v>20.350000000000001</v>
      </c>
      <c r="D67" s="92" t="s">
        <v>439</v>
      </c>
    </row>
    <row r="68" spans="1:4" x14ac:dyDescent="0.25">
      <c r="A68" s="92" t="str">
        <f t="shared" si="10"/>
        <v>Rand/GJ30.6400044631538</v>
      </c>
      <c r="B68" s="92" t="s">
        <v>440</v>
      </c>
      <c r="C68" s="92">
        <f>C66/C67</f>
        <v>30.640004463153804</v>
      </c>
      <c r="D68" s="92" t="s">
        <v>439</v>
      </c>
    </row>
    <row r="69" spans="1:4" x14ac:dyDescent="0.25">
      <c r="A69" s="92" t="str">
        <f t="shared" si="10"/>
        <v>Matlavarious</v>
      </c>
      <c r="B69" s="93" t="s">
        <v>455</v>
      </c>
      <c r="C69" s="93" t="s">
        <v>445</v>
      </c>
      <c r="D69" s="92" t="s">
        <v>439</v>
      </c>
    </row>
    <row r="70" spans="1:4" x14ac:dyDescent="0.25">
      <c r="A70" s="92" t="str">
        <f t="shared" si="10"/>
        <v>Ktons3538</v>
      </c>
      <c r="B70" s="92" t="s">
        <v>444</v>
      </c>
      <c r="C70" s="92">
        <v>3538</v>
      </c>
      <c r="D70" s="92" t="s">
        <v>439</v>
      </c>
    </row>
    <row r="71" spans="1:4" x14ac:dyDescent="0.25">
      <c r="A71" s="92" t="str">
        <f t="shared" si="10"/>
        <v>Rand '0001916967</v>
      </c>
      <c r="B71" s="92" t="s">
        <v>443</v>
      </c>
      <c r="C71" s="92">
        <v>1916967</v>
      </c>
      <c r="D71" s="92" t="s">
        <v>439</v>
      </c>
    </row>
    <row r="72" spans="1:4" x14ac:dyDescent="0.25">
      <c r="A72" s="92" t="str">
        <f t="shared" si="10"/>
        <v>rands/ton541.82221594121</v>
      </c>
      <c r="B72" s="92" t="s">
        <v>442</v>
      </c>
      <c r="C72" s="92">
        <f>C71/C70</f>
        <v>541.82221594120972</v>
      </c>
      <c r="D72" s="92" t="s">
        <v>439</v>
      </c>
    </row>
    <row r="73" spans="1:4" x14ac:dyDescent="0.25">
      <c r="A73" s="92" t="str">
        <f t="shared" ref="A73:A104" si="14">B73&amp;C73</f>
        <v>CV as received19.81</v>
      </c>
      <c r="B73" s="92" t="s">
        <v>441</v>
      </c>
      <c r="C73" s="92">
        <v>19.809999999999999</v>
      </c>
      <c r="D73" s="92" t="s">
        <v>439</v>
      </c>
    </row>
    <row r="74" spans="1:4" x14ac:dyDescent="0.25">
      <c r="A74" s="92" t="str">
        <f t="shared" si="14"/>
        <v>Rand/GJ27.3509447723983</v>
      </c>
      <c r="B74" s="92" t="s">
        <v>440</v>
      </c>
      <c r="C74" s="92">
        <f>C72/C73</f>
        <v>27.350944772398272</v>
      </c>
      <c r="D74" s="92" t="s">
        <v>439</v>
      </c>
    </row>
    <row r="75" spans="1:4" x14ac:dyDescent="0.25">
      <c r="A75" s="92" t="str">
        <f t="shared" si="14"/>
        <v>Kendal various</v>
      </c>
      <c r="B75" s="93" t="s">
        <v>454</v>
      </c>
      <c r="C75" s="93" t="s">
        <v>445</v>
      </c>
      <c r="D75" s="92" t="s">
        <v>439</v>
      </c>
    </row>
    <row r="76" spans="1:4" x14ac:dyDescent="0.25">
      <c r="A76" s="92" t="str">
        <f t="shared" si="14"/>
        <v>Ktons3993</v>
      </c>
      <c r="B76" s="92" t="s">
        <v>444</v>
      </c>
      <c r="C76" s="92">
        <v>3993</v>
      </c>
      <c r="D76" s="92" t="s">
        <v>439</v>
      </c>
    </row>
    <row r="77" spans="1:4" x14ac:dyDescent="0.25">
      <c r="A77" s="92" t="str">
        <f t="shared" si="14"/>
        <v>Rand '0001711509</v>
      </c>
      <c r="B77" s="92" t="s">
        <v>443</v>
      </c>
      <c r="C77" s="92">
        <v>1711509</v>
      </c>
      <c r="D77" s="92" t="s">
        <v>439</v>
      </c>
    </row>
    <row r="78" spans="1:4" x14ac:dyDescent="0.25">
      <c r="A78" s="92" t="str">
        <f t="shared" si="14"/>
        <v>rands/ton428.627347858753</v>
      </c>
      <c r="B78" s="92" t="s">
        <v>442</v>
      </c>
      <c r="C78" s="92">
        <f>C77/C76</f>
        <v>428.62734785875284</v>
      </c>
      <c r="D78" s="92" t="s">
        <v>439</v>
      </c>
    </row>
    <row r="79" spans="1:4" x14ac:dyDescent="0.25">
      <c r="A79" s="92" t="str">
        <f t="shared" si="14"/>
        <v>CV as received18.48</v>
      </c>
      <c r="B79" s="92" t="s">
        <v>441</v>
      </c>
      <c r="C79" s="92">
        <v>18.48</v>
      </c>
      <c r="D79" s="92" t="s">
        <v>439</v>
      </c>
    </row>
    <row r="80" spans="1:4" x14ac:dyDescent="0.25">
      <c r="A80" s="92" t="str">
        <f t="shared" si="14"/>
        <v>Rand/GJ23.1941205551273</v>
      </c>
      <c r="B80" s="92" t="s">
        <v>440</v>
      </c>
      <c r="C80" s="92">
        <f>C78/C79</f>
        <v>23.194120555127316</v>
      </c>
      <c r="D80" s="92" t="s">
        <v>439</v>
      </c>
    </row>
    <row r="81" spans="1:4" x14ac:dyDescent="0.25">
      <c r="A81" s="92" t="str">
        <f t="shared" si="14"/>
        <v>Camden various</v>
      </c>
      <c r="B81" s="93" t="s">
        <v>453</v>
      </c>
      <c r="C81" s="92" t="s">
        <v>445</v>
      </c>
      <c r="D81" s="92" t="s">
        <v>439</v>
      </c>
    </row>
    <row r="82" spans="1:4" x14ac:dyDescent="0.25">
      <c r="A82" s="92" t="str">
        <f t="shared" si="14"/>
        <v>Ktons4508</v>
      </c>
      <c r="B82" s="94" t="s">
        <v>444</v>
      </c>
      <c r="C82" s="92">
        <v>4508</v>
      </c>
      <c r="D82" s="92" t="s">
        <v>439</v>
      </c>
    </row>
    <row r="83" spans="1:4" x14ac:dyDescent="0.25">
      <c r="A83" s="92" t="str">
        <f t="shared" si="14"/>
        <v>Rand '0002713371</v>
      </c>
      <c r="B83" s="94" t="s">
        <v>443</v>
      </c>
      <c r="C83" s="92">
        <v>2713371</v>
      </c>
      <c r="D83" s="92" t="s">
        <v>439</v>
      </c>
    </row>
    <row r="84" spans="1:4" x14ac:dyDescent="0.25">
      <c r="A84" s="92" t="str">
        <f t="shared" si="14"/>
        <v>rands/ton601.901286601597</v>
      </c>
      <c r="B84" s="94" t="s">
        <v>442</v>
      </c>
      <c r="C84" s="92">
        <f>C83/C82</f>
        <v>601.90128660159712</v>
      </c>
      <c r="D84" s="92" t="s">
        <v>439</v>
      </c>
    </row>
    <row r="85" spans="1:4" x14ac:dyDescent="0.25">
      <c r="A85" s="92" t="str">
        <f t="shared" si="14"/>
        <v>CV as received18.65</v>
      </c>
      <c r="B85" s="94" t="s">
        <v>441</v>
      </c>
      <c r="C85" s="92">
        <v>18.649999999999999</v>
      </c>
      <c r="D85" s="92" t="s">
        <v>439</v>
      </c>
    </row>
    <row r="86" spans="1:4" x14ac:dyDescent="0.25">
      <c r="A86" s="92" t="str">
        <f t="shared" si="14"/>
        <v>Rand/GJ32.273527431721</v>
      </c>
      <c r="B86" s="94" t="s">
        <v>440</v>
      </c>
      <c r="C86" s="92">
        <f>C84/C85</f>
        <v>32.273527431721028</v>
      </c>
      <c r="D86" s="92" t="s">
        <v>439</v>
      </c>
    </row>
    <row r="87" spans="1:4" x14ac:dyDescent="0.25">
      <c r="A87" s="92" t="str">
        <f t="shared" si="14"/>
        <v>Krielvarious</v>
      </c>
      <c r="B87" s="93" t="s">
        <v>452</v>
      </c>
      <c r="C87" s="93" t="s">
        <v>445</v>
      </c>
      <c r="D87" s="92" t="s">
        <v>439</v>
      </c>
    </row>
    <row r="88" spans="1:4" x14ac:dyDescent="0.25">
      <c r="A88" s="92" t="str">
        <f t="shared" si="14"/>
        <v>Ktons2559</v>
      </c>
      <c r="B88" s="92" t="s">
        <v>444</v>
      </c>
      <c r="C88" s="92">
        <v>2559</v>
      </c>
      <c r="D88" s="92" t="s">
        <v>439</v>
      </c>
    </row>
    <row r="89" spans="1:4" x14ac:dyDescent="0.25">
      <c r="A89" s="92" t="str">
        <f t="shared" si="14"/>
        <v>Rand '0001308824</v>
      </c>
      <c r="B89" s="92" t="s">
        <v>443</v>
      </c>
      <c r="C89" s="92">
        <v>1308824</v>
      </c>
      <c r="D89" s="92" t="s">
        <v>439</v>
      </c>
    </row>
    <row r="90" spans="1:4" x14ac:dyDescent="0.25">
      <c r="A90" s="92" t="str">
        <f t="shared" si="14"/>
        <v>rands/ton511.459163735834</v>
      </c>
      <c r="B90" s="92" t="s">
        <v>442</v>
      </c>
      <c r="C90" s="92">
        <f>C89/C88</f>
        <v>511.4591637358343</v>
      </c>
      <c r="D90" s="92" t="s">
        <v>439</v>
      </c>
    </row>
    <row r="91" spans="1:4" x14ac:dyDescent="0.25">
      <c r="A91" s="92" t="str">
        <f t="shared" si="14"/>
        <v>CV as received20.94</v>
      </c>
      <c r="B91" s="92" t="s">
        <v>441</v>
      </c>
      <c r="C91" s="92">
        <v>20.94</v>
      </c>
      <c r="D91" s="92" t="s">
        <v>439</v>
      </c>
    </row>
    <row r="92" spans="1:4" x14ac:dyDescent="0.25">
      <c r="A92" s="92" t="str">
        <f t="shared" si="14"/>
        <v>Rand/GJ24.4249839415394</v>
      </c>
      <c r="B92" s="92" t="s">
        <v>440</v>
      </c>
      <c r="C92" s="92">
        <f>C90/C91</f>
        <v>24.424983941539363</v>
      </c>
      <c r="D92" s="92" t="s">
        <v>439</v>
      </c>
    </row>
    <row r="93" spans="1:4" x14ac:dyDescent="0.25">
      <c r="A93" s="92" t="str">
        <f t="shared" si="14"/>
        <v>Hendrinavarious</v>
      </c>
      <c r="B93" s="93" t="s">
        <v>451</v>
      </c>
      <c r="C93" s="93" t="s">
        <v>445</v>
      </c>
      <c r="D93" s="92" t="s">
        <v>439</v>
      </c>
    </row>
    <row r="94" spans="1:4" x14ac:dyDescent="0.25">
      <c r="A94" s="92" t="str">
        <f t="shared" si="14"/>
        <v>Ktons4843</v>
      </c>
      <c r="B94" s="92" t="s">
        <v>444</v>
      </c>
      <c r="C94" s="92">
        <v>4843</v>
      </c>
      <c r="D94" s="92" t="s">
        <v>439</v>
      </c>
    </row>
    <row r="95" spans="1:4" x14ac:dyDescent="0.25">
      <c r="A95" s="92" t="str">
        <f t="shared" si="14"/>
        <v>Rand '0002867288</v>
      </c>
      <c r="B95" s="92" t="s">
        <v>443</v>
      </c>
      <c r="C95" s="92">
        <v>2867288</v>
      </c>
      <c r="D95" s="92" t="s">
        <v>439</v>
      </c>
    </row>
    <row r="96" spans="1:4" x14ac:dyDescent="0.25">
      <c r="A96" s="92" t="str">
        <f t="shared" si="14"/>
        <v>rands/ton592.047904191617</v>
      </c>
      <c r="B96" s="92" t="s">
        <v>442</v>
      </c>
      <c r="C96" s="92">
        <f>C95/C94</f>
        <v>592.04790419161679</v>
      </c>
      <c r="D96" s="92" t="s">
        <v>439</v>
      </c>
    </row>
    <row r="97" spans="1:4" x14ac:dyDescent="0.25">
      <c r="A97" s="92" t="str">
        <f t="shared" si="14"/>
        <v>CV as received20.64</v>
      </c>
      <c r="B97" s="92" t="s">
        <v>441</v>
      </c>
      <c r="C97" s="92">
        <v>20.64</v>
      </c>
      <c r="D97" s="92" t="s">
        <v>439</v>
      </c>
    </row>
    <row r="98" spans="1:4" x14ac:dyDescent="0.25">
      <c r="A98" s="92" t="str">
        <f t="shared" si="14"/>
        <v>Rand/GJ28.684491482152</v>
      </c>
      <c r="B98" s="92" t="s">
        <v>440</v>
      </c>
      <c r="C98" s="92">
        <f>C96/C97</f>
        <v>28.684491482151977</v>
      </c>
      <c r="D98" s="92" t="s">
        <v>439</v>
      </c>
    </row>
    <row r="99" spans="1:4" x14ac:dyDescent="0.25">
      <c r="A99" s="92" t="str">
        <f t="shared" si="14"/>
        <v>duvhavarious</v>
      </c>
      <c r="B99" s="93" t="s">
        <v>450</v>
      </c>
      <c r="C99" s="93" t="s">
        <v>445</v>
      </c>
      <c r="D99" s="92" t="s">
        <v>439</v>
      </c>
    </row>
    <row r="100" spans="1:4" x14ac:dyDescent="0.25">
      <c r="A100" s="92" t="str">
        <f t="shared" si="14"/>
        <v>Ktons104</v>
      </c>
      <c r="B100" s="94" t="s">
        <v>444</v>
      </c>
      <c r="C100" s="92">
        <v>104</v>
      </c>
      <c r="D100" s="92" t="s">
        <v>439</v>
      </c>
    </row>
    <row r="101" spans="1:4" x14ac:dyDescent="0.25">
      <c r="A101" s="92" t="str">
        <f t="shared" si="14"/>
        <v>Rand '00038987</v>
      </c>
      <c r="B101" s="94" t="s">
        <v>443</v>
      </c>
      <c r="C101" s="92">
        <v>38987</v>
      </c>
      <c r="D101" s="92" t="s">
        <v>439</v>
      </c>
    </row>
    <row r="102" spans="1:4" x14ac:dyDescent="0.25">
      <c r="A102" s="92" t="str">
        <f t="shared" si="14"/>
        <v>rands/ton374.875</v>
      </c>
      <c r="B102" s="94" t="s">
        <v>442</v>
      </c>
      <c r="C102" s="92">
        <f>C101/C100</f>
        <v>374.875</v>
      </c>
      <c r="D102" s="92" t="s">
        <v>439</v>
      </c>
    </row>
    <row r="103" spans="1:4" x14ac:dyDescent="0.25">
      <c r="A103" s="92" t="str">
        <f t="shared" si="14"/>
        <v>CV as received20.78</v>
      </c>
      <c r="B103" s="94" t="s">
        <v>441</v>
      </c>
      <c r="C103" s="92">
        <v>20.78</v>
      </c>
      <c r="D103" s="92" t="s">
        <v>439</v>
      </c>
    </row>
    <row r="104" spans="1:4" x14ac:dyDescent="0.25">
      <c r="A104" s="92" t="str">
        <f t="shared" si="14"/>
        <v>Rand/GJ18.0401828681424</v>
      </c>
      <c r="B104" s="94" t="s">
        <v>440</v>
      </c>
      <c r="C104" s="92">
        <f>C102/C103</f>
        <v>18.040182868142445</v>
      </c>
      <c r="D104" s="92" t="s">
        <v>439</v>
      </c>
    </row>
    <row r="105" spans="1:4" x14ac:dyDescent="0.25">
      <c r="A105" s="92" t="str">
        <f t="shared" ref="A105:A128" si="15">B105&amp;C105</f>
        <v>Majubavarious</v>
      </c>
      <c r="B105" s="95" t="s">
        <v>449</v>
      </c>
      <c r="C105" s="93" t="s">
        <v>445</v>
      </c>
      <c r="D105" s="92" t="s">
        <v>439</v>
      </c>
    </row>
    <row r="106" spans="1:4" x14ac:dyDescent="0.25">
      <c r="A106" s="92" t="str">
        <f t="shared" si="15"/>
        <v>Ktons14509</v>
      </c>
      <c r="B106" s="94" t="s">
        <v>444</v>
      </c>
      <c r="C106" s="92">
        <v>14509</v>
      </c>
      <c r="D106" s="92" t="s">
        <v>439</v>
      </c>
    </row>
    <row r="107" spans="1:4" x14ac:dyDescent="0.25">
      <c r="A107" s="92" t="str">
        <f t="shared" si="15"/>
        <v>Rand '0008677704</v>
      </c>
      <c r="B107" s="94" t="s">
        <v>443</v>
      </c>
      <c r="C107" s="92">
        <v>8677704</v>
      </c>
      <c r="D107" s="92" t="s">
        <v>439</v>
      </c>
    </row>
    <row r="108" spans="1:4" x14ac:dyDescent="0.25">
      <c r="A108" s="92" t="str">
        <f t="shared" si="15"/>
        <v>rands/ton598.091115859122</v>
      </c>
      <c r="B108" s="94" t="s">
        <v>442</v>
      </c>
      <c r="C108" s="92">
        <f>C107/C106</f>
        <v>598.09111585912194</v>
      </c>
      <c r="D108" s="92" t="s">
        <v>439</v>
      </c>
    </row>
    <row r="109" spans="1:4" x14ac:dyDescent="0.25">
      <c r="A109" s="92" t="str">
        <f t="shared" si="15"/>
        <v>CV as received18.62</v>
      </c>
      <c r="B109" s="94" t="s">
        <v>441</v>
      </c>
      <c r="C109" s="92">
        <v>18.62</v>
      </c>
      <c r="D109" s="92" t="s">
        <v>439</v>
      </c>
    </row>
    <row r="110" spans="1:4" x14ac:dyDescent="0.25">
      <c r="A110" s="92" t="str">
        <f t="shared" si="15"/>
        <v>Rand/GJ32.1208977367949</v>
      </c>
      <c r="B110" s="94" t="s">
        <v>440</v>
      </c>
      <c r="C110" s="92">
        <f>C108/C109</f>
        <v>32.120897736794944</v>
      </c>
      <c r="D110" s="92" t="s">
        <v>439</v>
      </c>
    </row>
    <row r="111" spans="1:4" x14ac:dyDescent="0.25">
      <c r="A111" s="92" t="str">
        <f t="shared" si="15"/>
        <v>Komativarious</v>
      </c>
      <c r="B111" s="93" t="s">
        <v>448</v>
      </c>
      <c r="C111" s="93" t="s">
        <v>445</v>
      </c>
      <c r="D111" s="92" t="s">
        <v>439</v>
      </c>
    </row>
    <row r="112" spans="1:4" x14ac:dyDescent="0.25">
      <c r="A112" s="92" t="str">
        <f t="shared" si="15"/>
        <v>Ktons1265</v>
      </c>
      <c r="B112" s="94" t="s">
        <v>444</v>
      </c>
      <c r="C112" s="92">
        <v>1265</v>
      </c>
      <c r="D112" s="92" t="s">
        <v>439</v>
      </c>
    </row>
    <row r="113" spans="1:4" x14ac:dyDescent="0.25">
      <c r="A113" s="92" t="str">
        <f t="shared" si="15"/>
        <v>Rand '000863148</v>
      </c>
      <c r="B113" s="94" t="s">
        <v>443</v>
      </c>
      <c r="C113" s="92">
        <v>863148</v>
      </c>
      <c r="D113" s="92" t="s">
        <v>439</v>
      </c>
    </row>
    <row r="114" spans="1:4" x14ac:dyDescent="0.25">
      <c r="A114" s="92" t="str">
        <f t="shared" si="15"/>
        <v>rands/ton682.330434782609</v>
      </c>
      <c r="B114" s="94" t="s">
        <v>442</v>
      </c>
      <c r="C114" s="92">
        <f>C113/C112</f>
        <v>682.33043478260868</v>
      </c>
      <c r="D114" s="92" t="s">
        <v>439</v>
      </c>
    </row>
    <row r="115" spans="1:4" x14ac:dyDescent="0.25">
      <c r="A115" s="92" t="str">
        <f t="shared" si="15"/>
        <v>CV as received19.68</v>
      </c>
      <c r="B115" s="94" t="s">
        <v>441</v>
      </c>
      <c r="C115" s="92">
        <v>19.68</v>
      </c>
      <c r="D115" s="92" t="s">
        <v>439</v>
      </c>
    </row>
    <row r="116" spans="1:4" x14ac:dyDescent="0.25">
      <c r="A116" s="92" t="str">
        <f t="shared" si="15"/>
        <v>Rand/GJ34.6712619300106</v>
      </c>
      <c r="B116" s="94" t="s">
        <v>440</v>
      </c>
      <c r="C116" s="92">
        <f>C114/C115</f>
        <v>34.671261930010601</v>
      </c>
      <c r="D116" s="92" t="s">
        <v>439</v>
      </c>
    </row>
    <row r="117" spans="1:4" x14ac:dyDescent="0.25">
      <c r="A117" s="92" t="str">
        <f t="shared" si="15"/>
        <v>Grootvleivarious</v>
      </c>
      <c r="B117" s="93" t="s">
        <v>447</v>
      </c>
      <c r="C117" s="93" t="s">
        <v>445</v>
      </c>
      <c r="D117" s="92" t="s">
        <v>439</v>
      </c>
    </row>
    <row r="118" spans="1:4" x14ac:dyDescent="0.25">
      <c r="A118" s="92" t="str">
        <f t="shared" si="15"/>
        <v>Ktons1334</v>
      </c>
      <c r="B118" s="92" t="s">
        <v>444</v>
      </c>
      <c r="C118" s="92">
        <v>1334</v>
      </c>
      <c r="D118" s="92" t="s">
        <v>439</v>
      </c>
    </row>
    <row r="119" spans="1:4" x14ac:dyDescent="0.25">
      <c r="A119" s="92" t="str">
        <f t="shared" si="15"/>
        <v>Rand '000816929</v>
      </c>
      <c r="B119" s="92" t="s">
        <v>443</v>
      </c>
      <c r="C119" s="92">
        <v>816929</v>
      </c>
      <c r="D119" s="92" t="s">
        <v>439</v>
      </c>
    </row>
    <row r="120" spans="1:4" x14ac:dyDescent="0.25">
      <c r="A120" s="92" t="str">
        <f t="shared" si="15"/>
        <v>rands/ton612.390554722639</v>
      </c>
      <c r="B120" s="92" t="s">
        <v>442</v>
      </c>
      <c r="C120" s="92">
        <f>C119/C118</f>
        <v>612.39055472263863</v>
      </c>
      <c r="D120" s="92" t="s">
        <v>439</v>
      </c>
    </row>
    <row r="121" spans="1:4" x14ac:dyDescent="0.25">
      <c r="A121" s="92" t="str">
        <f t="shared" si="15"/>
        <v>CV as received20.58</v>
      </c>
      <c r="B121" s="92" t="s">
        <v>441</v>
      </c>
      <c r="C121" s="92">
        <v>20.58</v>
      </c>
      <c r="D121" s="92" t="s">
        <v>439</v>
      </c>
    </row>
    <row r="122" spans="1:4" x14ac:dyDescent="0.25">
      <c r="A122" s="92" t="str">
        <f t="shared" si="15"/>
        <v>Rand/GJ29.7565867212166</v>
      </c>
      <c r="B122" s="92" t="s">
        <v>440</v>
      </c>
      <c r="C122" s="92">
        <f>C120/C121</f>
        <v>29.756586721216649</v>
      </c>
      <c r="D122" s="92" t="s">
        <v>439</v>
      </c>
    </row>
    <row r="123" spans="1:4" x14ac:dyDescent="0.25">
      <c r="A123" s="92" t="str">
        <f t="shared" si="15"/>
        <v>Kusile various</v>
      </c>
      <c r="B123" s="93" t="s">
        <v>446</v>
      </c>
      <c r="C123" s="93" t="s">
        <v>445</v>
      </c>
      <c r="D123" s="92" t="s">
        <v>439</v>
      </c>
    </row>
    <row r="124" spans="1:4" x14ac:dyDescent="0.25">
      <c r="A124" s="92" t="str">
        <f t="shared" si="15"/>
        <v>Ktons2158</v>
      </c>
      <c r="B124" s="92" t="s">
        <v>444</v>
      </c>
      <c r="C124" s="92">
        <v>2158</v>
      </c>
      <c r="D124" s="92" t="s">
        <v>439</v>
      </c>
    </row>
    <row r="125" spans="1:4" x14ac:dyDescent="0.25">
      <c r="A125" s="92" t="str">
        <f t="shared" si="15"/>
        <v>Rand '0001192351</v>
      </c>
      <c r="B125" s="92" t="s">
        <v>443</v>
      </c>
      <c r="C125" s="92">
        <v>1192351</v>
      </c>
      <c r="D125" s="92" t="s">
        <v>439</v>
      </c>
    </row>
    <row r="126" spans="1:4" x14ac:dyDescent="0.25">
      <c r="A126" s="92" t="str">
        <f t="shared" si="15"/>
        <v>rands/ton552.525949953661</v>
      </c>
      <c r="B126" s="92" t="s">
        <v>442</v>
      </c>
      <c r="C126" s="92">
        <f>C125/C124</f>
        <v>552.52594995366076</v>
      </c>
      <c r="D126" s="92" t="s">
        <v>439</v>
      </c>
    </row>
    <row r="127" spans="1:4" x14ac:dyDescent="0.25">
      <c r="A127" s="92" t="str">
        <f t="shared" si="15"/>
        <v>CV as received17.53</v>
      </c>
      <c r="B127" s="92" t="s">
        <v>441</v>
      </c>
      <c r="C127" s="92">
        <v>17.53</v>
      </c>
      <c r="D127" s="92" t="s">
        <v>439</v>
      </c>
    </row>
    <row r="128" spans="1:4" x14ac:dyDescent="0.25">
      <c r="A128" s="92" t="str">
        <f t="shared" si="15"/>
        <v>Rand/GJ31.5188790618175</v>
      </c>
      <c r="B128" s="92" t="s">
        <v>440</v>
      </c>
      <c r="C128" s="92">
        <f>C126/C127</f>
        <v>31.518879061817497</v>
      </c>
      <c r="D128" s="92" t="s">
        <v>439</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workbookViewId="0"/>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661</v>
      </c>
      <c r="Q1" s="64"/>
      <c r="R1" s="64"/>
      <c r="S1" s="64"/>
      <c r="T1" s="64"/>
      <c r="U1" s="64"/>
      <c r="V1" s="64"/>
      <c r="W1" s="64"/>
      <c r="X1" s="64"/>
      <c r="Y1" s="64"/>
      <c r="Z1" s="64"/>
      <c r="AA1" s="64"/>
      <c r="AB1" s="64"/>
      <c r="AC1" s="64"/>
      <c r="AD1" s="64"/>
      <c r="AE1" s="64"/>
    </row>
    <row r="2" spans="1:31" ht="14.1" customHeight="1" x14ac:dyDescent="0.2">
      <c r="A2" s="365" t="s">
        <v>660</v>
      </c>
      <c r="B2" s="365"/>
      <c r="C2" s="365"/>
      <c r="D2" s="366"/>
      <c r="E2" s="138"/>
      <c r="F2" s="138"/>
      <c r="G2" s="367" t="s">
        <v>659</v>
      </c>
      <c r="H2" s="368"/>
      <c r="I2" s="368"/>
      <c r="J2" s="368"/>
      <c r="K2" s="368"/>
      <c r="L2" s="368"/>
      <c r="M2" s="368"/>
      <c r="N2" s="368"/>
      <c r="O2" s="137"/>
      <c r="P2" s="101" t="s">
        <v>658</v>
      </c>
      <c r="Q2" s="64"/>
      <c r="R2" s="64"/>
      <c r="S2" s="64"/>
      <c r="T2" s="64"/>
      <c r="U2" s="64"/>
      <c r="V2" s="64"/>
      <c r="W2" s="64"/>
      <c r="X2" s="64"/>
      <c r="Y2" s="64"/>
      <c r="Z2" s="64"/>
      <c r="AA2" s="64"/>
      <c r="AB2" s="64"/>
      <c r="AC2" s="64"/>
      <c r="AD2" s="64"/>
      <c r="AE2" s="64"/>
    </row>
    <row r="3" spans="1:31" ht="47.1" customHeight="1" x14ac:dyDescent="0.2">
      <c r="A3" s="371" t="s">
        <v>657</v>
      </c>
      <c r="B3" s="373" t="s">
        <v>656</v>
      </c>
      <c r="C3" s="375" t="s">
        <v>655</v>
      </c>
      <c r="D3" s="377" t="s">
        <v>654</v>
      </c>
      <c r="E3" s="373" t="s">
        <v>653</v>
      </c>
      <c r="F3" s="373" t="s">
        <v>652</v>
      </c>
      <c r="G3" s="369"/>
      <c r="H3" s="370"/>
      <c r="I3" s="370"/>
      <c r="J3" s="370"/>
      <c r="K3" s="370"/>
      <c r="L3" s="370"/>
      <c r="M3" s="370"/>
      <c r="N3" s="370"/>
      <c r="O3" s="137"/>
      <c r="P3" s="136">
        <v>0.82</v>
      </c>
      <c r="Q3" s="64"/>
      <c r="R3" s="64"/>
      <c r="S3" s="64"/>
      <c r="T3" s="64"/>
      <c r="U3" s="64"/>
      <c r="V3" s="64"/>
      <c r="W3" s="64"/>
      <c r="X3" s="64"/>
      <c r="Y3" s="64"/>
      <c r="Z3" s="64"/>
      <c r="AA3" s="64"/>
      <c r="AB3" s="64"/>
      <c r="AC3" s="64"/>
      <c r="AD3" s="64"/>
      <c r="AE3" s="64"/>
    </row>
    <row r="4" spans="1:31" ht="14.1" customHeight="1" x14ac:dyDescent="0.2">
      <c r="A4" s="372"/>
      <c r="B4" s="374"/>
      <c r="C4" s="376"/>
      <c r="D4" s="378"/>
      <c r="E4" s="374"/>
      <c r="F4" s="374"/>
      <c r="G4" s="135" t="s">
        <v>651</v>
      </c>
      <c r="H4" s="135" t="s">
        <v>650</v>
      </c>
      <c r="I4" s="135" t="s">
        <v>649</v>
      </c>
      <c r="J4" s="135" t="s">
        <v>648</v>
      </c>
      <c r="K4" s="135" t="s">
        <v>647</v>
      </c>
      <c r="L4" s="135" t="s">
        <v>646</v>
      </c>
      <c r="M4" s="135" t="s">
        <v>645</v>
      </c>
      <c r="N4" s="135" t="s">
        <v>644</v>
      </c>
      <c r="O4" s="134" t="s">
        <v>643</v>
      </c>
      <c r="P4" s="101">
        <v>2017</v>
      </c>
      <c r="Q4" s="64">
        <v>2012</v>
      </c>
      <c r="R4" s="64"/>
      <c r="S4" s="64" t="s">
        <v>642</v>
      </c>
      <c r="T4" s="64" t="s">
        <v>641</v>
      </c>
      <c r="U4" s="64"/>
      <c r="V4" s="64"/>
      <c r="W4" s="64"/>
      <c r="X4" s="64"/>
      <c r="Y4" s="64"/>
      <c r="Z4" s="64"/>
      <c r="AA4" s="64"/>
      <c r="AB4" s="64"/>
      <c r="AC4" s="64"/>
      <c r="AD4" s="64"/>
      <c r="AE4" s="64"/>
    </row>
    <row r="5" spans="1:31" ht="14.1" customHeight="1" x14ac:dyDescent="0.2">
      <c r="A5" s="105" t="s">
        <v>640</v>
      </c>
      <c r="B5" s="108">
        <v>1980</v>
      </c>
      <c r="C5" s="107">
        <v>26197</v>
      </c>
      <c r="D5" s="107">
        <v>26197</v>
      </c>
      <c r="E5" s="106" t="s">
        <v>639</v>
      </c>
      <c r="F5" s="105" t="s">
        <v>590</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638</v>
      </c>
      <c r="B6" s="108">
        <v>3450</v>
      </c>
      <c r="C6" s="107">
        <v>29238</v>
      </c>
      <c r="D6" s="107">
        <v>29238</v>
      </c>
      <c r="E6" s="106" t="s">
        <v>637</v>
      </c>
      <c r="F6" s="105" t="s">
        <v>590</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636</v>
      </c>
      <c r="B7" s="108">
        <v>1895</v>
      </c>
      <c r="C7" s="107">
        <v>25700</v>
      </c>
      <c r="D7" s="107">
        <v>25700</v>
      </c>
      <c r="E7" s="106" t="s">
        <v>635</v>
      </c>
      <c r="F7" s="105" t="s">
        <v>590</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634</v>
      </c>
      <c r="B8" s="108">
        <v>3840</v>
      </c>
      <c r="C8" s="107">
        <v>32417</v>
      </c>
      <c r="D8" s="107">
        <v>32417</v>
      </c>
      <c r="E8" s="106" t="s">
        <v>633</v>
      </c>
      <c r="F8" s="105" t="s">
        <v>590</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632</v>
      </c>
      <c r="B9" s="108">
        <v>2850</v>
      </c>
      <c r="C9" s="107">
        <v>27886</v>
      </c>
      <c r="D9" s="107">
        <v>27886</v>
      </c>
      <c r="E9" s="106" t="s">
        <v>631</v>
      </c>
      <c r="F9" s="105" t="s">
        <v>590</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630</v>
      </c>
      <c r="B10" s="108">
        <v>3558</v>
      </c>
      <c r="C10" s="107">
        <v>31403</v>
      </c>
      <c r="D10" s="107">
        <v>31403</v>
      </c>
      <c r="E10" s="106" t="s">
        <v>629</v>
      </c>
      <c r="F10" s="105" t="s">
        <v>590</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628</v>
      </c>
      <c r="B11" s="108">
        <v>3690</v>
      </c>
      <c r="C11" s="107">
        <v>32115</v>
      </c>
      <c r="D11" s="107">
        <v>32115</v>
      </c>
      <c r="E11" s="106" t="s">
        <v>627</v>
      </c>
      <c r="F11" s="105" t="s">
        <v>590</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626</v>
      </c>
      <c r="B12" s="108">
        <v>3843</v>
      </c>
      <c r="C12" s="107">
        <v>35156</v>
      </c>
      <c r="D12" s="107">
        <v>35156</v>
      </c>
      <c r="E12" s="106" t="s">
        <v>625</v>
      </c>
      <c r="F12" s="105" t="s">
        <v>590</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624</v>
      </c>
      <c r="B13" s="108">
        <v>3450</v>
      </c>
      <c r="C13" s="107">
        <v>29127</v>
      </c>
      <c r="D13" s="107">
        <v>29127</v>
      </c>
      <c r="E13" s="106" t="s">
        <v>623</v>
      </c>
      <c r="F13" s="105" t="s">
        <v>590</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622</v>
      </c>
      <c r="B14" s="108">
        <v>4764</v>
      </c>
      <c r="C14" s="107">
        <v>42238</v>
      </c>
      <c r="D14" s="107">
        <v>42239</v>
      </c>
      <c r="E14" s="106" t="s">
        <v>621</v>
      </c>
      <c r="F14" s="105" t="s">
        <v>590</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620</v>
      </c>
      <c r="B15" s="108">
        <v>3510</v>
      </c>
      <c r="C15" s="107">
        <v>31199</v>
      </c>
      <c r="D15" s="107">
        <v>31199</v>
      </c>
      <c r="E15" s="106" t="s">
        <v>619</v>
      </c>
      <c r="F15" s="105" t="s">
        <v>590</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559</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618</v>
      </c>
      <c r="B17" s="108">
        <v>1800</v>
      </c>
      <c r="C17" s="107">
        <v>30884</v>
      </c>
      <c r="D17" s="107">
        <v>30884</v>
      </c>
      <c r="E17" s="106" t="s">
        <v>617</v>
      </c>
      <c r="F17" s="105" t="s">
        <v>590</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616</v>
      </c>
      <c r="B18" s="108">
        <v>171</v>
      </c>
      <c r="C18" s="107">
        <v>27893</v>
      </c>
      <c r="D18" s="107">
        <v>27893</v>
      </c>
      <c r="E18" s="106" t="s">
        <v>615</v>
      </c>
      <c r="F18" s="105" t="s">
        <v>590</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614</v>
      </c>
      <c r="B19" s="119"/>
      <c r="C19" s="107">
        <v>39356</v>
      </c>
      <c r="D19" s="107">
        <v>39356</v>
      </c>
      <c r="E19" s="106" t="s">
        <v>613</v>
      </c>
      <c r="F19" s="105" t="s">
        <v>590</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612</v>
      </c>
      <c r="B20" s="119"/>
      <c r="C20" s="107">
        <v>39356</v>
      </c>
      <c r="D20" s="107">
        <v>39356</v>
      </c>
      <c r="E20" s="106" t="s">
        <v>611</v>
      </c>
      <c r="F20" s="105" t="s">
        <v>590</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610</v>
      </c>
      <c r="B21" s="108">
        <v>171</v>
      </c>
      <c r="C21" s="107">
        <v>28033</v>
      </c>
      <c r="D21" s="107">
        <v>28033</v>
      </c>
      <c r="E21" s="106" t="s">
        <v>609</v>
      </c>
      <c r="F21" s="105" t="s">
        <v>590</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608</v>
      </c>
      <c r="B22" s="108">
        <v>42</v>
      </c>
      <c r="C22" s="107">
        <v>31048</v>
      </c>
      <c r="D22" s="107">
        <v>31048</v>
      </c>
      <c r="E22" s="122">
        <v>0</v>
      </c>
      <c r="F22" s="105" t="s">
        <v>590</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607</v>
      </c>
      <c r="B23" s="108">
        <v>6</v>
      </c>
      <c r="C23" s="107">
        <v>28887</v>
      </c>
      <c r="D23" s="107">
        <v>28887</v>
      </c>
      <c r="E23" s="122">
        <v>0</v>
      </c>
      <c r="F23" s="105" t="s">
        <v>590</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606</v>
      </c>
      <c r="B24" s="108">
        <v>360</v>
      </c>
      <c r="C24" s="107">
        <v>26184</v>
      </c>
      <c r="D24" s="107">
        <v>26184</v>
      </c>
      <c r="E24" s="106" t="s">
        <v>605</v>
      </c>
      <c r="F24" s="105" t="s">
        <v>590</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604</v>
      </c>
      <c r="B25" s="108">
        <v>2</v>
      </c>
      <c r="C25" s="107">
        <v>30376</v>
      </c>
      <c r="D25" s="107">
        <v>30376</v>
      </c>
      <c r="E25" s="122">
        <v>0</v>
      </c>
      <c r="F25" s="105" t="s">
        <v>590</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603</v>
      </c>
      <c r="B26" s="108">
        <v>11</v>
      </c>
      <c r="C26" s="107">
        <v>28946</v>
      </c>
      <c r="D26" s="107">
        <v>28946</v>
      </c>
      <c r="E26" s="122">
        <v>0</v>
      </c>
      <c r="F26" s="105" t="s">
        <v>590</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602</v>
      </c>
      <c r="B27" s="108">
        <v>240</v>
      </c>
      <c r="C27" s="107">
        <v>28126</v>
      </c>
      <c r="D27" s="107">
        <v>28126</v>
      </c>
      <c r="E27" s="106" t="s">
        <v>601</v>
      </c>
      <c r="F27" s="105" t="s">
        <v>590</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600</v>
      </c>
      <c r="B28" s="108">
        <v>1000</v>
      </c>
      <c r="C28" s="107">
        <v>29754</v>
      </c>
      <c r="D28" s="107">
        <v>29754</v>
      </c>
      <c r="E28" s="106" t="s">
        <v>599</v>
      </c>
      <c r="F28" s="105" t="s">
        <v>590</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598</v>
      </c>
      <c r="B29" s="108">
        <v>400</v>
      </c>
      <c r="C29" s="107">
        <v>32251</v>
      </c>
      <c r="D29" s="107">
        <v>32251</v>
      </c>
      <c r="E29" s="106" t="s">
        <v>597</v>
      </c>
      <c r="F29" s="105" t="s">
        <v>590</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596</v>
      </c>
      <c r="B30" s="108">
        <v>1600</v>
      </c>
      <c r="C30" s="107">
        <v>24462</v>
      </c>
      <c r="D30" s="107">
        <v>38504</v>
      </c>
      <c r="E30" s="106" t="s">
        <v>595</v>
      </c>
      <c r="F30" s="105" t="s">
        <v>590</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594</v>
      </c>
      <c r="B31" s="108">
        <v>1200</v>
      </c>
      <c r="C31" s="107">
        <v>25384</v>
      </c>
      <c r="D31" s="107">
        <v>25384</v>
      </c>
      <c r="E31" s="106" t="s">
        <v>593</v>
      </c>
      <c r="F31" s="105" t="s">
        <v>590</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592</v>
      </c>
      <c r="B32" s="108">
        <v>1000</v>
      </c>
      <c r="C32" s="107">
        <v>22591</v>
      </c>
      <c r="D32" s="107">
        <v>22591</v>
      </c>
      <c r="E32" s="106" t="s">
        <v>591</v>
      </c>
      <c r="F32" s="105" t="s">
        <v>590</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63"/>
      <c r="H33" s="364"/>
      <c r="I33" s="364"/>
      <c r="J33" s="364"/>
      <c r="K33" s="364"/>
      <c r="L33" s="364"/>
      <c r="M33" s="364"/>
      <c r="N33" s="364"/>
      <c r="O33" s="118"/>
      <c r="P33" s="101">
        <f>SUM(P5:P32)/1000000</f>
        <v>215.96330573</v>
      </c>
      <c r="T33" s="123"/>
    </row>
    <row r="34" spans="1:22" x14ac:dyDescent="0.2">
      <c r="N34" s="101" t="s">
        <v>589</v>
      </c>
      <c r="O34" s="124">
        <f>(SUM(O5:O15)+SUM(O30:O32))/1000000</f>
        <v>198.375956</v>
      </c>
      <c r="P34" s="124">
        <f>(SUM(P5:P16)+SUM(P30:P32))/1000000</f>
        <v>199.79182747999999</v>
      </c>
      <c r="R34" s="101" t="s">
        <v>588</v>
      </c>
      <c r="S34" s="90">
        <f>SUM(S5:S32)</f>
        <v>199.67433227309505</v>
      </c>
      <c r="T34" s="123">
        <f>SUM(T5:T16)+SUM(T30:T32)</f>
        <v>196.63039812000002</v>
      </c>
    </row>
    <row r="35" spans="1:22" x14ac:dyDescent="0.2">
      <c r="A35" s="105" t="s">
        <v>458</v>
      </c>
      <c r="B35" s="108">
        <v>1980</v>
      </c>
      <c r="C35" s="107">
        <v>26197</v>
      </c>
      <c r="D35" s="107">
        <v>26197</v>
      </c>
      <c r="E35" s="106" t="s">
        <v>556</v>
      </c>
      <c r="F35" s="105" t="s">
        <v>564</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531</v>
      </c>
      <c r="S35" s="90">
        <f>NERSA2018!K150/1000000</f>
        <v>1.707095</v>
      </c>
      <c r="T35" s="123"/>
      <c r="U35" s="114"/>
      <c r="V35" s="117"/>
    </row>
    <row r="36" spans="1:22" x14ac:dyDescent="0.2">
      <c r="A36" s="105" t="s">
        <v>508</v>
      </c>
      <c r="B36" s="108">
        <v>3450</v>
      </c>
      <c r="C36" s="107">
        <v>29238</v>
      </c>
      <c r="D36" s="107">
        <v>29238</v>
      </c>
      <c r="E36" s="106" t="s">
        <v>555</v>
      </c>
      <c r="F36" s="105" t="s">
        <v>564</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587</v>
      </c>
      <c r="S36" s="90">
        <f>S35+S34</f>
        <v>201.38142727309506</v>
      </c>
      <c r="T36" s="123"/>
      <c r="U36" s="114"/>
      <c r="V36" s="117"/>
    </row>
    <row r="37" spans="1:22" x14ac:dyDescent="0.2">
      <c r="A37" s="105" t="s">
        <v>451</v>
      </c>
      <c r="B37" s="108">
        <v>1895</v>
      </c>
      <c r="C37" s="107">
        <v>25700</v>
      </c>
      <c r="D37" s="107">
        <v>25700</v>
      </c>
      <c r="E37" s="106" t="s">
        <v>554</v>
      </c>
      <c r="F37" s="105" t="s">
        <v>564</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558</v>
      </c>
      <c r="S37" s="90">
        <f>HistoricalDispatch!B4/1000000</f>
        <v>201.59838799999949</v>
      </c>
      <c r="T37" s="123"/>
      <c r="U37" s="114"/>
      <c r="V37" s="117"/>
    </row>
    <row r="38" spans="1:22" x14ac:dyDescent="0.2">
      <c r="A38" s="105" t="s">
        <v>497</v>
      </c>
      <c r="B38" s="108">
        <v>3840</v>
      </c>
      <c r="C38" s="107">
        <v>32417</v>
      </c>
      <c r="D38" s="107">
        <v>32417</v>
      </c>
      <c r="E38" s="106" t="s">
        <v>553</v>
      </c>
      <c r="F38" s="105" t="s">
        <v>564</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452</v>
      </c>
      <c r="B39" s="108">
        <v>2850</v>
      </c>
      <c r="C39" s="107">
        <v>27886</v>
      </c>
      <c r="D39" s="107">
        <v>27886</v>
      </c>
      <c r="E39" s="106" t="s">
        <v>552</v>
      </c>
      <c r="F39" s="105" t="s">
        <v>564</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483</v>
      </c>
      <c r="B40" s="108">
        <v>3558</v>
      </c>
      <c r="C40" s="107">
        <v>31403</v>
      </c>
      <c r="D40" s="107">
        <v>31403</v>
      </c>
      <c r="E40" s="106" t="s">
        <v>551</v>
      </c>
      <c r="F40" s="105" t="s">
        <v>564</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476</v>
      </c>
      <c r="B41" s="108">
        <v>3690</v>
      </c>
      <c r="C41" s="107">
        <v>32115</v>
      </c>
      <c r="D41" s="107">
        <v>32115</v>
      </c>
      <c r="E41" s="106" t="s">
        <v>550</v>
      </c>
      <c r="F41" s="105" t="s">
        <v>564</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449</v>
      </c>
      <c r="B42" s="108">
        <v>3843</v>
      </c>
      <c r="C42" s="107">
        <v>35156</v>
      </c>
      <c r="D42" s="107">
        <v>35156</v>
      </c>
      <c r="E42" s="106" t="s">
        <v>549</v>
      </c>
      <c r="F42" s="105" t="s">
        <v>564</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455</v>
      </c>
      <c r="B43" s="108">
        <v>3450</v>
      </c>
      <c r="C43" s="107">
        <v>29127</v>
      </c>
      <c r="D43" s="107">
        <v>29127</v>
      </c>
      <c r="E43" s="106" t="s">
        <v>548</v>
      </c>
      <c r="F43" s="105" t="s">
        <v>564</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468</v>
      </c>
      <c r="B44" s="108">
        <v>4764</v>
      </c>
      <c r="C44" s="107">
        <v>42238</v>
      </c>
      <c r="D44" s="107">
        <v>42239</v>
      </c>
      <c r="E44" s="106" t="s">
        <v>547</v>
      </c>
      <c r="F44" s="105" t="s">
        <v>564</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460</v>
      </c>
      <c r="B45" s="108">
        <v>3510</v>
      </c>
      <c r="C45" s="107">
        <v>31199</v>
      </c>
      <c r="D45" s="107">
        <v>31199</v>
      </c>
      <c r="E45" s="106" t="s">
        <v>546</v>
      </c>
      <c r="F45" s="105" t="s">
        <v>564</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559</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586</v>
      </c>
      <c r="B47" s="108">
        <v>1800</v>
      </c>
      <c r="C47" s="107">
        <v>30884</v>
      </c>
      <c r="D47" s="107">
        <v>30884</v>
      </c>
      <c r="E47" s="106" t="s">
        <v>585</v>
      </c>
      <c r="F47" s="105" t="s">
        <v>564</v>
      </c>
      <c r="G47" s="121"/>
      <c r="H47" s="121"/>
      <c r="I47" s="121"/>
      <c r="J47" s="121"/>
      <c r="K47" s="121"/>
      <c r="L47" s="121"/>
      <c r="M47" s="121"/>
      <c r="N47" s="121"/>
      <c r="O47" s="121"/>
      <c r="P47" s="104"/>
      <c r="S47" s="114"/>
      <c r="T47" s="114"/>
      <c r="U47" s="114"/>
      <c r="V47" s="117"/>
    </row>
    <row r="48" spans="1:22" x14ac:dyDescent="0.2">
      <c r="A48" s="105" t="s">
        <v>584</v>
      </c>
      <c r="B48" s="108">
        <v>171</v>
      </c>
      <c r="C48" s="107">
        <v>27893</v>
      </c>
      <c r="D48" s="107">
        <v>27893</v>
      </c>
      <c r="E48" s="106" t="s">
        <v>583</v>
      </c>
      <c r="F48" s="105" t="s">
        <v>564</v>
      </c>
      <c r="G48" s="121"/>
      <c r="H48" s="121"/>
      <c r="I48" s="121"/>
      <c r="J48" s="121"/>
      <c r="K48" s="121"/>
      <c r="L48" s="121"/>
      <c r="M48" s="121"/>
      <c r="N48" s="121"/>
      <c r="O48" s="121"/>
      <c r="P48" s="104"/>
      <c r="S48" s="114"/>
      <c r="T48" s="114"/>
      <c r="U48" s="114"/>
      <c r="V48" s="117"/>
    </row>
    <row r="49" spans="1:22" x14ac:dyDescent="0.2">
      <c r="A49" s="105" t="s">
        <v>582</v>
      </c>
      <c r="B49" s="119"/>
      <c r="C49" s="107">
        <v>39356</v>
      </c>
      <c r="D49" s="107">
        <v>39356</v>
      </c>
      <c r="E49" s="106" t="s">
        <v>581</v>
      </c>
      <c r="F49" s="105" t="s">
        <v>564</v>
      </c>
      <c r="G49" s="121"/>
      <c r="H49" s="121"/>
      <c r="I49" s="121"/>
      <c r="J49" s="121"/>
      <c r="K49" s="121"/>
      <c r="L49" s="121"/>
      <c r="M49" s="121"/>
      <c r="N49" s="121"/>
      <c r="O49" s="121"/>
      <c r="P49" s="104"/>
      <c r="S49" s="114"/>
      <c r="T49" s="114"/>
      <c r="U49" s="114"/>
      <c r="V49" s="117"/>
    </row>
    <row r="50" spans="1:22" x14ac:dyDescent="0.2">
      <c r="A50" s="105" t="s">
        <v>580</v>
      </c>
      <c r="B50" s="119"/>
      <c r="C50" s="107">
        <v>39356</v>
      </c>
      <c r="D50" s="107">
        <v>39356</v>
      </c>
      <c r="E50" s="106" t="s">
        <v>579</v>
      </c>
      <c r="F50" s="105" t="s">
        <v>564</v>
      </c>
      <c r="G50" s="121"/>
      <c r="H50" s="121"/>
      <c r="I50" s="121"/>
      <c r="J50" s="121"/>
      <c r="K50" s="121"/>
      <c r="L50" s="121"/>
      <c r="M50" s="121"/>
      <c r="N50" s="121"/>
      <c r="O50" s="121"/>
      <c r="P50" s="104"/>
      <c r="S50" s="114"/>
      <c r="T50" s="114"/>
      <c r="U50" s="114"/>
      <c r="V50" s="117"/>
    </row>
    <row r="51" spans="1:22" x14ac:dyDescent="0.2">
      <c r="A51" s="105" t="s">
        <v>578</v>
      </c>
      <c r="B51" s="108">
        <v>171</v>
      </c>
      <c r="C51" s="107">
        <v>28033</v>
      </c>
      <c r="D51" s="107">
        <v>28033</v>
      </c>
      <c r="E51" s="106" t="s">
        <v>577</v>
      </c>
      <c r="F51" s="105" t="s">
        <v>564</v>
      </c>
      <c r="G51" s="121"/>
      <c r="H51" s="121"/>
      <c r="I51" s="121"/>
      <c r="J51" s="121"/>
      <c r="K51" s="121"/>
      <c r="L51" s="121"/>
      <c r="M51" s="121"/>
      <c r="N51" s="121"/>
      <c r="O51" s="121"/>
      <c r="P51" s="104"/>
      <c r="S51" s="114"/>
      <c r="T51" s="114"/>
      <c r="U51" s="114"/>
      <c r="V51" s="117"/>
    </row>
    <row r="52" spans="1:22" x14ac:dyDescent="0.2">
      <c r="A52" s="105" t="s">
        <v>576</v>
      </c>
      <c r="B52" s="108">
        <v>42</v>
      </c>
      <c r="C52" s="107">
        <v>31048</v>
      </c>
      <c r="D52" s="107">
        <v>31048</v>
      </c>
      <c r="E52" s="122">
        <v>0</v>
      </c>
      <c r="F52" s="105" t="s">
        <v>564</v>
      </c>
      <c r="G52" s="121"/>
      <c r="H52" s="121"/>
      <c r="I52" s="121"/>
      <c r="J52" s="121"/>
      <c r="K52" s="121"/>
      <c r="L52" s="121"/>
      <c r="M52" s="121"/>
      <c r="N52" s="121"/>
      <c r="O52" s="121"/>
      <c r="P52" s="104"/>
      <c r="S52" s="114"/>
      <c r="T52" s="114"/>
      <c r="U52" s="114"/>
      <c r="V52" s="117"/>
    </row>
    <row r="53" spans="1:22" x14ac:dyDescent="0.2">
      <c r="A53" s="105" t="s">
        <v>575</v>
      </c>
      <c r="B53" s="108">
        <v>6</v>
      </c>
      <c r="C53" s="107">
        <v>28887</v>
      </c>
      <c r="D53" s="107">
        <v>28887</v>
      </c>
      <c r="E53" s="122">
        <v>0</v>
      </c>
      <c r="F53" s="105" t="s">
        <v>564</v>
      </c>
      <c r="G53" s="121"/>
      <c r="H53" s="121"/>
      <c r="I53" s="121"/>
      <c r="J53" s="121"/>
      <c r="K53" s="121"/>
      <c r="L53" s="121"/>
      <c r="M53" s="121"/>
      <c r="N53" s="121"/>
      <c r="O53" s="121"/>
      <c r="P53" s="104"/>
      <c r="S53" s="114"/>
      <c r="T53" s="114"/>
      <c r="U53" s="114"/>
      <c r="V53" s="117"/>
    </row>
    <row r="54" spans="1:22" x14ac:dyDescent="0.2">
      <c r="A54" s="105" t="s">
        <v>574</v>
      </c>
      <c r="B54" s="108">
        <v>360</v>
      </c>
      <c r="C54" s="107">
        <v>26184</v>
      </c>
      <c r="D54" s="107">
        <v>26184</v>
      </c>
      <c r="E54" s="106" t="s">
        <v>573</v>
      </c>
      <c r="F54" s="105" t="s">
        <v>564</v>
      </c>
      <c r="G54" s="121"/>
      <c r="H54" s="121"/>
      <c r="I54" s="121"/>
      <c r="J54" s="121"/>
      <c r="K54" s="121"/>
      <c r="L54" s="121"/>
      <c r="M54" s="121"/>
      <c r="N54" s="121"/>
      <c r="O54" s="121"/>
      <c r="P54" s="104"/>
      <c r="S54" s="114"/>
      <c r="T54" s="114"/>
      <c r="U54" s="114"/>
      <c r="V54" s="117"/>
    </row>
    <row r="55" spans="1:22" x14ac:dyDescent="0.2">
      <c r="A55" s="105" t="s">
        <v>572</v>
      </c>
      <c r="B55" s="108">
        <v>2</v>
      </c>
      <c r="C55" s="107">
        <v>30376</v>
      </c>
      <c r="D55" s="107">
        <v>30376</v>
      </c>
      <c r="E55" s="122">
        <v>0</v>
      </c>
      <c r="F55" s="105" t="s">
        <v>564</v>
      </c>
      <c r="G55" s="121"/>
      <c r="H55" s="121"/>
      <c r="I55" s="121"/>
      <c r="J55" s="121"/>
      <c r="K55" s="121"/>
      <c r="L55" s="121"/>
      <c r="M55" s="121"/>
      <c r="N55" s="121"/>
      <c r="O55" s="121"/>
      <c r="P55" s="104"/>
      <c r="S55" s="114"/>
      <c r="T55" s="114"/>
      <c r="U55" s="114"/>
      <c r="V55" s="117"/>
    </row>
    <row r="56" spans="1:22" x14ac:dyDescent="0.2">
      <c r="A56" s="105" t="s">
        <v>571</v>
      </c>
      <c r="B56" s="108">
        <v>11</v>
      </c>
      <c r="C56" s="107">
        <v>28946</v>
      </c>
      <c r="D56" s="107">
        <v>28946</v>
      </c>
      <c r="E56" s="122">
        <v>0</v>
      </c>
      <c r="F56" s="105" t="s">
        <v>564</v>
      </c>
      <c r="G56" s="121"/>
      <c r="H56" s="121"/>
      <c r="I56" s="121"/>
      <c r="J56" s="121"/>
      <c r="K56" s="121"/>
      <c r="L56" s="121"/>
      <c r="M56" s="121"/>
      <c r="N56" s="121"/>
      <c r="O56" s="121"/>
      <c r="P56" s="104"/>
      <c r="S56" s="114"/>
      <c r="T56" s="114"/>
      <c r="U56" s="114"/>
      <c r="V56" s="117"/>
    </row>
    <row r="57" spans="1:22" x14ac:dyDescent="0.2">
      <c r="A57" s="105" t="s">
        <v>570</v>
      </c>
      <c r="B57" s="108">
        <v>240</v>
      </c>
      <c r="C57" s="107">
        <v>28126</v>
      </c>
      <c r="D57" s="107">
        <v>28126</v>
      </c>
      <c r="E57" s="106" t="s">
        <v>569</v>
      </c>
      <c r="F57" s="105" t="s">
        <v>564</v>
      </c>
      <c r="G57" s="121"/>
      <c r="H57" s="121"/>
      <c r="I57" s="121"/>
      <c r="J57" s="121"/>
      <c r="K57" s="121"/>
      <c r="L57" s="121"/>
      <c r="M57" s="121"/>
      <c r="N57" s="121"/>
      <c r="O57" s="121"/>
      <c r="P57" s="104"/>
      <c r="S57" s="114"/>
      <c r="T57" s="114"/>
      <c r="U57" s="114"/>
      <c r="V57" s="117"/>
    </row>
    <row r="58" spans="1:22" x14ac:dyDescent="0.2">
      <c r="A58" s="105" t="s">
        <v>568</v>
      </c>
      <c r="B58" s="108">
        <v>1000</v>
      </c>
      <c r="C58" s="107">
        <v>29754</v>
      </c>
      <c r="D58" s="107">
        <v>29754</v>
      </c>
      <c r="E58" s="106" t="s">
        <v>567</v>
      </c>
      <c r="F58" s="105" t="s">
        <v>564</v>
      </c>
      <c r="G58" s="121"/>
      <c r="H58" s="121"/>
      <c r="I58" s="121"/>
      <c r="J58" s="121"/>
      <c r="K58" s="121"/>
      <c r="L58" s="121"/>
      <c r="M58" s="121"/>
      <c r="N58" s="121"/>
      <c r="O58" s="121"/>
      <c r="P58" s="104"/>
      <c r="S58" s="114"/>
      <c r="T58" s="114"/>
      <c r="U58" s="114"/>
      <c r="V58" s="117"/>
    </row>
    <row r="59" spans="1:22" x14ac:dyDescent="0.2">
      <c r="A59" s="105" t="s">
        <v>566</v>
      </c>
      <c r="B59" s="108">
        <v>400</v>
      </c>
      <c r="C59" s="107">
        <v>32251</v>
      </c>
      <c r="D59" s="107">
        <v>32251</v>
      </c>
      <c r="E59" s="106" t="s">
        <v>565</v>
      </c>
      <c r="F59" s="105" t="s">
        <v>564</v>
      </c>
      <c r="G59" s="104"/>
      <c r="H59" s="104"/>
      <c r="I59" s="104"/>
      <c r="J59" s="104"/>
      <c r="K59" s="104"/>
      <c r="L59" s="104"/>
      <c r="M59" s="104"/>
      <c r="N59" s="104"/>
      <c r="O59" s="104"/>
      <c r="P59" s="104"/>
      <c r="S59" s="114"/>
      <c r="T59" s="114"/>
      <c r="U59" s="114"/>
      <c r="V59" s="117"/>
    </row>
    <row r="60" spans="1:22" x14ac:dyDescent="0.2">
      <c r="A60" s="105" t="s">
        <v>514</v>
      </c>
      <c r="B60" s="108">
        <v>1600</v>
      </c>
      <c r="C60" s="107">
        <v>24462</v>
      </c>
      <c r="D60" s="107">
        <v>38504</v>
      </c>
      <c r="E60" s="106" t="s">
        <v>545</v>
      </c>
      <c r="F60" s="105" t="s">
        <v>564</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447</v>
      </c>
      <c r="B61" s="108">
        <v>1200</v>
      </c>
      <c r="C61" s="107">
        <v>25384</v>
      </c>
      <c r="D61" s="107">
        <v>25384</v>
      </c>
      <c r="E61" s="106" t="s">
        <v>544</v>
      </c>
      <c r="F61" s="105" t="s">
        <v>564</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448</v>
      </c>
      <c r="B62" s="108">
        <v>1000</v>
      </c>
      <c r="C62" s="107">
        <v>22591</v>
      </c>
      <c r="D62" s="107">
        <v>22591</v>
      </c>
      <c r="E62" s="106" t="s">
        <v>543</v>
      </c>
      <c r="F62" s="105" t="s">
        <v>564</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63"/>
      <c r="H63" s="364"/>
      <c r="I63" s="364"/>
      <c r="J63" s="364"/>
      <c r="K63" s="364"/>
      <c r="L63" s="364"/>
      <c r="M63" s="364"/>
      <c r="N63" s="364"/>
      <c r="O63" s="118"/>
      <c r="S63" s="117"/>
    </row>
    <row r="65" spans="1:21" x14ac:dyDescent="0.2">
      <c r="A65" s="101" t="s">
        <v>563</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458</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508</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451</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497</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452</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483</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476</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449</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455</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468</v>
      </c>
      <c r="J75" s="64">
        <v>0</v>
      </c>
      <c r="O75" s="64">
        <v>2157</v>
      </c>
      <c r="Q75" s="64">
        <f>SUMIF(EskomCoalNERSACombined!$B$44:$B$58,A111,EskomCoalNERSACombined!$G$44:$G$58)</f>
        <v>2157</v>
      </c>
      <c r="R75" s="64">
        <f>Q75</f>
        <v>2157</v>
      </c>
      <c r="S75" s="64">
        <f>720*6</f>
        <v>4320</v>
      </c>
      <c r="T75" s="64">
        <f>S75</f>
        <v>4320</v>
      </c>
      <c r="U75" s="114"/>
    </row>
    <row r="76" spans="1:21" x14ac:dyDescent="0.2">
      <c r="A76" s="105" t="s">
        <v>460</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559</v>
      </c>
      <c r="J77" s="64"/>
      <c r="O77" s="64">
        <v>723</v>
      </c>
      <c r="Q77" s="64">
        <v>723</v>
      </c>
      <c r="R77" s="64"/>
      <c r="S77" s="64"/>
      <c r="T77" s="64"/>
      <c r="U77" s="114"/>
    </row>
    <row r="78" spans="1:21" x14ac:dyDescent="0.2">
      <c r="A78" s="105" t="s">
        <v>514</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447</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448</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562</v>
      </c>
      <c r="S81" s="64"/>
      <c r="T81" s="64"/>
      <c r="U81" s="114" t="s">
        <v>561</v>
      </c>
    </row>
    <row r="82" spans="1:24" ht="15" x14ac:dyDescent="0.25">
      <c r="R82" s="63">
        <v>1.0449999999999999</v>
      </c>
      <c r="S82" s="63">
        <v>1</v>
      </c>
      <c r="T82" s="63">
        <v>1</v>
      </c>
    </row>
    <row r="83" spans="1:24" x14ac:dyDescent="0.2">
      <c r="A83" s="101" t="s">
        <v>560</v>
      </c>
      <c r="J83" s="101">
        <v>2012</v>
      </c>
      <c r="O83" s="101">
        <v>2017</v>
      </c>
      <c r="R83" s="113">
        <v>2020</v>
      </c>
      <c r="S83" s="113">
        <v>2025</v>
      </c>
      <c r="T83" s="113">
        <v>2030</v>
      </c>
      <c r="U83" s="113">
        <v>2020</v>
      </c>
      <c r="V83" s="113">
        <v>2025</v>
      </c>
      <c r="W83" s="113">
        <v>2030</v>
      </c>
      <c r="X83" s="113"/>
    </row>
    <row r="84" spans="1:24" x14ac:dyDescent="0.2">
      <c r="A84" s="105" t="s">
        <v>458</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508</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451</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497</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452</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483</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476</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449</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455</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468</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460</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559</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514</v>
      </c>
      <c r="J96" s="102">
        <f>J30/(J78*8760)</f>
        <v>0.65972201228153049</v>
      </c>
      <c r="O96" s="102">
        <f>S30/(O78*8.76)*1000</f>
        <v>0.54111740129475128</v>
      </c>
      <c r="R96" s="102">
        <f>MIN(MAX(75%,$J96),$O96*R$82)</f>
        <v>0.56546768435301509</v>
      </c>
      <c r="S96" s="102">
        <f t="shared" ref="S96:T98" si="9">V96</f>
        <v>0.6</v>
      </c>
      <c r="T96" s="102">
        <f t="shared" si="9"/>
        <v>0.6</v>
      </c>
      <c r="U96" s="102">
        <v>0.6</v>
      </c>
      <c r="V96" s="102">
        <f>U96</f>
        <v>0.6</v>
      </c>
      <c r="W96" s="102">
        <f>V96</f>
        <v>0.6</v>
      </c>
    </row>
    <row r="97" spans="1:23" x14ac:dyDescent="0.2">
      <c r="A97" s="105" t="s">
        <v>447</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448</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542</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558</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557</v>
      </c>
      <c r="R101" s="109">
        <f>R99-R100</f>
        <v>-4.890983455238973E-3</v>
      </c>
      <c r="S101" s="109">
        <f>S99-S100</f>
        <v>1.2106386066615737E-2</v>
      </c>
      <c r="T101" s="109">
        <f>T99-T100</f>
        <v>-2.0841499772017436E-3</v>
      </c>
    </row>
    <row r="102" spans="1:23" x14ac:dyDescent="0.2">
      <c r="A102" s="105" t="s">
        <v>458</v>
      </c>
      <c r="B102" s="108">
        <v>1980</v>
      </c>
      <c r="C102" s="107">
        <v>26197</v>
      </c>
      <c r="D102" s="107">
        <v>26197</v>
      </c>
      <c r="E102" s="106" t="s">
        <v>556</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508</v>
      </c>
      <c r="B103" s="108">
        <v>3450</v>
      </c>
      <c r="C103" s="107">
        <v>29238</v>
      </c>
      <c r="D103" s="107">
        <v>29238</v>
      </c>
      <c r="E103" s="106" t="s">
        <v>555</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451</v>
      </c>
      <c r="B104" s="108">
        <v>1895</v>
      </c>
      <c r="C104" s="107">
        <v>25700</v>
      </c>
      <c r="D104" s="107">
        <v>25700</v>
      </c>
      <c r="E104" s="106" t="s">
        <v>554</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497</v>
      </c>
      <c r="B105" s="108">
        <v>3840</v>
      </c>
      <c r="C105" s="107">
        <v>32417</v>
      </c>
      <c r="D105" s="107">
        <v>32417</v>
      </c>
      <c r="E105" s="106" t="s">
        <v>553</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452</v>
      </c>
      <c r="B106" s="108">
        <v>2850</v>
      </c>
      <c r="C106" s="107">
        <v>27886</v>
      </c>
      <c r="D106" s="107">
        <v>27886</v>
      </c>
      <c r="E106" s="106" t="s">
        <v>552</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483</v>
      </c>
      <c r="B107" s="108">
        <v>3558</v>
      </c>
      <c r="C107" s="107">
        <v>31403</v>
      </c>
      <c r="D107" s="107">
        <v>31403</v>
      </c>
      <c r="E107" s="106" t="s">
        <v>551</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476</v>
      </c>
      <c r="B108" s="108">
        <v>3690</v>
      </c>
      <c r="C108" s="107">
        <v>32115</v>
      </c>
      <c r="D108" s="107">
        <v>32115</v>
      </c>
      <c r="E108" s="106" t="s">
        <v>550</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449</v>
      </c>
      <c r="B109" s="108">
        <v>3843</v>
      </c>
      <c r="C109" s="107">
        <v>35156</v>
      </c>
      <c r="D109" s="107">
        <v>35156</v>
      </c>
      <c r="E109" s="106" t="s">
        <v>549</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455</v>
      </c>
      <c r="B110" s="108">
        <v>3450</v>
      </c>
      <c r="C110" s="107">
        <v>29127</v>
      </c>
      <c r="D110" s="107">
        <v>29127</v>
      </c>
      <c r="E110" s="106" t="s">
        <v>548</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468</v>
      </c>
      <c r="B111" s="108">
        <v>4764</v>
      </c>
      <c r="C111" s="107">
        <v>42238</v>
      </c>
      <c r="D111" s="107">
        <v>42239</v>
      </c>
      <c r="E111" s="106" t="s">
        <v>547</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460</v>
      </c>
      <c r="B112" s="108">
        <v>3510</v>
      </c>
      <c r="C112" s="107">
        <v>31199</v>
      </c>
      <c r="D112" s="107">
        <v>31199</v>
      </c>
      <c r="E112" s="106" t="s">
        <v>546</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514</v>
      </c>
      <c r="B113" s="108">
        <v>1600</v>
      </c>
      <c r="C113" s="107">
        <v>24462</v>
      </c>
      <c r="D113" s="107">
        <v>38504</v>
      </c>
      <c r="E113" s="106" t="s">
        <v>545</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447</v>
      </c>
      <c r="B114" s="108">
        <v>1200</v>
      </c>
      <c r="C114" s="107">
        <v>25384</v>
      </c>
      <c r="D114" s="107">
        <v>25384</v>
      </c>
      <c r="E114" s="106" t="s">
        <v>544</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448</v>
      </c>
      <c r="B115" s="108">
        <v>1000</v>
      </c>
      <c r="C115" s="107">
        <v>22591</v>
      </c>
      <c r="D115" s="107">
        <v>22591</v>
      </c>
      <c r="E115" s="106" t="s">
        <v>543</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542</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541</v>
      </c>
    </row>
    <row r="122" spans="1:15" x14ac:dyDescent="0.2">
      <c r="B122" s="64" t="s">
        <v>540</v>
      </c>
      <c r="C122" s="64">
        <v>800</v>
      </c>
      <c r="D122" s="64">
        <v>794</v>
      </c>
    </row>
    <row r="123" spans="1:15" x14ac:dyDescent="0.2">
      <c r="B123" s="64" t="s">
        <v>539</v>
      </c>
      <c r="C123" s="64">
        <f>C122/48%</f>
        <v>1666.6666666666667</v>
      </c>
      <c r="D123" s="64"/>
    </row>
    <row r="124" spans="1:15" x14ac:dyDescent="0.2">
      <c r="B124" s="64" t="s">
        <v>538</v>
      </c>
      <c r="C124" s="102">
        <f>C122/C123</f>
        <v>0.48</v>
      </c>
      <c r="D124" s="64"/>
    </row>
    <row r="125" spans="1:15" x14ac:dyDescent="0.2">
      <c r="B125" s="64" t="s">
        <v>537</v>
      </c>
      <c r="C125" s="64">
        <f>C122*0.99</f>
        <v>792</v>
      </c>
      <c r="D125" s="64"/>
    </row>
    <row r="126" spans="1:15" x14ac:dyDescent="0.2">
      <c r="B126" s="64" t="s">
        <v>536</v>
      </c>
      <c r="C126" s="102">
        <f>C125/C123</f>
        <v>0.47519999999999996</v>
      </c>
      <c r="D126" s="64"/>
    </row>
    <row r="127" spans="1:15" x14ac:dyDescent="0.2">
      <c r="B127" s="64" t="s">
        <v>535</v>
      </c>
      <c r="C127" s="64">
        <f>C122*(1-8.8%)</f>
        <v>729.6</v>
      </c>
      <c r="D127" s="64">
        <f>D122/C122*C127</f>
        <v>724.12800000000004</v>
      </c>
    </row>
    <row r="128" spans="1:15" x14ac:dyDescent="0.2">
      <c r="B128" s="64" t="s">
        <v>534</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743</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742</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712</v>
      </c>
      <c r="B3" s="162" t="s">
        <v>711</v>
      </c>
      <c r="C3" s="160" t="s">
        <v>710</v>
      </c>
      <c r="D3" s="162" t="s">
        <v>709</v>
      </c>
      <c r="E3" s="161" t="s">
        <v>708</v>
      </c>
      <c r="F3" s="160" t="s">
        <v>707</v>
      </c>
      <c r="G3" s="159" t="s">
        <v>706</v>
      </c>
      <c r="H3" s="158"/>
      <c r="I3" s="158"/>
      <c r="J3" s="158"/>
      <c r="K3" s="158"/>
      <c r="L3" s="158"/>
      <c r="M3" s="158"/>
      <c r="N3" s="157"/>
      <c r="T3" s="101" t="s">
        <v>136</v>
      </c>
      <c r="Z3" s="101" t="s">
        <v>741</v>
      </c>
      <c r="AA3" s="101" t="s">
        <v>741</v>
      </c>
      <c r="AB3" s="101" t="s">
        <v>741</v>
      </c>
      <c r="AC3" s="101" t="s">
        <v>741</v>
      </c>
      <c r="AD3" s="101" t="s">
        <v>741</v>
      </c>
      <c r="AE3" s="101" t="s">
        <v>741</v>
      </c>
      <c r="AF3" s="101" t="s">
        <v>741</v>
      </c>
      <c r="AG3" s="101" t="s">
        <v>741</v>
      </c>
      <c r="AH3" s="101" t="s">
        <v>741</v>
      </c>
      <c r="AI3" s="101" t="s">
        <v>741</v>
      </c>
      <c r="AJ3" s="101" t="s">
        <v>741</v>
      </c>
      <c r="AK3" s="101" t="s">
        <v>741</v>
      </c>
      <c r="AL3" s="101" t="s">
        <v>643</v>
      </c>
      <c r="AM3" s="101" t="s">
        <v>643</v>
      </c>
      <c r="AN3" s="101" t="s">
        <v>643</v>
      </c>
      <c r="AO3" s="101" t="s">
        <v>643</v>
      </c>
      <c r="AP3" s="101" t="s">
        <v>643</v>
      </c>
      <c r="AQ3" s="101" t="s">
        <v>643</v>
      </c>
      <c r="AR3" s="101" t="s">
        <v>643</v>
      </c>
      <c r="AS3" s="101" t="s">
        <v>643</v>
      </c>
      <c r="AT3" s="101" t="s">
        <v>643</v>
      </c>
      <c r="AU3" s="101" t="s">
        <v>643</v>
      </c>
      <c r="AV3" s="101" t="s">
        <v>643</v>
      </c>
      <c r="AW3" s="101" t="s">
        <v>643</v>
      </c>
    </row>
    <row r="4" spans="1:50" ht="12.95" customHeight="1" x14ac:dyDescent="0.2">
      <c r="A4" s="119"/>
      <c r="B4" s="119"/>
      <c r="C4" s="119"/>
      <c r="D4" s="119"/>
      <c r="E4" s="119"/>
      <c r="F4" s="119"/>
      <c r="G4" s="155" t="s">
        <v>705</v>
      </c>
      <c r="H4" s="155" t="s">
        <v>704</v>
      </c>
      <c r="I4" s="155" t="s">
        <v>703</v>
      </c>
      <c r="J4" s="155" t="s">
        <v>702</v>
      </c>
      <c r="K4" s="155" t="s">
        <v>701</v>
      </c>
      <c r="L4" s="156" t="s">
        <v>700</v>
      </c>
      <c r="M4" s="155" t="s">
        <v>699</v>
      </c>
      <c r="N4" s="155" t="s">
        <v>698</v>
      </c>
      <c r="O4" s="155" t="s">
        <v>643</v>
      </c>
      <c r="P4" s="101">
        <v>2017</v>
      </c>
      <c r="Q4" s="101" t="s">
        <v>642</v>
      </c>
      <c r="R4" s="101" t="s">
        <v>1822</v>
      </c>
      <c r="S4" s="101" t="s">
        <v>740</v>
      </c>
      <c r="U4" s="101" t="s">
        <v>739</v>
      </c>
      <c r="V4" s="101" t="s">
        <v>738</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695</v>
      </c>
      <c r="B5" s="147">
        <v>1980</v>
      </c>
      <c r="C5" s="146">
        <v>26197</v>
      </c>
      <c r="D5" s="145">
        <v>26197</v>
      </c>
      <c r="E5" s="144" t="s">
        <v>664</v>
      </c>
      <c r="F5" s="143" t="s">
        <v>722</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729</v>
      </c>
      <c r="X5" s="101" t="s">
        <v>728</v>
      </c>
      <c r="Y5" s="101" t="s">
        <v>727</v>
      </c>
      <c r="Z5" s="101" t="s">
        <v>726</v>
      </c>
      <c r="AA5" s="101" t="s">
        <v>737</v>
      </c>
      <c r="AB5" s="101" t="s">
        <v>736</v>
      </c>
      <c r="AC5" s="101" t="s">
        <v>735</v>
      </c>
      <c r="AD5" s="101" t="s">
        <v>734</v>
      </c>
      <c r="AE5" s="101" t="s">
        <v>733</v>
      </c>
      <c r="AF5" s="101" t="s">
        <v>732</v>
      </c>
      <c r="AG5" s="101" t="s">
        <v>731</v>
      </c>
      <c r="AH5" s="101" t="s">
        <v>730</v>
      </c>
      <c r="AI5" s="101" t="s">
        <v>729</v>
      </c>
      <c r="AJ5" s="101" t="s">
        <v>728</v>
      </c>
      <c r="AK5" s="101" t="s">
        <v>727</v>
      </c>
      <c r="AL5" s="101" t="s">
        <v>726</v>
      </c>
      <c r="AM5" s="101" t="s">
        <v>737</v>
      </c>
      <c r="AN5" s="101" t="s">
        <v>736</v>
      </c>
      <c r="AO5" s="101" t="s">
        <v>735</v>
      </c>
      <c r="AP5" s="101" t="s">
        <v>734</v>
      </c>
      <c r="AQ5" s="101" t="s">
        <v>733</v>
      </c>
      <c r="AR5" s="101" t="s">
        <v>732</v>
      </c>
      <c r="AS5" s="101" t="s">
        <v>731</v>
      </c>
      <c r="AT5" s="101" t="s">
        <v>730</v>
      </c>
      <c r="AU5" s="101" t="s">
        <v>729</v>
      </c>
      <c r="AV5" s="101" t="s">
        <v>728</v>
      </c>
      <c r="AW5" s="101" t="s">
        <v>727</v>
      </c>
      <c r="AX5" s="101" t="s">
        <v>726</v>
      </c>
    </row>
    <row r="6" spans="1:50" ht="12.95" customHeight="1" x14ac:dyDescent="0.2">
      <c r="A6" s="148" t="s">
        <v>694</v>
      </c>
      <c r="B6" s="147">
        <v>3450</v>
      </c>
      <c r="C6" s="146">
        <v>29238</v>
      </c>
      <c r="D6" s="145">
        <v>29238</v>
      </c>
      <c r="E6" s="144" t="s">
        <v>664</v>
      </c>
      <c r="F6" s="143" t="s">
        <v>722</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693</v>
      </c>
      <c r="B7" s="147">
        <v>1895</v>
      </c>
      <c r="C7" s="146">
        <v>25700</v>
      </c>
      <c r="D7" s="145">
        <v>25700</v>
      </c>
      <c r="E7" s="144" t="s">
        <v>664</v>
      </c>
      <c r="F7" s="143" t="s">
        <v>722</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692</v>
      </c>
      <c r="B8" s="147">
        <v>3840</v>
      </c>
      <c r="C8" s="146">
        <v>32417</v>
      </c>
      <c r="D8" s="145">
        <v>32417</v>
      </c>
      <c r="E8" s="144" t="s">
        <v>664</v>
      </c>
      <c r="F8" s="143" t="s">
        <v>722</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691</v>
      </c>
      <c r="B9" s="147">
        <v>2850</v>
      </c>
      <c r="C9" s="146">
        <v>27886</v>
      </c>
      <c r="D9" s="145">
        <v>27886</v>
      </c>
      <c r="E9" s="144" t="s">
        <v>664</v>
      </c>
      <c r="F9" s="143" t="s">
        <v>722</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690</v>
      </c>
      <c r="B10" s="147">
        <v>3558</v>
      </c>
      <c r="C10" s="146">
        <v>31403</v>
      </c>
      <c r="D10" s="145">
        <v>31403</v>
      </c>
      <c r="E10" s="144" t="s">
        <v>664</v>
      </c>
      <c r="F10" s="143" t="s">
        <v>722</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689</v>
      </c>
      <c r="B11" s="147">
        <v>3690</v>
      </c>
      <c r="C11" s="146">
        <v>32115</v>
      </c>
      <c r="D11" s="145">
        <v>32115</v>
      </c>
      <c r="E11" s="144" t="s">
        <v>664</v>
      </c>
      <c r="F11" s="143" t="s">
        <v>722</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688</v>
      </c>
      <c r="B12" s="147">
        <v>3843</v>
      </c>
      <c r="C12" s="146">
        <v>35156</v>
      </c>
      <c r="D12" s="145">
        <v>35156</v>
      </c>
      <c r="E12" s="144" t="s">
        <v>664</v>
      </c>
      <c r="F12" s="143" t="s">
        <v>722</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687</v>
      </c>
      <c r="B13" s="147">
        <v>3450</v>
      </c>
      <c r="C13" s="146">
        <v>29127</v>
      </c>
      <c r="D13" s="145">
        <v>29127</v>
      </c>
      <c r="E13" s="144" t="s">
        <v>664</v>
      </c>
      <c r="F13" s="143" t="s">
        <v>722</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686</v>
      </c>
      <c r="B14" s="147">
        <v>4764</v>
      </c>
      <c r="C14" s="146">
        <v>42238</v>
      </c>
      <c r="D14" s="145">
        <v>42239</v>
      </c>
      <c r="E14" s="144" t="s">
        <v>664</v>
      </c>
      <c r="F14" s="143" t="s">
        <v>722</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685</v>
      </c>
      <c r="B15" s="147">
        <v>3510</v>
      </c>
      <c r="C15" s="146">
        <v>31199</v>
      </c>
      <c r="D15" s="145">
        <v>31199</v>
      </c>
      <c r="E15" s="144" t="s">
        <v>664</v>
      </c>
      <c r="F15" s="143" t="s">
        <v>722</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559</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684</v>
      </c>
      <c r="B17" s="147">
        <v>1800</v>
      </c>
      <c r="C17" s="146">
        <v>30884</v>
      </c>
      <c r="D17" s="145">
        <v>30884</v>
      </c>
      <c r="E17" s="144" t="s">
        <v>683</v>
      </c>
      <c r="F17" s="143" t="s">
        <v>723</v>
      </c>
      <c r="G17" s="129"/>
      <c r="H17" s="129"/>
      <c r="I17" s="129"/>
      <c r="J17" s="129"/>
      <c r="K17" s="129"/>
      <c r="L17" s="173"/>
      <c r="M17" s="129"/>
      <c r="N17" s="129"/>
      <c r="O17" s="125"/>
      <c r="P17" s="125"/>
      <c r="Q17" s="168"/>
      <c r="R17" s="168"/>
    </row>
    <row r="18" spans="1:22" ht="20.100000000000001" customHeight="1" x14ac:dyDescent="0.2">
      <c r="A18" s="153" t="s">
        <v>682</v>
      </c>
      <c r="B18" s="152">
        <v>171</v>
      </c>
      <c r="C18" s="151">
        <v>27893</v>
      </c>
      <c r="D18" s="150">
        <v>27893</v>
      </c>
      <c r="E18" s="149" t="s">
        <v>678</v>
      </c>
      <c r="F18" s="143" t="s">
        <v>724</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681</v>
      </c>
      <c r="B19" s="147">
        <v>1327</v>
      </c>
      <c r="C19" s="146">
        <v>39356</v>
      </c>
      <c r="D19" s="145">
        <v>39356</v>
      </c>
      <c r="E19" s="144" t="s">
        <v>678</v>
      </c>
      <c r="F19" s="143" t="s">
        <v>725</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680</v>
      </c>
      <c r="B20" s="147">
        <v>740</v>
      </c>
      <c r="C20" s="146">
        <v>39356</v>
      </c>
      <c r="D20" s="145">
        <v>39356</v>
      </c>
      <c r="E20" s="144" t="s">
        <v>678</v>
      </c>
      <c r="F20" s="143" t="s">
        <v>725</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679</v>
      </c>
      <c r="B21" s="152">
        <v>171</v>
      </c>
      <c r="C21" s="151">
        <v>28033</v>
      </c>
      <c r="D21" s="150">
        <v>28033</v>
      </c>
      <c r="E21" s="149" t="s">
        <v>678</v>
      </c>
      <c r="F21" s="143" t="s">
        <v>724</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677</v>
      </c>
      <c r="B22" s="147">
        <v>42</v>
      </c>
      <c r="C22" s="146">
        <v>31048</v>
      </c>
      <c r="D22" s="145">
        <v>31048</v>
      </c>
      <c r="E22" s="144" t="s">
        <v>671</v>
      </c>
      <c r="F22" s="143" t="s">
        <v>723</v>
      </c>
      <c r="G22" s="129"/>
      <c r="H22" s="129"/>
      <c r="I22" s="129"/>
      <c r="J22" s="129"/>
      <c r="K22" s="129"/>
      <c r="L22" s="173"/>
      <c r="M22" s="129"/>
      <c r="N22" s="129"/>
      <c r="O22" s="125"/>
      <c r="P22" s="125"/>
      <c r="Q22" s="168"/>
      <c r="R22" s="168"/>
    </row>
    <row r="23" spans="1:22" ht="12.95" customHeight="1" x14ac:dyDescent="0.2">
      <c r="A23" s="148" t="s">
        <v>676</v>
      </c>
      <c r="B23" s="147">
        <v>6</v>
      </c>
      <c r="C23" s="146">
        <v>28887</v>
      </c>
      <c r="D23" s="145">
        <v>28887</v>
      </c>
      <c r="E23" s="144" t="s">
        <v>671</v>
      </c>
      <c r="F23" s="143" t="s">
        <v>723</v>
      </c>
      <c r="G23" s="129"/>
      <c r="H23" s="129"/>
      <c r="I23" s="129"/>
      <c r="J23" s="129"/>
      <c r="K23" s="129"/>
      <c r="L23" s="173"/>
      <c r="M23" s="129"/>
      <c r="N23" s="129"/>
      <c r="O23" s="125"/>
      <c r="P23" s="125"/>
      <c r="Q23" s="168"/>
      <c r="R23" s="168"/>
    </row>
    <row r="24" spans="1:22" ht="12.95" customHeight="1" x14ac:dyDescent="0.2">
      <c r="A24" s="148" t="s">
        <v>675</v>
      </c>
      <c r="B24" s="147">
        <v>360</v>
      </c>
      <c r="C24" s="146">
        <v>26184</v>
      </c>
      <c r="D24" s="145">
        <v>26184</v>
      </c>
      <c r="E24" s="144" t="s">
        <v>671</v>
      </c>
      <c r="F24" s="143" t="s">
        <v>723</v>
      </c>
      <c r="G24" s="129"/>
      <c r="H24" s="129"/>
      <c r="I24" s="129"/>
      <c r="J24" s="129"/>
      <c r="K24" s="129"/>
      <c r="L24" s="173"/>
      <c r="M24" s="129"/>
      <c r="N24" s="129"/>
      <c r="O24" s="125"/>
      <c r="P24" s="125"/>
      <c r="Q24" s="168"/>
      <c r="R24" s="168"/>
    </row>
    <row r="25" spans="1:22" ht="12.95" customHeight="1" x14ac:dyDescent="0.2">
      <c r="A25" s="148" t="s">
        <v>674</v>
      </c>
      <c r="B25" s="147">
        <v>2</v>
      </c>
      <c r="C25" s="146">
        <v>30376</v>
      </c>
      <c r="D25" s="145">
        <v>30376</v>
      </c>
      <c r="E25" s="144" t="s">
        <v>671</v>
      </c>
      <c r="F25" s="143" t="s">
        <v>723</v>
      </c>
      <c r="G25" s="129"/>
      <c r="H25" s="129"/>
      <c r="I25" s="129"/>
      <c r="J25" s="129"/>
      <c r="K25" s="129"/>
      <c r="L25" s="173"/>
      <c r="M25" s="129"/>
      <c r="N25" s="129"/>
      <c r="O25" s="125"/>
      <c r="P25" s="125"/>
      <c r="Q25" s="168"/>
      <c r="R25" s="168"/>
    </row>
    <row r="26" spans="1:22" ht="12.95" customHeight="1" x14ac:dyDescent="0.2">
      <c r="A26" s="148" t="s">
        <v>673</v>
      </c>
      <c r="B26" s="147">
        <v>11</v>
      </c>
      <c r="C26" s="146">
        <v>28946</v>
      </c>
      <c r="D26" s="145">
        <v>28946</v>
      </c>
      <c r="E26" s="144" t="s">
        <v>671</v>
      </c>
      <c r="F26" s="143" t="s">
        <v>723</v>
      </c>
      <c r="G26" s="129"/>
      <c r="H26" s="129"/>
      <c r="I26" s="129"/>
      <c r="J26" s="129"/>
      <c r="K26" s="129"/>
      <c r="L26" s="173"/>
      <c r="M26" s="129"/>
      <c r="N26" s="129"/>
      <c r="O26" s="125"/>
      <c r="P26" s="125"/>
      <c r="Q26" s="168"/>
      <c r="R26" s="168"/>
    </row>
    <row r="27" spans="1:22" ht="12.95" customHeight="1" x14ac:dyDescent="0.2">
      <c r="A27" s="148" t="s">
        <v>672</v>
      </c>
      <c r="B27" s="147">
        <v>240</v>
      </c>
      <c r="C27" s="146">
        <v>28126</v>
      </c>
      <c r="D27" s="145">
        <v>28126</v>
      </c>
      <c r="E27" s="144" t="s">
        <v>671</v>
      </c>
      <c r="F27" s="143" t="s">
        <v>723</v>
      </c>
      <c r="G27" s="129"/>
      <c r="H27" s="129"/>
      <c r="I27" s="129"/>
      <c r="J27" s="129"/>
      <c r="K27" s="129"/>
      <c r="L27" s="173"/>
      <c r="M27" s="129"/>
      <c r="N27" s="129"/>
      <c r="O27" s="125"/>
      <c r="P27" s="125"/>
      <c r="Q27" s="168"/>
      <c r="R27" s="168"/>
    </row>
    <row r="28" spans="1:22" ht="12.95" customHeight="1" x14ac:dyDescent="0.2">
      <c r="A28" s="148" t="s">
        <v>670</v>
      </c>
      <c r="B28" s="147">
        <v>1000</v>
      </c>
      <c r="C28" s="146">
        <v>29754</v>
      </c>
      <c r="D28" s="145">
        <v>29754</v>
      </c>
      <c r="E28" s="144" t="s">
        <v>668</v>
      </c>
      <c r="F28" s="143" t="s">
        <v>723</v>
      </c>
      <c r="G28" s="129"/>
      <c r="H28" s="129"/>
      <c r="I28" s="129"/>
      <c r="J28" s="129"/>
      <c r="K28" s="129"/>
      <c r="L28" s="173"/>
      <c r="M28" s="129"/>
      <c r="N28" s="129"/>
      <c r="O28" s="125"/>
      <c r="P28" s="125"/>
      <c r="Q28" s="168"/>
      <c r="R28" s="168"/>
    </row>
    <row r="29" spans="1:22" ht="12.95" customHeight="1" x14ac:dyDescent="0.2">
      <c r="A29" s="148" t="s">
        <v>669</v>
      </c>
      <c r="B29" s="147">
        <v>400</v>
      </c>
      <c r="C29" s="146">
        <v>32251</v>
      </c>
      <c r="D29" s="145">
        <v>32251</v>
      </c>
      <c r="E29" s="144" t="s">
        <v>668</v>
      </c>
      <c r="F29" s="143" t="s">
        <v>723</v>
      </c>
      <c r="G29" s="129"/>
      <c r="H29" s="129"/>
      <c r="I29" s="129"/>
      <c r="J29" s="129"/>
      <c r="K29" s="129"/>
      <c r="L29" s="173"/>
      <c r="M29" s="129"/>
      <c r="N29" s="129"/>
      <c r="O29" s="125"/>
      <c r="P29" s="125"/>
      <c r="Q29" s="168"/>
      <c r="R29" s="168"/>
    </row>
    <row r="30" spans="1:22" ht="12.95" customHeight="1" x14ac:dyDescent="0.2">
      <c r="A30" s="148" t="s">
        <v>667</v>
      </c>
      <c r="B30" s="147">
        <v>1600</v>
      </c>
      <c r="C30" s="146">
        <v>24462</v>
      </c>
      <c r="D30" s="145">
        <v>38504</v>
      </c>
      <c r="E30" s="144" t="s">
        <v>664</v>
      </c>
      <c r="F30" s="143" t="s">
        <v>722</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666</v>
      </c>
      <c r="B31" s="147">
        <v>1200</v>
      </c>
      <c r="C31" s="146">
        <v>25384</v>
      </c>
      <c r="D31" s="145">
        <v>25384</v>
      </c>
      <c r="E31" s="144" t="s">
        <v>664</v>
      </c>
      <c r="F31" s="143" t="s">
        <v>722</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665</v>
      </c>
      <c r="B32" s="147">
        <v>1000</v>
      </c>
      <c r="C32" s="146">
        <v>22591</v>
      </c>
      <c r="D32" s="145">
        <v>22591</v>
      </c>
      <c r="E32" s="144" t="s">
        <v>664</v>
      </c>
      <c r="F32" s="143" t="s">
        <v>722</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721</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720</v>
      </c>
      <c r="B34" s="164"/>
      <c r="C34" s="164"/>
      <c r="D34" s="164"/>
      <c r="E34" s="164"/>
      <c r="F34" s="164"/>
      <c r="G34" s="164"/>
      <c r="H34" s="164"/>
      <c r="I34" s="164"/>
      <c r="J34" s="164"/>
      <c r="K34" s="164"/>
      <c r="L34" s="164"/>
      <c r="O34" s="101" t="s">
        <v>719</v>
      </c>
      <c r="P34" s="101">
        <v>114.30200000000001</v>
      </c>
    </row>
    <row r="35" spans="1:20" ht="12.95" customHeight="1" outlineLevel="1" x14ac:dyDescent="0.2">
      <c r="A35" s="165" t="s">
        <v>718</v>
      </c>
      <c r="B35" s="164"/>
      <c r="C35" s="164"/>
      <c r="D35" s="164"/>
      <c r="E35" s="164"/>
      <c r="F35" s="164"/>
      <c r="G35" s="164"/>
      <c r="H35" s="164"/>
      <c r="I35" s="164"/>
      <c r="J35" s="164"/>
      <c r="K35" s="164"/>
      <c r="L35" s="164"/>
    </row>
    <row r="36" spans="1:20" ht="12.95" customHeight="1" outlineLevel="1" x14ac:dyDescent="0.2">
      <c r="A36" s="165" t="s">
        <v>717</v>
      </c>
      <c r="B36" s="164"/>
      <c r="C36" s="164"/>
      <c r="D36" s="164"/>
      <c r="E36" s="164"/>
      <c r="F36" s="164"/>
      <c r="G36" s="164"/>
      <c r="H36" s="164"/>
      <c r="I36" s="164"/>
      <c r="J36" s="164"/>
      <c r="K36" s="164"/>
      <c r="L36" s="164"/>
    </row>
    <row r="37" spans="1:20" ht="12.95" customHeight="1" outlineLevel="1" x14ac:dyDescent="0.2">
      <c r="A37" s="167" t="s">
        <v>716</v>
      </c>
      <c r="B37" s="166"/>
      <c r="C37" s="166"/>
      <c r="D37" s="166"/>
      <c r="E37" s="166"/>
      <c r="F37" s="166"/>
      <c r="G37" s="166"/>
      <c r="H37" s="166"/>
      <c r="I37" s="166"/>
      <c r="J37" s="166"/>
      <c r="K37" s="166"/>
      <c r="L37" s="166"/>
    </row>
    <row r="38" spans="1:20" ht="12" customHeight="1" outlineLevel="1" x14ac:dyDescent="0.2">
      <c r="A38" s="165" t="s">
        <v>715</v>
      </c>
      <c r="B38" s="164"/>
      <c r="C38" s="164"/>
      <c r="D38" s="164"/>
      <c r="E38" s="164"/>
      <c r="F38" s="164"/>
      <c r="G38" s="164"/>
      <c r="H38" s="164"/>
      <c r="I38" s="164"/>
      <c r="J38" s="164"/>
      <c r="K38" s="164"/>
      <c r="L38" s="164"/>
    </row>
    <row r="39" spans="1:20" ht="12.95" customHeight="1" outlineLevel="1" x14ac:dyDescent="0.2">
      <c r="A39" s="165" t="s">
        <v>714</v>
      </c>
      <c r="B39" s="164"/>
      <c r="C39" s="164"/>
      <c r="D39" s="164"/>
      <c r="E39" s="164"/>
      <c r="F39" s="164"/>
      <c r="G39" s="164"/>
      <c r="H39" s="164"/>
      <c r="I39" s="164"/>
      <c r="J39" s="164"/>
      <c r="K39" s="164"/>
      <c r="L39" s="164"/>
    </row>
    <row r="40" spans="1:20" ht="9.9499999999999993" customHeight="1" outlineLevel="1" x14ac:dyDescent="0.2">
      <c r="A40" s="165" t="s">
        <v>713</v>
      </c>
      <c r="B40" s="164"/>
      <c r="C40" s="164"/>
      <c r="D40" s="164"/>
      <c r="E40" s="164"/>
      <c r="F40" s="164"/>
      <c r="G40" s="164"/>
      <c r="H40" s="164"/>
      <c r="I40" s="164"/>
      <c r="J40" s="164"/>
      <c r="K40" s="164"/>
      <c r="L40" s="164"/>
    </row>
    <row r="42" spans="1:20" s="64" customFormat="1" ht="36" x14ac:dyDescent="0.2">
      <c r="A42" s="163" t="s">
        <v>712</v>
      </c>
      <c r="B42" s="162" t="s">
        <v>711</v>
      </c>
      <c r="C42" s="160" t="s">
        <v>710</v>
      </c>
      <c r="D42" s="162" t="s">
        <v>709</v>
      </c>
      <c r="E42" s="161" t="s">
        <v>708</v>
      </c>
      <c r="F42" s="160" t="s">
        <v>707</v>
      </c>
      <c r="G42" s="159" t="s">
        <v>706</v>
      </c>
      <c r="H42" s="158"/>
      <c r="I42" s="158"/>
      <c r="J42" s="158"/>
      <c r="K42" s="158"/>
      <c r="L42" s="158"/>
      <c r="M42" s="158"/>
      <c r="N42" s="157"/>
      <c r="O42" s="64">
        <v>0</v>
      </c>
    </row>
    <row r="43" spans="1:20" s="64" customFormat="1" ht="18" x14ac:dyDescent="0.2">
      <c r="A43" s="119"/>
      <c r="B43" s="119"/>
      <c r="C43" s="119"/>
      <c r="D43" s="119"/>
      <c r="E43" s="119"/>
      <c r="F43" s="119"/>
      <c r="G43" s="155" t="s">
        <v>705</v>
      </c>
      <c r="H43" s="155" t="s">
        <v>704</v>
      </c>
      <c r="I43" s="155" t="s">
        <v>703</v>
      </c>
      <c r="J43" s="155" t="s">
        <v>702</v>
      </c>
      <c r="K43" s="155" t="s">
        <v>701</v>
      </c>
      <c r="L43" s="156" t="s">
        <v>700</v>
      </c>
      <c r="M43" s="155" t="s">
        <v>699</v>
      </c>
      <c r="N43" s="155" t="s">
        <v>698</v>
      </c>
      <c r="O43" s="155" t="s">
        <v>643</v>
      </c>
      <c r="P43" s="101" t="s">
        <v>697</v>
      </c>
      <c r="Q43" s="101"/>
      <c r="R43" s="101"/>
      <c r="S43" s="64" t="s">
        <v>696</v>
      </c>
    </row>
    <row r="44" spans="1:20" s="64" customFormat="1" ht="18" x14ac:dyDescent="0.2">
      <c r="A44" s="148" t="s">
        <v>695</v>
      </c>
      <c r="B44" s="147">
        <v>1980</v>
      </c>
      <c r="C44" s="146">
        <v>26197</v>
      </c>
      <c r="D44" s="145">
        <v>26197</v>
      </c>
      <c r="E44" s="144" t="s">
        <v>664</v>
      </c>
      <c r="F44" s="143" t="s">
        <v>663</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694</v>
      </c>
      <c r="B45" s="147">
        <v>3450</v>
      </c>
      <c r="C45" s="146">
        <v>29238</v>
      </c>
      <c r="D45" s="145">
        <v>29238</v>
      </c>
      <c r="E45" s="144" t="s">
        <v>664</v>
      </c>
      <c r="F45" s="143" t="s">
        <v>663</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693</v>
      </c>
      <c r="B46" s="147">
        <v>1895</v>
      </c>
      <c r="C46" s="146">
        <v>25700</v>
      </c>
      <c r="D46" s="145">
        <v>25700</v>
      </c>
      <c r="E46" s="144" t="s">
        <v>664</v>
      </c>
      <c r="F46" s="143" t="s">
        <v>663</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692</v>
      </c>
      <c r="B47" s="147">
        <v>3840</v>
      </c>
      <c r="C47" s="146">
        <v>32417</v>
      </c>
      <c r="D47" s="145">
        <v>32417</v>
      </c>
      <c r="E47" s="144" t="s">
        <v>664</v>
      </c>
      <c r="F47" s="143" t="s">
        <v>663</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691</v>
      </c>
      <c r="B48" s="147">
        <v>2850</v>
      </c>
      <c r="C48" s="146">
        <v>27886</v>
      </c>
      <c r="D48" s="145">
        <v>27886</v>
      </c>
      <c r="E48" s="144" t="s">
        <v>664</v>
      </c>
      <c r="F48" s="143" t="s">
        <v>663</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690</v>
      </c>
      <c r="B49" s="147">
        <v>3558</v>
      </c>
      <c r="C49" s="146">
        <v>31403</v>
      </c>
      <c r="D49" s="145">
        <v>31403</v>
      </c>
      <c r="E49" s="144" t="s">
        <v>664</v>
      </c>
      <c r="F49" s="143" t="s">
        <v>663</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689</v>
      </c>
      <c r="B50" s="147">
        <v>3690</v>
      </c>
      <c r="C50" s="146">
        <v>32115</v>
      </c>
      <c r="D50" s="145">
        <v>32115</v>
      </c>
      <c r="E50" s="144" t="s">
        <v>664</v>
      </c>
      <c r="F50" s="143" t="s">
        <v>663</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688</v>
      </c>
      <c r="B51" s="147">
        <v>3843</v>
      </c>
      <c r="C51" s="146">
        <v>35156</v>
      </c>
      <c r="D51" s="145">
        <v>35156</v>
      </c>
      <c r="E51" s="144" t="s">
        <v>664</v>
      </c>
      <c r="F51" s="143" t="s">
        <v>663</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687</v>
      </c>
      <c r="B52" s="147">
        <v>3450</v>
      </c>
      <c r="C52" s="146">
        <v>29127</v>
      </c>
      <c r="D52" s="145">
        <v>29127</v>
      </c>
      <c r="E52" s="144" t="s">
        <v>664</v>
      </c>
      <c r="F52" s="143" t="s">
        <v>663</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686</v>
      </c>
      <c r="B53" s="147">
        <v>4764</v>
      </c>
      <c r="C53" s="146">
        <v>42238</v>
      </c>
      <c r="D53" s="145">
        <v>42239</v>
      </c>
      <c r="E53" s="144" t="s">
        <v>664</v>
      </c>
      <c r="F53" s="143" t="s">
        <v>663</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685</v>
      </c>
      <c r="B54" s="147">
        <v>3510</v>
      </c>
      <c r="C54" s="146">
        <v>31199</v>
      </c>
      <c r="D54" s="145">
        <v>31199</v>
      </c>
      <c r="E54" s="144" t="s">
        <v>664</v>
      </c>
      <c r="F54" s="143" t="s">
        <v>663</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559</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684</v>
      </c>
      <c r="B56" s="147">
        <v>1800</v>
      </c>
      <c r="C56" s="146">
        <v>30884</v>
      </c>
      <c r="D56" s="145">
        <v>30884</v>
      </c>
      <c r="E56" s="144" t="s">
        <v>683</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682</v>
      </c>
      <c r="B57" s="152">
        <v>171</v>
      </c>
      <c r="C57" s="151">
        <v>27893</v>
      </c>
      <c r="D57" s="150">
        <v>27893</v>
      </c>
      <c r="E57" s="149" t="s">
        <v>678</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681</v>
      </c>
      <c r="B58" s="147">
        <v>1327</v>
      </c>
      <c r="C58" s="146">
        <v>39356</v>
      </c>
      <c r="D58" s="145">
        <v>39356</v>
      </c>
      <c r="E58" s="144" t="s">
        <v>678</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680</v>
      </c>
      <c r="B59" s="147">
        <v>740</v>
      </c>
      <c r="C59" s="146">
        <v>39356</v>
      </c>
      <c r="D59" s="145">
        <v>39356</v>
      </c>
      <c r="E59" s="144" t="s">
        <v>678</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679</v>
      </c>
      <c r="B60" s="152">
        <v>171</v>
      </c>
      <c r="C60" s="151">
        <v>28033</v>
      </c>
      <c r="D60" s="150">
        <v>28033</v>
      </c>
      <c r="E60" s="149" t="s">
        <v>678</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677</v>
      </c>
      <c r="B61" s="147">
        <v>42</v>
      </c>
      <c r="C61" s="146">
        <v>31048</v>
      </c>
      <c r="D61" s="145">
        <v>31048</v>
      </c>
      <c r="E61" s="144" t="s">
        <v>671</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676</v>
      </c>
      <c r="B62" s="147">
        <v>6</v>
      </c>
      <c r="C62" s="146">
        <v>28887</v>
      </c>
      <c r="D62" s="145">
        <v>28887</v>
      </c>
      <c r="E62" s="144" t="s">
        <v>671</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675</v>
      </c>
      <c r="B63" s="147">
        <v>360</v>
      </c>
      <c r="C63" s="146">
        <v>26184</v>
      </c>
      <c r="D63" s="145">
        <v>26184</v>
      </c>
      <c r="E63" s="144" t="s">
        <v>671</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674</v>
      </c>
      <c r="B64" s="147">
        <v>2</v>
      </c>
      <c r="C64" s="146">
        <v>30376</v>
      </c>
      <c r="D64" s="145">
        <v>30376</v>
      </c>
      <c r="E64" s="144" t="s">
        <v>671</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673</v>
      </c>
      <c r="B65" s="147">
        <v>11</v>
      </c>
      <c r="C65" s="146">
        <v>28946</v>
      </c>
      <c r="D65" s="145">
        <v>28946</v>
      </c>
      <c r="E65" s="144" t="s">
        <v>671</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672</v>
      </c>
      <c r="B66" s="147">
        <v>240</v>
      </c>
      <c r="C66" s="146">
        <v>28126</v>
      </c>
      <c r="D66" s="145">
        <v>28126</v>
      </c>
      <c r="E66" s="144" t="s">
        <v>671</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670</v>
      </c>
      <c r="B67" s="147">
        <v>1000</v>
      </c>
      <c r="C67" s="146">
        <v>29754</v>
      </c>
      <c r="D67" s="145">
        <v>29754</v>
      </c>
      <c r="E67" s="144" t="s">
        <v>668</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669</v>
      </c>
      <c r="B68" s="147">
        <v>400</v>
      </c>
      <c r="C68" s="146">
        <v>32251</v>
      </c>
      <c r="D68" s="145">
        <v>32251</v>
      </c>
      <c r="E68" s="144" t="s">
        <v>668</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667</v>
      </c>
      <c r="B69" s="147">
        <v>1600</v>
      </c>
      <c r="C69" s="146">
        <v>24462</v>
      </c>
      <c r="D69" s="145">
        <v>38504</v>
      </c>
      <c r="E69" s="144" t="s">
        <v>664</v>
      </c>
      <c r="F69" s="143" t="s">
        <v>663</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666</v>
      </c>
      <c r="B70" s="147">
        <v>1200</v>
      </c>
      <c r="C70" s="146">
        <v>25384</v>
      </c>
      <c r="D70" s="145">
        <v>25384</v>
      </c>
      <c r="E70" s="144" t="s">
        <v>664</v>
      </c>
      <c r="F70" s="143" t="s">
        <v>663</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665</v>
      </c>
      <c r="B71" s="147">
        <v>1000</v>
      </c>
      <c r="C71" s="146">
        <v>22591</v>
      </c>
      <c r="D71" s="145">
        <v>22591</v>
      </c>
      <c r="E71" s="144" t="s">
        <v>664</v>
      </c>
      <c r="F71" s="143" t="s">
        <v>663</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662</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756</v>
      </c>
    </row>
    <row r="2" spans="1:13" x14ac:dyDescent="0.2">
      <c r="B2" s="64" t="s">
        <v>755</v>
      </c>
      <c r="C2" s="64" t="s">
        <v>754</v>
      </c>
      <c r="D2" s="64" t="s">
        <v>753</v>
      </c>
      <c r="E2" s="64" t="s">
        <v>752</v>
      </c>
      <c r="F2" s="64" t="s">
        <v>751</v>
      </c>
      <c r="G2" s="64" t="s">
        <v>750</v>
      </c>
      <c r="H2" s="64" t="s">
        <v>749</v>
      </c>
      <c r="I2" s="64" t="s">
        <v>748</v>
      </c>
      <c r="J2" s="64" t="s">
        <v>747</v>
      </c>
      <c r="K2" s="64" t="s">
        <v>746</v>
      </c>
      <c r="L2" s="64" t="s">
        <v>745</v>
      </c>
      <c r="M2" s="64" t="s">
        <v>744</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764</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514</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447</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448</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458</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508</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451</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497</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452</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483</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449</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476</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455</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460</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468</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559</v>
      </c>
      <c r="D19" s="64">
        <v>2069</v>
      </c>
      <c r="M19" s="64">
        <v>6</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763</v>
      </c>
      <c r="C22" s="64" t="s">
        <v>762</v>
      </c>
      <c r="E22" s="182">
        <v>43949</v>
      </c>
    </row>
    <row r="23" spans="1:45" x14ac:dyDescent="0.2">
      <c r="B23" s="64" t="s">
        <v>761</v>
      </c>
    </row>
    <row r="24" spans="1:45" x14ac:dyDescent="0.2">
      <c r="B24" s="64" t="s">
        <v>760</v>
      </c>
      <c r="C24" s="64" t="s">
        <v>759</v>
      </c>
    </row>
    <row r="25" spans="1:45" x14ac:dyDescent="0.2">
      <c r="C25" s="64" t="s">
        <v>758</v>
      </c>
    </row>
    <row r="101" spans="4:4" x14ac:dyDescent="0.2">
      <c r="D101" s="64" t="s">
        <v>757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1070</v>
      </c>
      <c r="B1" s="205" t="s">
        <v>1069</v>
      </c>
      <c r="C1" s="205" t="s">
        <v>1068</v>
      </c>
      <c r="D1" s="205" t="s">
        <v>1067</v>
      </c>
      <c r="E1" s="205" t="s">
        <v>1066</v>
      </c>
      <c r="F1" s="206" t="s">
        <v>137</v>
      </c>
      <c r="G1" s="205" t="s">
        <v>1065</v>
      </c>
      <c r="H1" s="204" t="s">
        <v>1064</v>
      </c>
      <c r="I1" s="204" t="s">
        <v>1063</v>
      </c>
      <c r="J1" s="204" t="s">
        <v>1062</v>
      </c>
      <c r="K1" s="204" t="s">
        <v>1061</v>
      </c>
      <c r="L1" s="204" t="s">
        <v>1060</v>
      </c>
      <c r="M1" s="204" t="s">
        <v>1059</v>
      </c>
      <c r="N1" s="204" t="s">
        <v>1058</v>
      </c>
      <c r="O1" s="204" t="s">
        <v>1057</v>
      </c>
    </row>
    <row r="2" spans="1:17" x14ac:dyDescent="0.25">
      <c r="A2" s="203" t="s">
        <v>1056</v>
      </c>
      <c r="B2" s="203" t="s">
        <v>1055</v>
      </c>
      <c r="C2" s="202" t="s">
        <v>770</v>
      </c>
      <c r="D2" s="202" t="s">
        <v>1054</v>
      </c>
      <c r="E2" s="202" t="s">
        <v>1053</v>
      </c>
      <c r="F2" s="201" t="s">
        <v>767</v>
      </c>
      <c r="G2" s="200">
        <v>2017</v>
      </c>
      <c r="H2" s="199">
        <v>0.8</v>
      </c>
      <c r="I2" s="199">
        <v>6714</v>
      </c>
      <c r="J2" s="199">
        <v>0</v>
      </c>
      <c r="K2" s="199">
        <v>6714</v>
      </c>
      <c r="L2" s="199">
        <v>618.04499999999996</v>
      </c>
      <c r="M2" s="199">
        <v>6714</v>
      </c>
      <c r="N2" s="199">
        <v>7332.0450000000001</v>
      </c>
      <c r="O2" s="199">
        <v>0</v>
      </c>
    </row>
    <row r="3" spans="1:17" ht="24.75" x14ac:dyDescent="0.25">
      <c r="A3" s="198" t="s">
        <v>1052</v>
      </c>
      <c r="B3" s="196" t="s">
        <v>1051</v>
      </c>
      <c r="C3" s="195" t="s">
        <v>770</v>
      </c>
      <c r="D3" s="195" t="s">
        <v>1050</v>
      </c>
      <c r="E3" s="195" t="s">
        <v>768</v>
      </c>
      <c r="F3" s="194" t="s">
        <v>767</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1049</v>
      </c>
      <c r="B4" s="196" t="s">
        <v>1048</v>
      </c>
      <c r="C4" s="195" t="s">
        <v>770</v>
      </c>
      <c r="D4" s="195" t="s">
        <v>1047</v>
      </c>
      <c r="E4" s="195" t="s">
        <v>773</v>
      </c>
      <c r="F4" s="194" t="s">
        <v>767</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829</v>
      </c>
      <c r="B5" s="196" t="s">
        <v>1046</v>
      </c>
      <c r="C5" s="195" t="s">
        <v>770</v>
      </c>
      <c r="D5" s="195" t="s">
        <v>1045</v>
      </c>
      <c r="E5" s="195" t="s">
        <v>773</v>
      </c>
      <c r="F5" s="194" t="s">
        <v>767</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1044</v>
      </c>
      <c r="B6" s="196" t="s">
        <v>1043</v>
      </c>
      <c r="C6" s="195" t="s">
        <v>770</v>
      </c>
      <c r="D6" s="195" t="s">
        <v>1042</v>
      </c>
      <c r="E6" s="195" t="s">
        <v>773</v>
      </c>
      <c r="F6" s="194" t="s">
        <v>767</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1041</v>
      </c>
      <c r="B7" s="196" t="s">
        <v>1040</v>
      </c>
      <c r="C7" s="195" t="s">
        <v>770</v>
      </c>
      <c r="D7" s="195" t="s">
        <v>531</v>
      </c>
      <c r="E7" s="195" t="s">
        <v>146</v>
      </c>
      <c r="F7" s="194" t="s">
        <v>767</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1039</v>
      </c>
      <c r="B8" s="196" t="s">
        <v>1038</v>
      </c>
      <c r="C8" s="195" t="s">
        <v>770</v>
      </c>
      <c r="D8" s="195" t="s">
        <v>1037</v>
      </c>
      <c r="E8" s="195" t="s">
        <v>253</v>
      </c>
      <c r="F8" s="194" t="s">
        <v>767</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1036</v>
      </c>
      <c r="B9" s="196" t="s">
        <v>1035</v>
      </c>
      <c r="C9" s="195" t="s">
        <v>770</v>
      </c>
      <c r="D9" s="195" t="s">
        <v>1034</v>
      </c>
      <c r="E9" s="195" t="s">
        <v>253</v>
      </c>
      <c r="F9" s="194" t="s">
        <v>767</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1033</v>
      </c>
      <c r="B10" s="196" t="s">
        <v>1032</v>
      </c>
      <c r="C10" s="195" t="s">
        <v>770</v>
      </c>
      <c r="D10" s="195" t="s">
        <v>1031</v>
      </c>
      <c r="E10" s="195" t="s">
        <v>773</v>
      </c>
      <c r="F10" s="194" t="s">
        <v>767</v>
      </c>
      <c r="G10" s="193">
        <v>2017</v>
      </c>
      <c r="H10" s="191">
        <v>9</v>
      </c>
      <c r="I10" s="191">
        <v>19617.45</v>
      </c>
      <c r="J10" s="191">
        <v>95.742999999999995</v>
      </c>
      <c r="K10" s="191">
        <v>19713.193000000003</v>
      </c>
      <c r="L10" s="191">
        <v>0</v>
      </c>
      <c r="M10" s="191">
        <v>19617.45</v>
      </c>
      <c r="N10" s="191">
        <v>0</v>
      </c>
      <c r="O10" s="191">
        <v>19617.45</v>
      </c>
    </row>
    <row r="11" spans="1:17" x14ac:dyDescent="0.25">
      <c r="A11" s="196" t="s">
        <v>1030</v>
      </c>
      <c r="B11" s="196" t="s">
        <v>1029</v>
      </c>
      <c r="C11" s="195" t="s">
        <v>770</v>
      </c>
      <c r="D11" s="195" t="s">
        <v>1028</v>
      </c>
      <c r="E11" s="195" t="s">
        <v>833</v>
      </c>
      <c r="F11" s="194" t="s">
        <v>767</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1026</v>
      </c>
      <c r="B12" s="196" t="s">
        <v>1025</v>
      </c>
      <c r="C12" s="195" t="s">
        <v>770</v>
      </c>
      <c r="D12" s="195" t="s">
        <v>1027</v>
      </c>
      <c r="E12" s="195" t="s">
        <v>802</v>
      </c>
      <c r="F12" s="194" t="s">
        <v>767</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1026</v>
      </c>
      <c r="B13" s="196" t="s">
        <v>1025</v>
      </c>
      <c r="C13" s="195" t="s">
        <v>770</v>
      </c>
      <c r="D13" s="195" t="s">
        <v>1024</v>
      </c>
      <c r="E13" s="195" t="s">
        <v>802</v>
      </c>
      <c r="F13" s="194" t="s">
        <v>767</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1023</v>
      </c>
      <c r="B14" s="196" t="s">
        <v>1022</v>
      </c>
      <c r="C14" s="195" t="s">
        <v>770</v>
      </c>
      <c r="D14" s="195" t="s">
        <v>1021</v>
      </c>
      <c r="E14" s="195" t="s">
        <v>253</v>
      </c>
      <c r="F14" s="194" t="s">
        <v>767</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1020</v>
      </c>
      <c r="B15" s="196" t="s">
        <v>1019</v>
      </c>
      <c r="C15" s="195" t="s">
        <v>770</v>
      </c>
      <c r="D15" s="195" t="s">
        <v>1018</v>
      </c>
      <c r="E15" s="195" t="s">
        <v>130</v>
      </c>
      <c r="F15" s="194" t="s">
        <v>767</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1017</v>
      </c>
      <c r="B16" s="196" t="s">
        <v>1016</v>
      </c>
      <c r="C16" s="195" t="s">
        <v>770</v>
      </c>
      <c r="D16" s="195" t="s">
        <v>1015</v>
      </c>
      <c r="E16" s="195" t="s">
        <v>253</v>
      </c>
      <c r="F16" s="194" t="s">
        <v>767</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1012</v>
      </c>
      <c r="B17" s="196" t="s">
        <v>1011</v>
      </c>
      <c r="C17" s="195" t="s">
        <v>804</v>
      </c>
      <c r="D17" s="195" t="s">
        <v>1014</v>
      </c>
      <c r="E17" s="195" t="s">
        <v>833</v>
      </c>
      <c r="F17" s="194" t="s">
        <v>767</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1012</v>
      </c>
      <c r="B18" s="196" t="s">
        <v>1011</v>
      </c>
      <c r="C18" s="195" t="s">
        <v>804</v>
      </c>
      <c r="D18" s="195" t="s">
        <v>1013</v>
      </c>
      <c r="E18" s="195" t="s">
        <v>833</v>
      </c>
      <c r="F18" s="194" t="s">
        <v>767</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1012</v>
      </c>
      <c r="B19" s="196" t="s">
        <v>1011</v>
      </c>
      <c r="C19" s="195" t="s">
        <v>804</v>
      </c>
      <c r="D19" s="195" t="s">
        <v>1010</v>
      </c>
      <c r="E19" s="195" t="s">
        <v>964</v>
      </c>
      <c r="F19" s="194" t="s">
        <v>767</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1008</v>
      </c>
      <c r="B20" s="196" t="s">
        <v>1007</v>
      </c>
      <c r="C20" s="195" t="s">
        <v>804</v>
      </c>
      <c r="D20" s="195" t="s">
        <v>1009</v>
      </c>
      <c r="E20" s="195" t="s">
        <v>146</v>
      </c>
      <c r="F20" s="194" t="s">
        <v>767</v>
      </c>
      <c r="G20" s="193">
        <v>2017</v>
      </c>
      <c r="H20" s="191">
        <v>300</v>
      </c>
      <c r="I20" s="191">
        <v>0</v>
      </c>
      <c r="J20" s="191">
        <v>0</v>
      </c>
      <c r="K20" s="191">
        <v>0</v>
      </c>
      <c r="L20" s="191">
        <v>5114.3999999999996</v>
      </c>
      <c r="M20" s="191">
        <v>-5114.3999999999996</v>
      </c>
      <c r="N20" s="191">
        <v>0</v>
      </c>
      <c r="O20" s="191">
        <v>-5114.3999999999996</v>
      </c>
    </row>
    <row r="21" spans="1:16" x14ac:dyDescent="0.25">
      <c r="A21" s="196" t="s">
        <v>1008</v>
      </c>
      <c r="B21" s="196" t="s">
        <v>1007</v>
      </c>
      <c r="C21" s="195" t="s">
        <v>804</v>
      </c>
      <c r="D21" s="195" t="s">
        <v>1006</v>
      </c>
      <c r="E21" s="195" t="s">
        <v>1005</v>
      </c>
      <c r="F21" s="194" t="s">
        <v>767</v>
      </c>
      <c r="G21" s="193">
        <v>2017</v>
      </c>
      <c r="H21" s="191">
        <v>204</v>
      </c>
      <c r="I21" s="191">
        <v>20347</v>
      </c>
      <c r="J21" s="191">
        <v>0</v>
      </c>
      <c r="K21" s="191">
        <v>20347</v>
      </c>
      <c r="L21" s="191">
        <v>1434</v>
      </c>
      <c r="M21" s="191">
        <v>18913</v>
      </c>
      <c r="N21" s="191">
        <v>5389</v>
      </c>
      <c r="O21" s="191">
        <v>13524</v>
      </c>
    </row>
    <row r="22" spans="1:16" x14ac:dyDescent="0.25">
      <c r="A22" s="196" t="s">
        <v>1004</v>
      </c>
      <c r="B22" s="196" t="s">
        <v>1003</v>
      </c>
      <c r="C22" s="195" t="s">
        <v>770</v>
      </c>
      <c r="D22" s="195" t="s">
        <v>1002</v>
      </c>
      <c r="E22" s="195" t="s">
        <v>802</v>
      </c>
      <c r="F22" s="194" t="s">
        <v>767</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1001</v>
      </c>
      <c r="B23" s="196" t="s">
        <v>1000</v>
      </c>
      <c r="C23" s="195" t="s">
        <v>770</v>
      </c>
      <c r="D23" s="195" t="s">
        <v>1000</v>
      </c>
      <c r="E23" s="195" t="s">
        <v>773</v>
      </c>
      <c r="F23" s="194" t="s">
        <v>767</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999</v>
      </c>
      <c r="B24" s="196" t="s">
        <v>998</v>
      </c>
      <c r="C24" s="195" t="s">
        <v>770</v>
      </c>
      <c r="D24" s="195" t="s">
        <v>997</v>
      </c>
      <c r="E24" s="195" t="s">
        <v>253</v>
      </c>
      <c r="F24" s="194" t="s">
        <v>767</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996</v>
      </c>
      <c r="B25" s="196" t="s">
        <v>995</v>
      </c>
      <c r="C25" s="195" t="s">
        <v>770</v>
      </c>
      <c r="D25" s="195" t="s">
        <v>994</v>
      </c>
      <c r="E25" s="195" t="s">
        <v>773</v>
      </c>
      <c r="F25" s="194" t="s">
        <v>767</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993</v>
      </c>
      <c r="B26" s="196" t="s">
        <v>992</v>
      </c>
      <c r="C26" s="195" t="s">
        <v>770</v>
      </c>
      <c r="D26" s="195" t="s">
        <v>991</v>
      </c>
      <c r="E26" s="195" t="s">
        <v>253</v>
      </c>
      <c r="F26" s="194" t="s">
        <v>767</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990</v>
      </c>
      <c r="B27" s="196" t="s">
        <v>989</v>
      </c>
      <c r="C27" s="195" t="s">
        <v>770</v>
      </c>
      <c r="D27" s="195" t="s">
        <v>988</v>
      </c>
      <c r="E27" s="195" t="s">
        <v>970</v>
      </c>
      <c r="F27" s="194" t="s">
        <v>767</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987</v>
      </c>
      <c r="B28" s="196" t="s">
        <v>986</v>
      </c>
      <c r="C28" s="195" t="s">
        <v>770</v>
      </c>
      <c r="D28" s="195" t="s">
        <v>985</v>
      </c>
      <c r="E28" s="195" t="s">
        <v>253</v>
      </c>
      <c r="F28" s="194" t="s">
        <v>767</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984</v>
      </c>
      <c r="B29" s="196" t="s">
        <v>983</v>
      </c>
      <c r="C29" s="195" t="s">
        <v>770</v>
      </c>
      <c r="D29" s="195" t="s">
        <v>982</v>
      </c>
      <c r="E29" s="195" t="s">
        <v>773</v>
      </c>
      <c r="F29" s="194" t="s">
        <v>767</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981</v>
      </c>
      <c r="B30" s="196" t="s">
        <v>980</v>
      </c>
      <c r="C30" s="195" t="s">
        <v>770</v>
      </c>
      <c r="D30" s="195" t="s">
        <v>979</v>
      </c>
      <c r="E30" s="195" t="s">
        <v>253</v>
      </c>
      <c r="F30" s="194" t="s">
        <v>767</v>
      </c>
      <c r="G30" s="193">
        <v>2017</v>
      </c>
      <c r="H30" s="191">
        <v>1.8</v>
      </c>
      <c r="I30" s="191">
        <v>5525.45</v>
      </c>
      <c r="J30" s="191">
        <v>0</v>
      </c>
      <c r="K30" s="191">
        <v>5525.45</v>
      </c>
      <c r="L30" s="191">
        <v>0</v>
      </c>
      <c r="M30" s="191">
        <v>5525.45</v>
      </c>
      <c r="N30" s="191">
        <v>0</v>
      </c>
      <c r="O30" s="191">
        <v>5525.45</v>
      </c>
    </row>
    <row r="31" spans="1:16" x14ac:dyDescent="0.25">
      <c r="A31" s="196" t="s">
        <v>977</v>
      </c>
      <c r="B31" s="196" t="s">
        <v>976</v>
      </c>
      <c r="C31" s="195" t="s">
        <v>770</v>
      </c>
      <c r="D31" s="195" t="s">
        <v>978</v>
      </c>
      <c r="E31" s="195" t="s">
        <v>974</v>
      </c>
      <c r="F31" s="194" t="s">
        <v>767</v>
      </c>
      <c r="G31" s="193">
        <v>2017</v>
      </c>
      <c r="H31" s="191">
        <v>3</v>
      </c>
      <c r="I31" s="191">
        <v>27959.786</v>
      </c>
      <c r="J31" s="191">
        <v>0</v>
      </c>
      <c r="K31" s="191">
        <v>27959.786</v>
      </c>
      <c r="L31" s="191">
        <v>0</v>
      </c>
      <c r="M31" s="191">
        <v>27959.786</v>
      </c>
      <c r="N31" s="191">
        <v>0</v>
      </c>
      <c r="O31" s="191">
        <v>27959.786</v>
      </c>
    </row>
    <row r="32" spans="1:16" x14ac:dyDescent="0.25">
      <c r="A32" s="196" t="s">
        <v>977</v>
      </c>
      <c r="B32" s="196" t="s">
        <v>976</v>
      </c>
      <c r="C32" s="195" t="s">
        <v>770</v>
      </c>
      <c r="D32" s="195" t="s">
        <v>975</v>
      </c>
      <c r="E32" s="195" t="s">
        <v>974</v>
      </c>
      <c r="F32" s="194" t="s">
        <v>767</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973</v>
      </c>
      <c r="B33" s="196" t="s">
        <v>972</v>
      </c>
      <c r="C33" s="195" t="s">
        <v>770</v>
      </c>
      <c r="D33" s="195" t="s">
        <v>971</v>
      </c>
      <c r="E33" s="195" t="s">
        <v>773</v>
      </c>
      <c r="F33" s="194" t="s">
        <v>767</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963</v>
      </c>
      <c r="B34" s="196" t="s">
        <v>962</v>
      </c>
      <c r="C34" s="195" t="s">
        <v>530</v>
      </c>
      <c r="D34" s="195" t="s">
        <v>458</v>
      </c>
      <c r="E34" s="195" t="s">
        <v>146</v>
      </c>
      <c r="F34" s="194" t="s">
        <v>767</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963</v>
      </c>
      <c r="B35" s="196" t="s">
        <v>962</v>
      </c>
      <c r="C35" s="195" t="s">
        <v>530</v>
      </c>
      <c r="D35" s="195" t="s">
        <v>514</v>
      </c>
      <c r="E35" s="195" t="s">
        <v>146</v>
      </c>
      <c r="F35" s="194" t="s">
        <v>767</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963</v>
      </c>
      <c r="B36" s="196" t="s">
        <v>962</v>
      </c>
      <c r="C36" s="195" t="s">
        <v>530</v>
      </c>
      <c r="D36" s="195" t="s">
        <v>508</v>
      </c>
      <c r="E36" s="195" t="s">
        <v>146</v>
      </c>
      <c r="F36" s="194" t="s">
        <v>767</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963</v>
      </c>
      <c r="B37" s="196" t="s">
        <v>962</v>
      </c>
      <c r="C37" s="195" t="s">
        <v>530</v>
      </c>
      <c r="D37" s="195" t="s">
        <v>447</v>
      </c>
      <c r="E37" s="195" t="s">
        <v>146</v>
      </c>
      <c r="F37" s="194" t="s">
        <v>767</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963</v>
      </c>
      <c r="B38" s="196" t="s">
        <v>962</v>
      </c>
      <c r="C38" s="195" t="s">
        <v>530</v>
      </c>
      <c r="D38" s="195" t="s">
        <v>451</v>
      </c>
      <c r="E38" s="195" t="s">
        <v>146</v>
      </c>
      <c r="F38" s="194" t="s">
        <v>767</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963</v>
      </c>
      <c r="B39" s="196" t="s">
        <v>962</v>
      </c>
      <c r="C39" s="195" t="s">
        <v>530</v>
      </c>
      <c r="D39" s="195" t="s">
        <v>497</v>
      </c>
      <c r="E39" s="195" t="s">
        <v>146</v>
      </c>
      <c r="F39" s="194" t="s">
        <v>767</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963</v>
      </c>
      <c r="B40" s="196" t="s">
        <v>962</v>
      </c>
      <c r="C40" s="195" t="s">
        <v>530</v>
      </c>
      <c r="D40" s="195" t="s">
        <v>448</v>
      </c>
      <c r="E40" s="195" t="s">
        <v>146</v>
      </c>
      <c r="F40" s="194" t="s">
        <v>767</v>
      </c>
      <c r="G40" s="193">
        <v>2017</v>
      </c>
      <c r="H40" s="191">
        <v>1000</v>
      </c>
      <c r="I40" s="191">
        <v>2598873.14</v>
      </c>
      <c r="J40" s="191">
        <v>180096.81</v>
      </c>
      <c r="K40" s="191">
        <v>2418776.33</v>
      </c>
      <c r="L40" s="191">
        <v>0</v>
      </c>
      <c r="M40" s="191">
        <v>2418776.33</v>
      </c>
      <c r="N40" s="191">
        <v>0</v>
      </c>
      <c r="O40" s="191">
        <v>2418776.33</v>
      </c>
    </row>
    <row r="41" spans="1:16" x14ac:dyDescent="0.25">
      <c r="A41" s="196" t="s">
        <v>963</v>
      </c>
      <c r="B41" s="196" t="s">
        <v>962</v>
      </c>
      <c r="C41" s="195" t="s">
        <v>530</v>
      </c>
      <c r="D41" s="195" t="s">
        <v>452</v>
      </c>
      <c r="E41" s="195" t="s">
        <v>146</v>
      </c>
      <c r="F41" s="194" t="s">
        <v>767</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963</v>
      </c>
      <c r="B42" s="196" t="s">
        <v>962</v>
      </c>
      <c r="C42" s="195" t="s">
        <v>530</v>
      </c>
      <c r="D42" s="195" t="s">
        <v>483</v>
      </c>
      <c r="E42" s="195" t="s">
        <v>146</v>
      </c>
      <c r="F42" s="194" t="s">
        <v>767</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963</v>
      </c>
      <c r="B43" s="196" t="s">
        <v>962</v>
      </c>
      <c r="C43" s="195" t="s">
        <v>530</v>
      </c>
      <c r="D43" s="195" t="s">
        <v>449</v>
      </c>
      <c r="E43" s="195" t="s">
        <v>146</v>
      </c>
      <c r="F43" s="194" t="s">
        <v>767</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963</v>
      </c>
      <c r="B44" s="196" t="s">
        <v>962</v>
      </c>
      <c r="C44" s="195" t="s">
        <v>530</v>
      </c>
      <c r="D44" s="195" t="s">
        <v>476</v>
      </c>
      <c r="E44" s="195" t="s">
        <v>146</v>
      </c>
      <c r="F44" s="194" t="s">
        <v>767</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963</v>
      </c>
      <c r="B45" s="196" t="s">
        <v>962</v>
      </c>
      <c r="C45" s="195" t="s">
        <v>530</v>
      </c>
      <c r="D45" s="195" t="s">
        <v>455</v>
      </c>
      <c r="E45" s="195" t="s">
        <v>146</v>
      </c>
      <c r="F45" s="194" t="s">
        <v>767</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963</v>
      </c>
      <c r="B46" s="196" t="s">
        <v>962</v>
      </c>
      <c r="C46" s="195" t="s">
        <v>530</v>
      </c>
      <c r="D46" s="195" t="s">
        <v>460</v>
      </c>
      <c r="E46" s="195" t="s">
        <v>146</v>
      </c>
      <c r="F46" s="194" t="s">
        <v>767</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963</v>
      </c>
      <c r="B47" s="196" t="s">
        <v>962</v>
      </c>
      <c r="C47" s="195" t="s">
        <v>530</v>
      </c>
      <c r="D47" s="195" t="s">
        <v>584</v>
      </c>
      <c r="E47" s="195" t="s">
        <v>970</v>
      </c>
      <c r="F47" s="194" t="s">
        <v>767</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963</v>
      </c>
      <c r="B48" s="196" t="s">
        <v>962</v>
      </c>
      <c r="C48" s="195" t="s">
        <v>530</v>
      </c>
      <c r="D48" s="195" t="s">
        <v>582</v>
      </c>
      <c r="E48" s="195" t="s">
        <v>970</v>
      </c>
      <c r="F48" s="194" t="s">
        <v>767</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963</v>
      </c>
      <c r="B49" s="196" t="s">
        <v>962</v>
      </c>
      <c r="C49" s="195" t="s">
        <v>530</v>
      </c>
      <c r="D49" s="195" t="s">
        <v>580</v>
      </c>
      <c r="E49" s="195" t="s">
        <v>970</v>
      </c>
      <c r="F49" s="194" t="s">
        <v>767</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963</v>
      </c>
      <c r="B50" s="196" t="s">
        <v>962</v>
      </c>
      <c r="C50" s="195" t="s">
        <v>530</v>
      </c>
      <c r="D50" s="195" t="s">
        <v>578</v>
      </c>
      <c r="E50" s="195" t="s">
        <v>970</v>
      </c>
      <c r="F50" s="194" t="s">
        <v>767</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963</v>
      </c>
      <c r="B51" s="196" t="s">
        <v>962</v>
      </c>
      <c r="C51" s="195" t="s">
        <v>530</v>
      </c>
      <c r="D51" s="195" t="s">
        <v>574</v>
      </c>
      <c r="E51" s="195" t="s">
        <v>802</v>
      </c>
      <c r="F51" s="194" t="s">
        <v>767</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963</v>
      </c>
      <c r="B52" s="196" t="s">
        <v>962</v>
      </c>
      <c r="C52" s="195" t="s">
        <v>530</v>
      </c>
      <c r="D52" s="195" t="s">
        <v>969</v>
      </c>
      <c r="E52" s="195" t="s">
        <v>802</v>
      </c>
      <c r="F52" s="194" t="s">
        <v>767</v>
      </c>
      <c r="G52" s="193">
        <v>2017</v>
      </c>
      <c r="H52" s="191">
        <v>240</v>
      </c>
      <c r="I52" s="191">
        <v>351159</v>
      </c>
      <c r="J52" s="191">
        <v>2565.7999999999993</v>
      </c>
      <c r="K52" s="191">
        <v>348593.2</v>
      </c>
      <c r="L52" s="191">
        <v>0</v>
      </c>
      <c r="M52" s="191">
        <v>348593.2</v>
      </c>
      <c r="N52" s="191">
        <v>0</v>
      </c>
      <c r="O52" s="191">
        <v>348593.2</v>
      </c>
    </row>
    <row r="53" spans="1:16" x14ac:dyDescent="0.25">
      <c r="A53" s="196" t="s">
        <v>963</v>
      </c>
      <c r="B53" s="196" t="s">
        <v>962</v>
      </c>
      <c r="C53" s="195" t="s">
        <v>530</v>
      </c>
      <c r="D53" s="195" t="s">
        <v>586</v>
      </c>
      <c r="E53" s="195" t="s">
        <v>968</v>
      </c>
      <c r="F53" s="194" t="s">
        <v>767</v>
      </c>
      <c r="G53" s="193">
        <v>2017</v>
      </c>
      <c r="H53" s="191">
        <v>1870</v>
      </c>
      <c r="I53" s="191">
        <v>15743187</v>
      </c>
      <c r="J53" s="191">
        <v>656303</v>
      </c>
      <c r="K53" s="191">
        <v>15086884</v>
      </c>
      <c r="L53" s="191">
        <v>0</v>
      </c>
      <c r="M53" s="191">
        <v>15086884</v>
      </c>
      <c r="N53" s="191">
        <v>0</v>
      </c>
      <c r="O53" s="191">
        <v>15086884</v>
      </c>
    </row>
    <row r="54" spans="1:16" x14ac:dyDescent="0.25">
      <c r="A54" s="196" t="s">
        <v>963</v>
      </c>
      <c r="B54" s="196" t="s">
        <v>962</v>
      </c>
      <c r="C54" s="195" t="s">
        <v>530</v>
      </c>
      <c r="D54" s="195" t="s">
        <v>568</v>
      </c>
      <c r="E54" s="195" t="s">
        <v>964</v>
      </c>
      <c r="F54" s="194" t="s">
        <v>767</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963</v>
      </c>
      <c r="B55" s="196" t="s">
        <v>962</v>
      </c>
      <c r="C55" s="195" t="s">
        <v>530</v>
      </c>
      <c r="D55" s="195" t="s">
        <v>566</v>
      </c>
      <c r="E55" s="195" t="s">
        <v>964</v>
      </c>
      <c r="F55" s="194" t="s">
        <v>767</v>
      </c>
      <c r="G55" s="193">
        <v>2017</v>
      </c>
      <c r="H55" s="191">
        <v>400</v>
      </c>
      <c r="I55" s="191">
        <v>589957</v>
      </c>
      <c r="J55" s="191">
        <v>494.97000000001572</v>
      </c>
      <c r="K55" s="191">
        <v>589462.03</v>
      </c>
      <c r="L55" s="191">
        <v>776185.54</v>
      </c>
      <c r="M55" s="191">
        <v>-186723.51</v>
      </c>
      <c r="N55" s="191">
        <v>0</v>
      </c>
      <c r="O55" s="191">
        <v>-186723.51</v>
      </c>
    </row>
    <row r="56" spans="1:16" x14ac:dyDescent="0.25">
      <c r="A56" s="196" t="s">
        <v>963</v>
      </c>
      <c r="B56" s="196" t="s">
        <v>962</v>
      </c>
      <c r="C56" s="195" t="s">
        <v>530</v>
      </c>
      <c r="D56" s="195" t="s">
        <v>572</v>
      </c>
      <c r="E56" s="195" t="s">
        <v>802</v>
      </c>
      <c r="F56" s="194" t="s">
        <v>767</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963</v>
      </c>
      <c r="B57" s="196" t="s">
        <v>962</v>
      </c>
      <c r="C57" s="195" t="s">
        <v>530</v>
      </c>
      <c r="D57" s="195" t="s">
        <v>967</v>
      </c>
      <c r="E57" s="195" t="s">
        <v>802</v>
      </c>
      <c r="F57" s="194" t="s">
        <v>767</v>
      </c>
      <c r="G57" s="193">
        <v>2017</v>
      </c>
      <c r="H57" s="191">
        <v>42</v>
      </c>
      <c r="I57" s="191">
        <v>9291.2019</v>
      </c>
      <c r="J57" s="191">
        <v>0</v>
      </c>
      <c r="K57" s="191">
        <v>9291.2019</v>
      </c>
      <c r="L57" s="191">
        <v>0</v>
      </c>
      <c r="M57" s="191">
        <v>9291.2019</v>
      </c>
      <c r="N57" s="191">
        <v>0</v>
      </c>
      <c r="O57" s="191">
        <v>9291.2019</v>
      </c>
    </row>
    <row r="58" spans="1:16" x14ac:dyDescent="0.25">
      <c r="A58" s="196" t="s">
        <v>963</v>
      </c>
      <c r="B58" s="196" t="s">
        <v>962</v>
      </c>
      <c r="C58" s="195" t="s">
        <v>530</v>
      </c>
      <c r="D58" s="195" t="s">
        <v>575</v>
      </c>
      <c r="E58" s="195" t="s">
        <v>802</v>
      </c>
      <c r="F58" s="194" t="s">
        <v>767</v>
      </c>
      <c r="G58" s="193">
        <v>2017</v>
      </c>
      <c r="H58" s="191">
        <v>6</v>
      </c>
      <c r="I58" s="191">
        <v>0</v>
      </c>
      <c r="J58" s="191">
        <v>0</v>
      </c>
      <c r="K58" s="191">
        <v>0</v>
      </c>
      <c r="L58" s="191">
        <v>0</v>
      </c>
      <c r="M58" s="191">
        <v>0</v>
      </c>
      <c r="N58" s="191">
        <v>0</v>
      </c>
      <c r="O58" s="191">
        <v>0</v>
      </c>
    </row>
    <row r="59" spans="1:16" x14ac:dyDescent="0.25">
      <c r="A59" s="196" t="s">
        <v>963</v>
      </c>
      <c r="B59" s="196" t="s">
        <v>962</v>
      </c>
      <c r="C59" s="195" t="s">
        <v>530</v>
      </c>
      <c r="D59" s="195" t="s">
        <v>571</v>
      </c>
      <c r="E59" s="195" t="s">
        <v>802</v>
      </c>
      <c r="F59" s="194" t="s">
        <v>767</v>
      </c>
      <c r="G59" s="193">
        <v>2017</v>
      </c>
      <c r="H59" s="191">
        <v>11</v>
      </c>
      <c r="I59" s="191">
        <v>0</v>
      </c>
      <c r="J59" s="191">
        <v>0</v>
      </c>
      <c r="K59" s="191">
        <v>0</v>
      </c>
      <c r="L59" s="191">
        <v>0</v>
      </c>
      <c r="M59" s="191">
        <v>0</v>
      </c>
      <c r="N59" s="191">
        <v>0</v>
      </c>
      <c r="O59" s="191">
        <v>0</v>
      </c>
    </row>
    <row r="60" spans="1:16" x14ac:dyDescent="0.25">
      <c r="A60" s="196" t="s">
        <v>963</v>
      </c>
      <c r="B60" s="196" t="s">
        <v>962</v>
      </c>
      <c r="C60" s="195" t="s">
        <v>530</v>
      </c>
      <c r="D60" s="195" t="s">
        <v>966</v>
      </c>
      <c r="E60" s="195" t="s">
        <v>253</v>
      </c>
      <c r="F60" s="194" t="s">
        <v>767</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963</v>
      </c>
      <c r="B61" s="196" t="s">
        <v>962</v>
      </c>
      <c r="C61" s="195" t="s">
        <v>530</v>
      </c>
      <c r="D61" s="195" t="s">
        <v>468</v>
      </c>
      <c r="E61" s="195" t="s">
        <v>146</v>
      </c>
      <c r="F61" s="194" t="s">
        <v>767</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963</v>
      </c>
      <c r="B62" s="196" t="s">
        <v>962</v>
      </c>
      <c r="C62" s="195" t="s">
        <v>530</v>
      </c>
      <c r="D62" s="195" t="s">
        <v>965</v>
      </c>
      <c r="E62" s="195" t="s">
        <v>964</v>
      </c>
      <c r="F62" s="194" t="s">
        <v>767</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963</v>
      </c>
      <c r="B63" s="196" t="s">
        <v>962</v>
      </c>
      <c r="C63" s="195" t="s">
        <v>530</v>
      </c>
      <c r="D63" s="195" t="s">
        <v>559</v>
      </c>
      <c r="E63" s="195" t="s">
        <v>146</v>
      </c>
      <c r="F63" s="194" t="s">
        <v>767</v>
      </c>
      <c r="G63" s="193">
        <v>2017</v>
      </c>
      <c r="H63" s="191">
        <v>4800</v>
      </c>
      <c r="I63" s="191">
        <v>1530743.41</v>
      </c>
      <c r="J63" s="191">
        <v>151144.41</v>
      </c>
      <c r="K63" s="191">
        <v>1379599</v>
      </c>
      <c r="L63" s="191">
        <v>0</v>
      </c>
      <c r="M63" s="191">
        <v>1379599</v>
      </c>
      <c r="N63" s="191">
        <v>0</v>
      </c>
      <c r="O63" s="191">
        <v>1379599</v>
      </c>
    </row>
    <row r="64" spans="1:16" x14ac:dyDescent="0.25">
      <c r="A64" s="196" t="s">
        <v>961</v>
      </c>
      <c r="B64" s="196" t="s">
        <v>960</v>
      </c>
      <c r="C64" s="195" t="s">
        <v>770</v>
      </c>
      <c r="D64" s="195" t="s">
        <v>959</v>
      </c>
      <c r="E64" s="195" t="s">
        <v>773</v>
      </c>
      <c r="F64" s="194" t="s">
        <v>767</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958</v>
      </c>
      <c r="B65" s="196" t="s">
        <v>957</v>
      </c>
      <c r="C65" s="195" t="s">
        <v>770</v>
      </c>
      <c r="D65" s="195" t="s">
        <v>956</v>
      </c>
      <c r="E65" s="195" t="s">
        <v>773</v>
      </c>
      <c r="F65" s="194" t="s">
        <v>767</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955</v>
      </c>
      <c r="B66" s="196" t="s">
        <v>954</v>
      </c>
      <c r="C66" s="195" t="s">
        <v>770</v>
      </c>
      <c r="D66" s="195" t="s">
        <v>953</v>
      </c>
      <c r="E66" s="195" t="s">
        <v>802</v>
      </c>
      <c r="F66" s="194" t="s">
        <v>767</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952</v>
      </c>
      <c r="B67" s="196" t="s">
        <v>951</v>
      </c>
      <c r="C67" s="195" t="s">
        <v>770</v>
      </c>
      <c r="D67" s="195" t="s">
        <v>950</v>
      </c>
      <c r="E67" s="195" t="s">
        <v>253</v>
      </c>
      <c r="F67" s="194" t="s">
        <v>767</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949</v>
      </c>
      <c r="B68" s="196" t="s">
        <v>948</v>
      </c>
      <c r="C68" s="195" t="s">
        <v>770</v>
      </c>
      <c r="D68" s="195" t="s">
        <v>947</v>
      </c>
      <c r="E68" s="195" t="s">
        <v>253</v>
      </c>
      <c r="F68" s="194" t="s">
        <v>767</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946</v>
      </c>
      <c r="B69" s="196" t="s">
        <v>945</v>
      </c>
      <c r="C69" s="195" t="s">
        <v>770</v>
      </c>
      <c r="D69" s="195" t="s">
        <v>944</v>
      </c>
      <c r="E69" s="195" t="s">
        <v>131</v>
      </c>
      <c r="F69" s="194" t="s">
        <v>767</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943</v>
      </c>
      <c r="B70" s="196" t="s">
        <v>942</v>
      </c>
      <c r="C70" s="195" t="s">
        <v>770</v>
      </c>
      <c r="D70" s="195" t="s">
        <v>941</v>
      </c>
      <c r="E70" s="195" t="s">
        <v>773</v>
      </c>
      <c r="F70" s="194" t="s">
        <v>767</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940</v>
      </c>
      <c r="B71" s="196" t="s">
        <v>939</v>
      </c>
      <c r="C71" s="195" t="s">
        <v>770</v>
      </c>
      <c r="D71" s="195" t="s">
        <v>938</v>
      </c>
      <c r="E71" s="195" t="s">
        <v>253</v>
      </c>
      <c r="F71" s="194" t="s">
        <v>767</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937</v>
      </c>
      <c r="B72" s="196" t="s">
        <v>936</v>
      </c>
      <c r="C72" s="195" t="s">
        <v>770</v>
      </c>
      <c r="D72" s="195" t="s">
        <v>935</v>
      </c>
      <c r="E72" s="195" t="s">
        <v>768</v>
      </c>
      <c r="F72" s="194" t="s">
        <v>767</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934</v>
      </c>
      <c r="B73" s="196" t="s">
        <v>933</v>
      </c>
      <c r="C73" s="195" t="s">
        <v>770</v>
      </c>
      <c r="D73" s="195" t="s">
        <v>932</v>
      </c>
      <c r="E73" s="195" t="s">
        <v>802</v>
      </c>
      <c r="F73" s="194" t="s">
        <v>767</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931</v>
      </c>
      <c r="B74" s="196" t="s">
        <v>930</v>
      </c>
      <c r="C74" s="195" t="s">
        <v>770</v>
      </c>
      <c r="D74" s="195" t="s">
        <v>929</v>
      </c>
      <c r="E74" s="195" t="s">
        <v>768</v>
      </c>
      <c r="F74" s="194" t="s">
        <v>767</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928</v>
      </c>
      <c r="B75" s="196" t="s">
        <v>927</v>
      </c>
      <c r="C75" s="195" t="s">
        <v>770</v>
      </c>
      <c r="D75" s="195" t="s">
        <v>926</v>
      </c>
      <c r="E75" s="195" t="s">
        <v>253</v>
      </c>
      <c r="F75" s="194" t="s">
        <v>767</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925</v>
      </c>
      <c r="B76" s="196" t="s">
        <v>924</v>
      </c>
      <c r="C76" s="195" t="s">
        <v>770</v>
      </c>
      <c r="D76" s="195" t="s">
        <v>923</v>
      </c>
      <c r="E76" s="195" t="s">
        <v>253</v>
      </c>
      <c r="F76" s="194" t="s">
        <v>767</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922</v>
      </c>
      <c r="B77" s="196" t="s">
        <v>921</v>
      </c>
      <c r="C77" s="195" t="s">
        <v>770</v>
      </c>
      <c r="D77" s="195" t="s">
        <v>921</v>
      </c>
      <c r="E77" s="195" t="s">
        <v>773</v>
      </c>
      <c r="F77" s="194" t="s">
        <v>767</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920</v>
      </c>
      <c r="B78" s="196" t="s">
        <v>919</v>
      </c>
      <c r="C78" s="195" t="s">
        <v>770</v>
      </c>
      <c r="D78" s="195" t="s">
        <v>918</v>
      </c>
      <c r="E78" s="195" t="s">
        <v>802</v>
      </c>
      <c r="F78" s="194" t="s">
        <v>767</v>
      </c>
      <c r="G78" s="193">
        <v>2017</v>
      </c>
      <c r="H78" s="191">
        <v>2.415</v>
      </c>
      <c r="I78" s="191">
        <v>0</v>
      </c>
      <c r="J78" s="191">
        <v>-51571</v>
      </c>
      <c r="K78" s="191">
        <v>51571</v>
      </c>
      <c r="L78" s="191">
        <v>-4533946</v>
      </c>
      <c r="M78" s="191">
        <v>4585517</v>
      </c>
      <c r="N78" s="191">
        <v>4585517</v>
      </c>
      <c r="O78" s="191">
        <v>0</v>
      </c>
    </row>
    <row r="79" spans="1:15" x14ac:dyDescent="0.25">
      <c r="A79" s="196" t="s">
        <v>917</v>
      </c>
      <c r="B79" s="196" t="s">
        <v>916</v>
      </c>
      <c r="C79" s="195" t="s">
        <v>770</v>
      </c>
      <c r="D79" s="195" t="s">
        <v>915</v>
      </c>
      <c r="E79" s="195" t="s">
        <v>253</v>
      </c>
      <c r="F79" s="194" t="s">
        <v>767</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914</v>
      </c>
      <c r="B80" s="196" t="s">
        <v>913</v>
      </c>
      <c r="C80" s="195" t="s">
        <v>770</v>
      </c>
      <c r="D80" s="195" t="s">
        <v>912</v>
      </c>
      <c r="E80" s="195" t="s">
        <v>253</v>
      </c>
      <c r="F80" s="194" t="s">
        <v>767</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911</v>
      </c>
      <c r="B81" s="196" t="s">
        <v>910</v>
      </c>
      <c r="C81" s="195" t="s">
        <v>770</v>
      </c>
      <c r="D81" s="195" t="s">
        <v>909</v>
      </c>
      <c r="E81" s="195" t="s">
        <v>833</v>
      </c>
      <c r="F81" s="194" t="s">
        <v>767</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908</v>
      </c>
      <c r="B82" s="196" t="s">
        <v>907</v>
      </c>
      <c r="C82" s="195" t="s">
        <v>770</v>
      </c>
      <c r="D82" s="195" t="s">
        <v>906</v>
      </c>
      <c r="E82" s="195" t="s">
        <v>905</v>
      </c>
      <c r="F82" s="194" t="s">
        <v>767</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904</v>
      </c>
      <c r="B83" s="196" t="s">
        <v>903</v>
      </c>
      <c r="C83" s="195" t="s">
        <v>770</v>
      </c>
      <c r="D83" s="195" t="s">
        <v>902</v>
      </c>
      <c r="E83" s="195" t="s">
        <v>901</v>
      </c>
      <c r="F83" s="194" t="s">
        <v>767</v>
      </c>
      <c r="G83" s="193">
        <v>2017</v>
      </c>
      <c r="H83" s="191">
        <v>5.0999999999999996</v>
      </c>
      <c r="I83" s="191">
        <v>10391</v>
      </c>
      <c r="J83" s="191">
        <v>0</v>
      </c>
      <c r="K83" s="191">
        <v>10391</v>
      </c>
      <c r="L83" s="191">
        <v>83507</v>
      </c>
      <c r="M83" s="191">
        <v>0</v>
      </c>
      <c r="N83" s="191">
        <v>93898</v>
      </c>
      <c r="O83" s="191">
        <v>0</v>
      </c>
    </row>
    <row r="84" spans="1:16" x14ac:dyDescent="0.25">
      <c r="A84" s="196" t="s">
        <v>900</v>
      </c>
      <c r="B84" s="196" t="s">
        <v>899</v>
      </c>
      <c r="C84" s="195" t="s">
        <v>770</v>
      </c>
      <c r="D84" s="195" t="s">
        <v>898</v>
      </c>
      <c r="E84" s="195" t="s">
        <v>773</v>
      </c>
      <c r="F84" s="194" t="s">
        <v>767</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897</v>
      </c>
      <c r="B85" s="196" t="s">
        <v>896</v>
      </c>
      <c r="C85" s="195" t="s">
        <v>770</v>
      </c>
      <c r="D85" s="195" t="s">
        <v>896</v>
      </c>
      <c r="E85" s="195" t="s">
        <v>773</v>
      </c>
      <c r="F85" s="194" t="s">
        <v>767</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895</v>
      </c>
      <c r="B86" s="196" t="s">
        <v>894</v>
      </c>
      <c r="C86" s="195" t="s">
        <v>770</v>
      </c>
      <c r="D86" s="195" t="s">
        <v>893</v>
      </c>
      <c r="E86" s="195" t="s">
        <v>773</v>
      </c>
      <c r="F86" s="194" t="s">
        <v>767</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892</v>
      </c>
      <c r="B87" s="196" t="s">
        <v>891</v>
      </c>
      <c r="C87" s="195" t="s">
        <v>804</v>
      </c>
      <c r="D87" s="195" t="s">
        <v>890</v>
      </c>
      <c r="E87" s="195" t="s">
        <v>833</v>
      </c>
      <c r="F87" s="194" t="s">
        <v>767</v>
      </c>
      <c r="G87" s="193">
        <v>2017</v>
      </c>
      <c r="H87" s="191">
        <v>40</v>
      </c>
      <c r="I87" s="191">
        <v>0</v>
      </c>
      <c r="J87" s="191">
        <v>0</v>
      </c>
      <c r="K87" s="191">
        <v>0</v>
      </c>
      <c r="L87" s="191">
        <v>3.24</v>
      </c>
      <c r="M87" s="191">
        <v>-3.24</v>
      </c>
      <c r="N87" s="191">
        <v>3.24</v>
      </c>
      <c r="O87" s="191">
        <v>0</v>
      </c>
      <c r="P87" s="183">
        <f>O87/(H87*8760)</f>
        <v>0</v>
      </c>
    </row>
    <row r="88" spans="1:16" x14ac:dyDescent="0.25">
      <c r="A88" s="196" t="s">
        <v>889</v>
      </c>
      <c r="B88" s="196" t="s">
        <v>888</v>
      </c>
      <c r="C88" s="195" t="s">
        <v>770</v>
      </c>
      <c r="D88" s="195" t="s">
        <v>887</v>
      </c>
      <c r="E88" s="195" t="s">
        <v>833</v>
      </c>
      <c r="F88" s="194" t="s">
        <v>767</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886</v>
      </c>
      <c r="B89" s="196" t="s">
        <v>885</v>
      </c>
      <c r="C89" s="195" t="s">
        <v>770</v>
      </c>
      <c r="D89" s="195" t="s">
        <v>884</v>
      </c>
      <c r="E89" s="195" t="s">
        <v>253</v>
      </c>
      <c r="F89" s="194" t="s">
        <v>767</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883</v>
      </c>
      <c r="B90" s="196" t="s">
        <v>882</v>
      </c>
      <c r="C90" s="195" t="s">
        <v>770</v>
      </c>
      <c r="D90" s="195" t="s">
        <v>881</v>
      </c>
      <c r="E90" s="196" t="s">
        <v>773</v>
      </c>
      <c r="F90" s="194" t="s">
        <v>767</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880</v>
      </c>
      <c r="B91" s="196" t="s">
        <v>879</v>
      </c>
      <c r="C91" s="195" t="s">
        <v>770</v>
      </c>
      <c r="D91" s="195" t="s">
        <v>878</v>
      </c>
      <c r="E91" s="195" t="s">
        <v>833</v>
      </c>
      <c r="F91" s="194" t="s">
        <v>767</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877</v>
      </c>
      <c r="B92" s="196" t="s">
        <v>876</v>
      </c>
      <c r="C92" s="195" t="s">
        <v>770</v>
      </c>
      <c r="D92" s="195" t="s">
        <v>875</v>
      </c>
      <c r="E92" s="195" t="s">
        <v>773</v>
      </c>
      <c r="F92" s="194" t="s">
        <v>767</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873</v>
      </c>
      <c r="B93" s="196" t="s">
        <v>872</v>
      </c>
      <c r="C93" s="195" t="s">
        <v>770</v>
      </c>
      <c r="D93" s="195" t="s">
        <v>874</v>
      </c>
      <c r="E93" s="195" t="s">
        <v>792</v>
      </c>
      <c r="F93" s="194" t="s">
        <v>767</v>
      </c>
      <c r="G93" s="193">
        <v>2017</v>
      </c>
      <c r="H93" s="192">
        <v>4</v>
      </c>
      <c r="I93" s="191">
        <v>60857</v>
      </c>
      <c r="J93" s="191">
        <v>0</v>
      </c>
      <c r="K93" s="191">
        <v>60857</v>
      </c>
      <c r="L93" s="191">
        <v>8144</v>
      </c>
      <c r="M93" s="191">
        <v>55423</v>
      </c>
      <c r="N93" s="191">
        <v>66006</v>
      </c>
      <c r="O93" s="191">
        <v>2996</v>
      </c>
    </row>
    <row r="94" spans="1:16" x14ac:dyDescent="0.25">
      <c r="A94" s="196" t="s">
        <v>873</v>
      </c>
      <c r="B94" s="196" t="s">
        <v>872</v>
      </c>
      <c r="C94" s="195" t="s">
        <v>770</v>
      </c>
      <c r="D94" s="195" t="s">
        <v>871</v>
      </c>
      <c r="E94" s="195" t="s">
        <v>792</v>
      </c>
      <c r="F94" s="194" t="s">
        <v>767</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870</v>
      </c>
      <c r="B95" s="196" t="s">
        <v>869</v>
      </c>
      <c r="C95" s="195" t="s">
        <v>770</v>
      </c>
      <c r="D95" s="195" t="s">
        <v>868</v>
      </c>
      <c r="E95" s="195" t="s">
        <v>773</v>
      </c>
      <c r="F95" s="194" t="s">
        <v>767</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867</v>
      </c>
      <c r="B96" s="196" t="s">
        <v>866</v>
      </c>
      <c r="C96" s="195" t="s">
        <v>770</v>
      </c>
      <c r="D96" s="195" t="s">
        <v>865</v>
      </c>
      <c r="E96" s="195" t="s">
        <v>253</v>
      </c>
      <c r="F96" s="194" t="s">
        <v>767</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864</v>
      </c>
      <c r="B97" s="196" t="s">
        <v>863</v>
      </c>
      <c r="C97" s="195" t="s">
        <v>770</v>
      </c>
      <c r="D97" s="195" t="s">
        <v>862</v>
      </c>
      <c r="E97" s="195" t="s">
        <v>253</v>
      </c>
      <c r="F97" s="194" t="s">
        <v>767</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861</v>
      </c>
      <c r="B98" s="196" t="s">
        <v>860</v>
      </c>
      <c r="C98" s="195" t="s">
        <v>770</v>
      </c>
      <c r="D98" s="195" t="s">
        <v>860</v>
      </c>
      <c r="E98" s="195" t="s">
        <v>773</v>
      </c>
      <c r="F98" s="194" t="s">
        <v>767</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859</v>
      </c>
      <c r="B99" s="196" t="s">
        <v>858</v>
      </c>
      <c r="C99" s="195" t="s">
        <v>770</v>
      </c>
      <c r="D99" s="195" t="s">
        <v>857</v>
      </c>
      <c r="E99" s="195" t="s">
        <v>773</v>
      </c>
      <c r="F99" s="194" t="s">
        <v>767</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856</v>
      </c>
      <c r="B100" s="196" t="s">
        <v>855</v>
      </c>
      <c r="C100" s="195" t="s">
        <v>770</v>
      </c>
      <c r="D100" s="195" t="s">
        <v>854</v>
      </c>
      <c r="E100" s="195" t="s">
        <v>773</v>
      </c>
      <c r="F100" s="194" t="s">
        <v>767</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853</v>
      </c>
      <c r="B101" s="196" t="s">
        <v>852</v>
      </c>
      <c r="C101" s="195" t="s">
        <v>770</v>
      </c>
      <c r="D101" s="195" t="s">
        <v>851</v>
      </c>
      <c r="E101" s="195" t="s">
        <v>253</v>
      </c>
      <c r="F101" s="194" t="s">
        <v>767</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850</v>
      </c>
      <c r="B102" s="196" t="s">
        <v>849</v>
      </c>
      <c r="C102" s="195" t="s">
        <v>770</v>
      </c>
      <c r="D102" s="195" t="s">
        <v>848</v>
      </c>
      <c r="E102" s="195" t="s">
        <v>253</v>
      </c>
      <c r="F102" s="194" t="s">
        <v>767</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847</v>
      </c>
      <c r="B103" s="196" t="s">
        <v>846</v>
      </c>
      <c r="C103" s="195" t="s">
        <v>770</v>
      </c>
      <c r="D103" s="195" t="s">
        <v>845</v>
      </c>
      <c r="E103" s="195" t="s">
        <v>253</v>
      </c>
      <c r="F103" s="194" t="s">
        <v>767</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843</v>
      </c>
      <c r="B104" s="196" t="s">
        <v>842</v>
      </c>
      <c r="C104" s="195" t="s">
        <v>770</v>
      </c>
      <c r="D104" s="195" t="s">
        <v>844</v>
      </c>
      <c r="E104" s="195" t="s">
        <v>840</v>
      </c>
      <c r="F104" s="194" t="s">
        <v>767</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843</v>
      </c>
      <c r="B105" s="196" t="s">
        <v>842</v>
      </c>
      <c r="C105" s="195" t="s">
        <v>770</v>
      </c>
      <c r="D105" s="195" t="s">
        <v>841</v>
      </c>
      <c r="E105" s="195" t="s">
        <v>840</v>
      </c>
      <c r="F105" s="194" t="s">
        <v>767</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836</v>
      </c>
      <c r="B106" s="196" t="s">
        <v>835</v>
      </c>
      <c r="C106" s="195" t="s">
        <v>770</v>
      </c>
      <c r="D106" s="195" t="s">
        <v>839</v>
      </c>
      <c r="E106" s="195" t="s">
        <v>146</v>
      </c>
      <c r="F106" s="194" t="s">
        <v>767</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836</v>
      </c>
      <c r="B107" s="196" t="s">
        <v>835</v>
      </c>
      <c r="C107" s="195" t="s">
        <v>770</v>
      </c>
      <c r="D107" s="195" t="s">
        <v>838</v>
      </c>
      <c r="E107" s="195" t="s">
        <v>146</v>
      </c>
      <c r="F107" s="194" t="s">
        <v>767</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836</v>
      </c>
      <c r="B108" s="196" t="s">
        <v>835</v>
      </c>
      <c r="C108" s="195" t="s">
        <v>770</v>
      </c>
      <c r="D108" s="195" t="s">
        <v>837</v>
      </c>
      <c r="E108" s="195" t="s">
        <v>833</v>
      </c>
      <c r="F108" s="194" t="s">
        <v>767</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836</v>
      </c>
      <c r="B109" s="196" t="s">
        <v>835</v>
      </c>
      <c r="C109" s="195" t="s">
        <v>770</v>
      </c>
      <c r="D109" s="195" t="s">
        <v>834</v>
      </c>
      <c r="E109" s="195" t="s">
        <v>833</v>
      </c>
      <c r="F109" s="194" t="s">
        <v>767</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832</v>
      </c>
      <c r="B110" s="196" t="s">
        <v>831</v>
      </c>
      <c r="C110" s="195" t="s">
        <v>770</v>
      </c>
      <c r="D110" s="195" t="s">
        <v>830</v>
      </c>
      <c r="E110" s="195" t="s">
        <v>773</v>
      </c>
      <c r="F110" s="194" t="s">
        <v>767</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829</v>
      </c>
      <c r="B111" s="196" t="s">
        <v>828</v>
      </c>
      <c r="C111" s="195" t="s">
        <v>770</v>
      </c>
      <c r="D111" s="195" t="s">
        <v>827</v>
      </c>
      <c r="E111" s="195" t="s">
        <v>773</v>
      </c>
      <c r="F111" s="194" t="s">
        <v>767</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826</v>
      </c>
      <c r="B112" s="196" t="s">
        <v>825</v>
      </c>
      <c r="C112" s="195" t="s">
        <v>770</v>
      </c>
      <c r="D112" s="195" t="s">
        <v>824</v>
      </c>
      <c r="E112" s="195" t="s">
        <v>773</v>
      </c>
      <c r="F112" s="194" t="s">
        <v>767</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823</v>
      </c>
      <c r="B113" s="196" t="s">
        <v>822</v>
      </c>
      <c r="C113" s="195" t="s">
        <v>770</v>
      </c>
      <c r="D113" s="195" t="s">
        <v>821</v>
      </c>
      <c r="E113" s="195" t="s">
        <v>773</v>
      </c>
      <c r="F113" s="194" t="s">
        <v>767</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820</v>
      </c>
      <c r="B114" s="196" t="s">
        <v>819</v>
      </c>
      <c r="C114" s="195" t="s">
        <v>770</v>
      </c>
      <c r="D114" s="195" t="s">
        <v>818</v>
      </c>
      <c r="E114" s="195" t="s">
        <v>773</v>
      </c>
      <c r="F114" s="194" t="s">
        <v>767</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817</v>
      </c>
      <c r="B115" s="196" t="s">
        <v>816</v>
      </c>
      <c r="C115" s="195" t="s">
        <v>770</v>
      </c>
      <c r="D115" s="195" t="s">
        <v>815</v>
      </c>
      <c r="E115" s="195" t="s">
        <v>773</v>
      </c>
      <c r="F115" s="194" t="s">
        <v>767</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814</v>
      </c>
      <c r="B116" s="196" t="s">
        <v>813</v>
      </c>
      <c r="C116" s="195" t="s">
        <v>770</v>
      </c>
      <c r="D116" s="195" t="s">
        <v>812</v>
      </c>
      <c r="E116" s="195" t="s">
        <v>773</v>
      </c>
      <c r="F116" s="194" t="s">
        <v>767</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811</v>
      </c>
      <c r="B117" s="196" t="s">
        <v>810</v>
      </c>
      <c r="C117" s="195" t="s">
        <v>770</v>
      </c>
      <c r="D117" s="195" t="s">
        <v>810</v>
      </c>
      <c r="E117" s="195" t="s">
        <v>802</v>
      </c>
      <c r="F117" s="194" t="s">
        <v>767</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809</v>
      </c>
      <c r="B118" s="196" t="s">
        <v>808</v>
      </c>
      <c r="C118" s="195" t="s">
        <v>770</v>
      </c>
      <c r="D118" s="195" t="s">
        <v>807</v>
      </c>
      <c r="E118" s="195" t="s">
        <v>773</v>
      </c>
      <c r="F118" s="194" t="s">
        <v>767</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806</v>
      </c>
      <c r="B119" s="196" t="s">
        <v>805</v>
      </c>
      <c r="C119" s="195" t="s">
        <v>804</v>
      </c>
      <c r="D119" s="195" t="s">
        <v>803</v>
      </c>
      <c r="E119" s="195" t="s">
        <v>802</v>
      </c>
      <c r="F119" s="194" t="s">
        <v>767</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801</v>
      </c>
      <c r="B120" s="196" t="s">
        <v>800</v>
      </c>
      <c r="C120" s="195" t="s">
        <v>770</v>
      </c>
      <c r="D120" s="195" t="s">
        <v>799</v>
      </c>
      <c r="E120" s="195" t="s">
        <v>773</v>
      </c>
      <c r="F120" s="194" t="s">
        <v>767</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795</v>
      </c>
      <c r="B121" s="196" t="s">
        <v>794</v>
      </c>
      <c r="C121" s="195" t="s">
        <v>770</v>
      </c>
      <c r="D121" s="195" t="s">
        <v>798</v>
      </c>
      <c r="E121" s="195" t="s">
        <v>792</v>
      </c>
      <c r="F121" s="194" t="s">
        <v>767</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795</v>
      </c>
      <c r="B122" s="196" t="s">
        <v>794</v>
      </c>
      <c r="C122" s="195" t="s">
        <v>770</v>
      </c>
      <c r="D122" s="195" t="s">
        <v>797</v>
      </c>
      <c r="E122" s="195" t="s">
        <v>792</v>
      </c>
      <c r="F122" s="194" t="s">
        <v>767</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795</v>
      </c>
      <c r="B123" s="196" t="s">
        <v>794</v>
      </c>
      <c r="C123" s="195" t="s">
        <v>770</v>
      </c>
      <c r="D123" s="195" t="s">
        <v>796</v>
      </c>
      <c r="E123" s="195" t="s">
        <v>792</v>
      </c>
      <c r="F123" s="194" t="s">
        <v>767</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795</v>
      </c>
      <c r="B124" s="196" t="s">
        <v>794</v>
      </c>
      <c r="C124" s="195" t="s">
        <v>770</v>
      </c>
      <c r="D124" s="195" t="s">
        <v>793</v>
      </c>
      <c r="E124" s="195" t="s">
        <v>792</v>
      </c>
      <c r="F124" s="194" t="s">
        <v>767</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791</v>
      </c>
      <c r="B125" s="196" t="s">
        <v>790</v>
      </c>
      <c r="C125" s="195" t="s">
        <v>770</v>
      </c>
      <c r="D125" s="195" t="s">
        <v>789</v>
      </c>
      <c r="E125" s="195" t="s">
        <v>253</v>
      </c>
      <c r="F125" s="194" t="s">
        <v>767</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788</v>
      </c>
      <c r="B126" s="196" t="s">
        <v>787</v>
      </c>
      <c r="C126" s="195" t="s">
        <v>770</v>
      </c>
      <c r="D126" s="195" t="s">
        <v>786</v>
      </c>
      <c r="E126" s="195" t="s">
        <v>131</v>
      </c>
      <c r="F126" s="194" t="s">
        <v>767</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785</v>
      </c>
      <c r="B127" s="196" t="s">
        <v>784</v>
      </c>
      <c r="C127" s="195" t="s">
        <v>770</v>
      </c>
      <c r="D127" s="195" t="s">
        <v>783</v>
      </c>
      <c r="E127" s="195" t="s">
        <v>253</v>
      </c>
      <c r="F127" s="194" t="s">
        <v>767</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782</v>
      </c>
      <c r="B128" s="196" t="s">
        <v>781</v>
      </c>
      <c r="C128" s="195" t="s">
        <v>770</v>
      </c>
      <c r="D128" s="195" t="s">
        <v>780</v>
      </c>
      <c r="E128" s="195" t="s">
        <v>773</v>
      </c>
      <c r="F128" s="194" t="s">
        <v>767</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779</v>
      </c>
      <c r="B129" s="196" t="s">
        <v>778</v>
      </c>
      <c r="C129" s="195" t="s">
        <v>770</v>
      </c>
      <c r="D129" s="195" t="s">
        <v>777</v>
      </c>
      <c r="E129" s="195" t="s">
        <v>253</v>
      </c>
      <c r="F129" s="194" t="s">
        <v>767</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776</v>
      </c>
      <c r="B130" s="196" t="s">
        <v>775</v>
      </c>
      <c r="C130" s="195" t="s">
        <v>770</v>
      </c>
      <c r="D130" s="195" t="s">
        <v>774</v>
      </c>
      <c r="E130" s="195" t="s">
        <v>773</v>
      </c>
      <c r="F130" s="194" t="s">
        <v>767</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772</v>
      </c>
      <c r="B131" s="190" t="s">
        <v>771</v>
      </c>
      <c r="C131" s="189" t="s">
        <v>770</v>
      </c>
      <c r="D131" s="189" t="s">
        <v>769</v>
      </c>
      <c r="E131" s="189" t="s">
        <v>768</v>
      </c>
      <c r="F131" s="188" t="s">
        <v>767</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766</v>
      </c>
    </row>
    <row r="134" spans="1:17" x14ac:dyDescent="0.25">
      <c r="H134" s="183" t="s">
        <v>765</v>
      </c>
      <c r="O134" s="352" t="s">
        <v>1825</v>
      </c>
      <c r="P134" s="352" t="s">
        <v>1826</v>
      </c>
      <c r="Q134" s="352" t="s">
        <v>1827</v>
      </c>
    </row>
    <row r="135" spans="1:17" x14ac:dyDescent="0.25">
      <c r="H135" s="184">
        <f>H27+H47+H48+H49+H50+H88+H91+H18+H171+H17+H11</f>
        <v>2476.6999999999998</v>
      </c>
      <c r="N135" s="352" t="s">
        <v>1823</v>
      </c>
      <c r="O135" s="353">
        <f>O27+O47+O48+O49+O50+O88+O91+O18+O171+O17+O11+O81</f>
        <v>182863.88152000002</v>
      </c>
      <c r="P135" s="353">
        <f>O135/0.3*3.6/1000</f>
        <v>2194.3665782400008</v>
      </c>
    </row>
    <row r="136" spans="1:17" x14ac:dyDescent="0.25">
      <c r="N136" s="352" t="s">
        <v>1824</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1070</v>
      </c>
      <c r="B1" s="228" t="s">
        <v>1069</v>
      </c>
      <c r="C1" s="228" t="s">
        <v>1068</v>
      </c>
      <c r="D1" s="228" t="s">
        <v>1067</v>
      </c>
      <c r="E1" s="228" t="s">
        <v>1066</v>
      </c>
      <c r="F1" s="230" t="s">
        <v>1133</v>
      </c>
      <c r="G1" s="229" t="s">
        <v>137</v>
      </c>
      <c r="H1" s="228" t="s">
        <v>1065</v>
      </c>
      <c r="I1" s="228" t="s">
        <v>1132</v>
      </c>
      <c r="J1" s="228" t="s">
        <v>1131</v>
      </c>
      <c r="K1" s="228" t="s">
        <v>1130</v>
      </c>
      <c r="L1" s="228" t="s">
        <v>1129</v>
      </c>
      <c r="M1" s="228" t="s">
        <v>1060</v>
      </c>
      <c r="N1" s="228" t="s">
        <v>1059</v>
      </c>
      <c r="O1" s="228" t="s">
        <v>1128</v>
      </c>
      <c r="P1" s="228" t="s">
        <v>1057</v>
      </c>
    </row>
    <row r="2" spans="1:16" ht="15" customHeight="1" x14ac:dyDescent="0.2">
      <c r="A2" s="227" t="s">
        <v>963</v>
      </c>
      <c r="B2" s="226" t="s">
        <v>530</v>
      </c>
      <c r="C2" s="226" t="s">
        <v>962</v>
      </c>
      <c r="D2" s="226" t="s">
        <v>458</v>
      </c>
      <c r="E2" s="226" t="s">
        <v>146</v>
      </c>
      <c r="F2" s="217" t="s">
        <v>1096</v>
      </c>
      <c r="G2" s="217" t="s">
        <v>1084</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963</v>
      </c>
      <c r="B3" s="226" t="s">
        <v>530</v>
      </c>
      <c r="C3" s="226" t="s">
        <v>962</v>
      </c>
      <c r="D3" s="226" t="s">
        <v>514</v>
      </c>
      <c r="E3" s="226" t="s">
        <v>146</v>
      </c>
      <c r="F3" s="217" t="s">
        <v>1096</v>
      </c>
      <c r="G3" s="217" t="s">
        <v>1084</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963</v>
      </c>
      <c r="B4" s="226" t="s">
        <v>530</v>
      </c>
      <c r="C4" s="226" t="s">
        <v>962</v>
      </c>
      <c r="D4" s="226" t="s">
        <v>508</v>
      </c>
      <c r="E4" s="226" t="s">
        <v>146</v>
      </c>
      <c r="F4" s="217" t="s">
        <v>1096</v>
      </c>
      <c r="G4" s="217" t="s">
        <v>1084</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963</v>
      </c>
      <c r="B5" s="226" t="s">
        <v>530</v>
      </c>
      <c r="C5" s="226" t="s">
        <v>962</v>
      </c>
      <c r="D5" s="226" t="s">
        <v>447</v>
      </c>
      <c r="E5" s="226" t="s">
        <v>146</v>
      </c>
      <c r="F5" s="217" t="s">
        <v>1096</v>
      </c>
      <c r="G5" s="217" t="s">
        <v>1084</v>
      </c>
      <c r="H5" s="224">
        <v>2018</v>
      </c>
      <c r="I5" s="223">
        <v>1130</v>
      </c>
      <c r="J5" s="223">
        <v>2644796.23</v>
      </c>
      <c r="K5" s="223">
        <v>237762.33</v>
      </c>
      <c r="L5" s="223">
        <v>2407033.9</v>
      </c>
      <c r="M5" s="224">
        <v>0</v>
      </c>
      <c r="N5" s="223">
        <v>2407033.9</v>
      </c>
      <c r="O5" s="224">
        <v>0</v>
      </c>
      <c r="P5" s="223">
        <v>2407033.9</v>
      </c>
    </row>
    <row r="6" spans="1:16" ht="15" customHeight="1" x14ac:dyDescent="0.2">
      <c r="A6" s="227" t="s">
        <v>963</v>
      </c>
      <c r="B6" s="226" t="s">
        <v>530</v>
      </c>
      <c r="C6" s="226" t="s">
        <v>962</v>
      </c>
      <c r="D6" s="226" t="s">
        <v>451</v>
      </c>
      <c r="E6" s="226" t="s">
        <v>146</v>
      </c>
      <c r="F6" s="217" t="s">
        <v>1096</v>
      </c>
      <c r="G6" s="217" t="s">
        <v>1084</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963</v>
      </c>
      <c r="B7" s="226" t="s">
        <v>530</v>
      </c>
      <c r="C7" s="226" t="s">
        <v>962</v>
      </c>
      <c r="D7" s="226" t="s">
        <v>497</v>
      </c>
      <c r="E7" s="226" t="s">
        <v>146</v>
      </c>
      <c r="F7" s="217" t="s">
        <v>1096</v>
      </c>
      <c r="G7" s="217" t="s">
        <v>1084</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963</v>
      </c>
      <c r="B8" s="226" t="s">
        <v>530</v>
      </c>
      <c r="C8" s="226" t="s">
        <v>962</v>
      </c>
      <c r="D8" s="226" t="s">
        <v>448</v>
      </c>
      <c r="E8" s="226" t="s">
        <v>146</v>
      </c>
      <c r="F8" s="217" t="s">
        <v>1096</v>
      </c>
      <c r="G8" s="217" t="s">
        <v>1084</v>
      </c>
      <c r="H8" s="224">
        <v>2018</v>
      </c>
      <c r="I8" s="223">
        <v>1000</v>
      </c>
      <c r="J8" s="223">
        <v>2318905.87</v>
      </c>
      <c r="K8" s="223">
        <v>165328.51</v>
      </c>
      <c r="L8" s="223">
        <v>2153577.36</v>
      </c>
      <c r="M8" s="224">
        <v>0</v>
      </c>
      <c r="N8" s="223">
        <v>2153577.36</v>
      </c>
      <c r="O8" s="224">
        <v>0</v>
      </c>
      <c r="P8" s="223">
        <v>2153577.36</v>
      </c>
    </row>
    <row r="9" spans="1:16" ht="15" customHeight="1" x14ac:dyDescent="0.2">
      <c r="A9" s="227" t="s">
        <v>963</v>
      </c>
      <c r="B9" s="226" t="s">
        <v>530</v>
      </c>
      <c r="C9" s="226" t="s">
        <v>962</v>
      </c>
      <c r="D9" s="226" t="s">
        <v>452</v>
      </c>
      <c r="E9" s="226" t="s">
        <v>146</v>
      </c>
      <c r="F9" s="217" t="s">
        <v>1096</v>
      </c>
      <c r="G9" s="217" t="s">
        <v>1084</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963</v>
      </c>
      <c r="B10" s="226" t="s">
        <v>530</v>
      </c>
      <c r="C10" s="226" t="s">
        <v>962</v>
      </c>
      <c r="D10" s="226" t="s">
        <v>483</v>
      </c>
      <c r="E10" s="226" t="s">
        <v>146</v>
      </c>
      <c r="F10" s="217" t="s">
        <v>1097</v>
      </c>
      <c r="G10" s="217" t="s">
        <v>1084</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963</v>
      </c>
      <c r="B11" s="226" t="s">
        <v>530</v>
      </c>
      <c r="C11" s="226" t="s">
        <v>962</v>
      </c>
      <c r="D11" s="226" t="s">
        <v>449</v>
      </c>
      <c r="E11" s="226" t="s">
        <v>146</v>
      </c>
      <c r="F11" s="217" t="s">
        <v>1096</v>
      </c>
      <c r="G11" s="217" t="s">
        <v>1084</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963</v>
      </c>
      <c r="B12" s="226" t="s">
        <v>530</v>
      </c>
      <c r="C12" s="226" t="s">
        <v>962</v>
      </c>
      <c r="D12" s="226" t="s">
        <v>476</v>
      </c>
      <c r="E12" s="226" t="s">
        <v>146</v>
      </c>
      <c r="F12" s="217" t="s">
        <v>1095</v>
      </c>
      <c r="G12" s="217" t="s">
        <v>1084</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963</v>
      </c>
      <c r="B13" s="226" t="s">
        <v>530</v>
      </c>
      <c r="C13" s="226" t="s">
        <v>962</v>
      </c>
      <c r="D13" s="226" t="s">
        <v>455</v>
      </c>
      <c r="E13" s="226" t="s">
        <v>146</v>
      </c>
      <c r="F13" s="217" t="s">
        <v>1096</v>
      </c>
      <c r="G13" s="217" t="s">
        <v>1084</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963</v>
      </c>
      <c r="B14" s="226" t="s">
        <v>530</v>
      </c>
      <c r="C14" s="226" t="s">
        <v>962</v>
      </c>
      <c r="D14" s="226" t="s">
        <v>460</v>
      </c>
      <c r="E14" s="226" t="s">
        <v>146</v>
      </c>
      <c r="F14" s="217" t="s">
        <v>1096</v>
      </c>
      <c r="G14" s="217" t="s">
        <v>1084</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963</v>
      </c>
      <c r="B15" s="226" t="s">
        <v>530</v>
      </c>
      <c r="C15" s="226" t="s">
        <v>962</v>
      </c>
      <c r="D15" s="226" t="s">
        <v>584</v>
      </c>
      <c r="E15" s="226" t="s">
        <v>833</v>
      </c>
      <c r="F15" s="217" t="s">
        <v>1088</v>
      </c>
      <c r="G15" s="217" t="s">
        <v>1084</v>
      </c>
      <c r="H15" s="224">
        <v>2018</v>
      </c>
      <c r="I15" s="224">
        <v>171</v>
      </c>
      <c r="J15" s="223">
        <v>1258</v>
      </c>
      <c r="K15" s="224">
        <v>0</v>
      </c>
      <c r="L15" s="223">
        <v>1258</v>
      </c>
      <c r="M15" s="224">
        <v>0</v>
      </c>
      <c r="N15" s="223">
        <v>1258</v>
      </c>
      <c r="O15" s="224">
        <v>0</v>
      </c>
      <c r="P15" s="223">
        <v>1258</v>
      </c>
    </row>
    <row r="16" spans="1:16" ht="15" customHeight="1" x14ac:dyDescent="0.2">
      <c r="A16" s="227" t="s">
        <v>963</v>
      </c>
      <c r="B16" s="226" t="s">
        <v>530</v>
      </c>
      <c r="C16" s="226" t="s">
        <v>962</v>
      </c>
      <c r="D16" s="226" t="s">
        <v>582</v>
      </c>
      <c r="E16" s="226" t="s">
        <v>833</v>
      </c>
      <c r="F16" s="217" t="s">
        <v>1088</v>
      </c>
      <c r="G16" s="217" t="s">
        <v>1084</v>
      </c>
      <c r="H16" s="224">
        <v>2018</v>
      </c>
      <c r="I16" s="224">
        <v>588</v>
      </c>
      <c r="J16" s="223">
        <v>340236.39</v>
      </c>
      <c r="K16" s="223">
        <v>1622.2</v>
      </c>
      <c r="L16" s="223">
        <v>338614.19</v>
      </c>
      <c r="M16" s="224">
        <v>0</v>
      </c>
      <c r="N16" s="223">
        <v>338614.19</v>
      </c>
      <c r="O16" s="224">
        <v>0</v>
      </c>
      <c r="P16" s="223">
        <v>338614.19</v>
      </c>
    </row>
    <row r="17" spans="1:17" ht="15" customHeight="1" x14ac:dyDescent="0.2">
      <c r="A17" s="227" t="s">
        <v>963</v>
      </c>
      <c r="B17" s="226" t="s">
        <v>530</v>
      </c>
      <c r="C17" s="226" t="s">
        <v>962</v>
      </c>
      <c r="D17" s="226" t="s">
        <v>580</v>
      </c>
      <c r="E17" s="226" t="s">
        <v>833</v>
      </c>
      <c r="F17" s="217" t="s">
        <v>1088</v>
      </c>
      <c r="G17" s="217" t="s">
        <v>1084</v>
      </c>
      <c r="H17" s="224">
        <v>2018</v>
      </c>
      <c r="I17" s="224">
        <v>438</v>
      </c>
      <c r="J17" s="223">
        <v>173101.81</v>
      </c>
      <c r="K17" s="223">
        <v>1141.8</v>
      </c>
      <c r="L17" s="223">
        <v>171960.01</v>
      </c>
      <c r="M17" s="224">
        <v>0</v>
      </c>
      <c r="N17" s="223">
        <v>171960.01</v>
      </c>
      <c r="O17" s="224">
        <v>0</v>
      </c>
      <c r="P17" s="223">
        <v>171960.01</v>
      </c>
    </row>
    <row r="18" spans="1:17" ht="15" customHeight="1" x14ac:dyDescent="0.2">
      <c r="A18" s="227" t="s">
        <v>963</v>
      </c>
      <c r="B18" s="226" t="s">
        <v>530</v>
      </c>
      <c r="C18" s="226" t="s">
        <v>962</v>
      </c>
      <c r="D18" s="226" t="s">
        <v>578</v>
      </c>
      <c r="E18" s="226" t="s">
        <v>833</v>
      </c>
      <c r="F18" s="217" t="s">
        <v>1086</v>
      </c>
      <c r="G18" s="217" t="s">
        <v>1084</v>
      </c>
      <c r="H18" s="224">
        <v>2018</v>
      </c>
      <c r="I18" s="224">
        <v>171</v>
      </c>
      <c r="J18" s="223">
        <v>1189</v>
      </c>
      <c r="K18" s="224">
        <v>-3</v>
      </c>
      <c r="L18" s="223">
        <v>1192</v>
      </c>
      <c r="M18" s="224">
        <v>0</v>
      </c>
      <c r="N18" s="223">
        <v>1192</v>
      </c>
      <c r="O18" s="224">
        <v>0</v>
      </c>
      <c r="P18" s="223">
        <v>1192</v>
      </c>
    </row>
    <row r="19" spans="1:17" ht="15" customHeight="1" x14ac:dyDescent="0.2">
      <c r="A19" s="227" t="s">
        <v>963</v>
      </c>
      <c r="B19" s="226" t="s">
        <v>530</v>
      </c>
      <c r="C19" s="226" t="s">
        <v>962</v>
      </c>
      <c r="D19" s="226" t="s">
        <v>574</v>
      </c>
      <c r="E19" s="226" t="s">
        <v>802</v>
      </c>
      <c r="F19" s="217" t="s">
        <v>1127</v>
      </c>
      <c r="G19" s="217" t="s">
        <v>1084</v>
      </c>
      <c r="H19" s="224">
        <v>2018</v>
      </c>
      <c r="I19" s="224">
        <v>360</v>
      </c>
      <c r="J19" s="223">
        <v>529767</v>
      </c>
      <c r="K19" s="224">
        <v>650.86</v>
      </c>
      <c r="L19" s="223">
        <v>529116.14</v>
      </c>
      <c r="M19" s="224">
        <v>0</v>
      </c>
      <c r="N19" s="223">
        <v>529116.14</v>
      </c>
      <c r="O19" s="224">
        <v>0</v>
      </c>
      <c r="P19" s="223">
        <v>529116.14</v>
      </c>
    </row>
    <row r="20" spans="1:17" ht="15" customHeight="1" x14ac:dyDescent="0.2">
      <c r="A20" s="227" t="s">
        <v>963</v>
      </c>
      <c r="B20" s="226" t="s">
        <v>530</v>
      </c>
      <c r="C20" s="226" t="s">
        <v>962</v>
      </c>
      <c r="D20" s="226" t="s">
        <v>969</v>
      </c>
      <c r="E20" s="226" t="s">
        <v>802</v>
      </c>
      <c r="F20" s="217" t="s">
        <v>1085</v>
      </c>
      <c r="G20" s="217" t="s">
        <v>1084</v>
      </c>
      <c r="H20" s="224">
        <v>2018</v>
      </c>
      <c r="I20" s="224">
        <v>240</v>
      </c>
      <c r="J20" s="223">
        <v>550949</v>
      </c>
      <c r="K20" s="223">
        <v>5376.91</v>
      </c>
      <c r="L20" s="223">
        <v>545572.09</v>
      </c>
      <c r="M20" s="224">
        <v>0</v>
      </c>
      <c r="N20" s="223">
        <v>545572.09</v>
      </c>
      <c r="O20" s="224">
        <v>0</v>
      </c>
      <c r="P20" s="223">
        <v>545572.09</v>
      </c>
    </row>
    <row r="21" spans="1:17" ht="15" customHeight="1" x14ac:dyDescent="0.2">
      <c r="A21" s="227" t="s">
        <v>963</v>
      </c>
      <c r="B21" s="226" t="s">
        <v>530</v>
      </c>
      <c r="C21" s="226" t="s">
        <v>962</v>
      </c>
      <c r="D21" s="226" t="s">
        <v>586</v>
      </c>
      <c r="E21" s="226" t="s">
        <v>968</v>
      </c>
      <c r="F21" s="217" t="s">
        <v>1088</v>
      </c>
      <c r="G21" s="217" t="s">
        <v>1084</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963</v>
      </c>
      <c r="B22" s="226" t="s">
        <v>530</v>
      </c>
      <c r="C22" s="226" t="s">
        <v>962</v>
      </c>
      <c r="D22" s="226" t="s">
        <v>568</v>
      </c>
      <c r="E22" s="226" t="s">
        <v>964</v>
      </c>
      <c r="F22" s="217" t="s">
        <v>1090</v>
      </c>
      <c r="G22" s="217" t="s">
        <v>1084</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963</v>
      </c>
      <c r="B23" s="226" t="s">
        <v>530</v>
      </c>
      <c r="C23" s="226" t="s">
        <v>962</v>
      </c>
      <c r="D23" s="226" t="s">
        <v>566</v>
      </c>
      <c r="E23" s="226" t="s">
        <v>964</v>
      </c>
      <c r="F23" s="217" t="s">
        <v>1088</v>
      </c>
      <c r="G23" s="217" t="s">
        <v>1084</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963</v>
      </c>
      <c r="B24" s="226" t="s">
        <v>530</v>
      </c>
      <c r="C24" s="226" t="s">
        <v>962</v>
      </c>
      <c r="D24" s="226" t="s">
        <v>572</v>
      </c>
      <c r="E24" s="226" t="s">
        <v>802</v>
      </c>
      <c r="F24" s="217" t="s">
        <v>1086</v>
      </c>
      <c r="G24" s="217" t="s">
        <v>1084</v>
      </c>
      <c r="H24" s="224">
        <v>2018</v>
      </c>
      <c r="I24" s="224">
        <v>2.1</v>
      </c>
      <c r="J24" s="223">
        <v>1129.32</v>
      </c>
      <c r="K24" s="224">
        <v>0</v>
      </c>
      <c r="L24" s="223">
        <v>1129.32</v>
      </c>
      <c r="M24" s="224">
        <v>0</v>
      </c>
      <c r="N24" s="223">
        <v>1129.32</v>
      </c>
      <c r="O24" s="224">
        <v>0</v>
      </c>
      <c r="P24" s="223">
        <v>1129.32</v>
      </c>
    </row>
    <row r="25" spans="1:17" ht="15" customHeight="1" x14ac:dyDescent="0.2">
      <c r="A25" s="227" t="s">
        <v>963</v>
      </c>
      <c r="B25" s="226" t="s">
        <v>530</v>
      </c>
      <c r="C25" s="226" t="s">
        <v>962</v>
      </c>
      <c r="D25" s="226" t="s">
        <v>967</v>
      </c>
      <c r="E25" s="226" t="s">
        <v>802</v>
      </c>
      <c r="F25" s="217" t="s">
        <v>1086</v>
      </c>
      <c r="G25" s="217" t="s">
        <v>1084</v>
      </c>
      <c r="H25" s="224">
        <v>2018</v>
      </c>
      <c r="I25" s="224">
        <v>42</v>
      </c>
      <c r="J25" s="224">
        <v>0</v>
      </c>
      <c r="K25" s="224">
        <v>0</v>
      </c>
      <c r="L25" s="224">
        <v>0</v>
      </c>
      <c r="M25" s="224">
        <v>0</v>
      </c>
      <c r="N25" s="224">
        <v>0</v>
      </c>
      <c r="O25" s="224">
        <v>0</v>
      </c>
      <c r="P25" s="224">
        <v>0</v>
      </c>
    </row>
    <row r="26" spans="1:17" ht="15" customHeight="1" x14ac:dyDescent="0.2">
      <c r="A26" s="227" t="s">
        <v>963</v>
      </c>
      <c r="B26" s="226" t="s">
        <v>530</v>
      </c>
      <c r="C26" s="226" t="s">
        <v>962</v>
      </c>
      <c r="D26" s="226" t="s">
        <v>575</v>
      </c>
      <c r="E26" s="226" t="s">
        <v>802</v>
      </c>
      <c r="F26" s="217" t="s">
        <v>1086</v>
      </c>
      <c r="G26" s="217" t="s">
        <v>1084</v>
      </c>
      <c r="H26" s="224">
        <v>2018</v>
      </c>
      <c r="I26" s="224">
        <v>6</v>
      </c>
      <c r="J26" s="224">
        <v>0</v>
      </c>
      <c r="K26" s="224">
        <v>0</v>
      </c>
      <c r="L26" s="224">
        <v>0</v>
      </c>
      <c r="M26" s="224">
        <v>0</v>
      </c>
      <c r="N26" s="224">
        <v>0</v>
      </c>
      <c r="O26" s="224">
        <v>0</v>
      </c>
      <c r="P26" s="224">
        <v>0</v>
      </c>
    </row>
    <row r="27" spans="1:17" ht="15" customHeight="1" x14ac:dyDescent="0.2">
      <c r="A27" s="227" t="s">
        <v>963</v>
      </c>
      <c r="B27" s="226" t="s">
        <v>530</v>
      </c>
      <c r="C27" s="226" t="s">
        <v>962</v>
      </c>
      <c r="D27" s="226" t="s">
        <v>571</v>
      </c>
      <c r="E27" s="226" t="s">
        <v>802</v>
      </c>
      <c r="F27" s="217" t="s">
        <v>1086</v>
      </c>
      <c r="G27" s="217" t="s">
        <v>1084</v>
      </c>
      <c r="H27" s="224">
        <v>2018</v>
      </c>
      <c r="I27" s="224">
        <v>11</v>
      </c>
      <c r="J27" s="224">
        <v>0</v>
      </c>
      <c r="K27" s="224">
        <v>0</v>
      </c>
      <c r="L27" s="224">
        <v>0</v>
      </c>
      <c r="M27" s="224">
        <v>0</v>
      </c>
      <c r="N27" s="224">
        <v>0</v>
      </c>
      <c r="O27" s="224">
        <v>0</v>
      </c>
      <c r="P27" s="224">
        <v>0</v>
      </c>
    </row>
    <row r="28" spans="1:17" ht="15" customHeight="1" x14ac:dyDescent="0.2">
      <c r="A28" s="227" t="s">
        <v>963</v>
      </c>
      <c r="B28" s="226" t="s">
        <v>530</v>
      </c>
      <c r="C28" s="226" t="s">
        <v>962</v>
      </c>
      <c r="D28" s="226" t="s">
        <v>1126</v>
      </c>
      <c r="E28" s="226" t="s">
        <v>253</v>
      </c>
      <c r="F28" s="217" t="s">
        <v>1088</v>
      </c>
      <c r="G28" s="217" t="s">
        <v>1084</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963</v>
      </c>
      <c r="B29" s="226" t="s">
        <v>530</v>
      </c>
      <c r="C29" s="226" t="s">
        <v>962</v>
      </c>
      <c r="D29" s="226" t="s">
        <v>468</v>
      </c>
      <c r="E29" s="226" t="s">
        <v>146</v>
      </c>
      <c r="F29" s="217" t="s">
        <v>1095</v>
      </c>
      <c r="G29" s="217" t="s">
        <v>1084</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963</v>
      </c>
      <c r="B30" s="226" t="s">
        <v>530</v>
      </c>
      <c r="C30" s="226" t="s">
        <v>962</v>
      </c>
      <c r="D30" s="226" t="s">
        <v>965</v>
      </c>
      <c r="E30" s="226" t="s">
        <v>964</v>
      </c>
      <c r="F30" s="217" t="s">
        <v>1090</v>
      </c>
      <c r="G30" s="217" t="s">
        <v>1084</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963</v>
      </c>
      <c r="B31" s="226" t="s">
        <v>530</v>
      </c>
      <c r="C31" s="226" t="s">
        <v>962</v>
      </c>
      <c r="D31" s="226" t="s">
        <v>559</v>
      </c>
      <c r="E31" s="226" t="s">
        <v>146</v>
      </c>
      <c r="F31" s="217" t="s">
        <v>1096</v>
      </c>
      <c r="G31" s="217" t="s">
        <v>1084</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1056</v>
      </c>
      <c r="B32" s="221" t="s">
        <v>770</v>
      </c>
      <c r="C32" s="219" t="s">
        <v>1055</v>
      </c>
      <c r="D32" s="219" t="s">
        <v>1054</v>
      </c>
      <c r="E32" s="219" t="s">
        <v>1053</v>
      </c>
      <c r="F32" s="218" t="s">
        <v>1086</v>
      </c>
      <c r="G32" s="217" t="s">
        <v>1084</v>
      </c>
      <c r="H32" s="216">
        <v>2018</v>
      </c>
      <c r="I32" s="216">
        <v>0.8</v>
      </c>
      <c r="J32" s="215">
        <v>7017.39</v>
      </c>
      <c r="K32" s="216">
        <v>0</v>
      </c>
      <c r="L32" s="215">
        <v>7017.39</v>
      </c>
      <c r="M32" s="216">
        <v>174.2</v>
      </c>
      <c r="N32" s="215">
        <v>7017.39</v>
      </c>
      <c r="O32" s="215">
        <v>7191.59</v>
      </c>
      <c r="P32" s="216">
        <v>0</v>
      </c>
    </row>
    <row r="33" spans="1:16" ht="15" customHeight="1" x14ac:dyDescent="0.2">
      <c r="A33" s="220" t="s">
        <v>886</v>
      </c>
      <c r="B33" s="219" t="s">
        <v>770</v>
      </c>
      <c r="C33" s="219" t="s">
        <v>885</v>
      </c>
      <c r="D33" s="219" t="s">
        <v>884</v>
      </c>
      <c r="E33" s="219" t="s">
        <v>253</v>
      </c>
      <c r="F33" s="218" t="s">
        <v>1086</v>
      </c>
      <c r="G33" s="217" t="s">
        <v>1084</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1052</v>
      </c>
      <c r="B34" s="219" t="s">
        <v>770</v>
      </c>
      <c r="C34" s="219" t="s">
        <v>1051</v>
      </c>
      <c r="D34" s="219" t="s">
        <v>1050</v>
      </c>
      <c r="E34" s="219" t="s">
        <v>768</v>
      </c>
      <c r="F34" s="218" t="s">
        <v>1085</v>
      </c>
      <c r="G34" s="217" t="s">
        <v>1084</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1049</v>
      </c>
      <c r="B35" s="219" t="s">
        <v>770</v>
      </c>
      <c r="C35" s="219" t="s">
        <v>1048</v>
      </c>
      <c r="D35" s="219" t="s">
        <v>1047</v>
      </c>
      <c r="E35" s="219" t="s">
        <v>773</v>
      </c>
      <c r="F35" s="218" t="s">
        <v>1085</v>
      </c>
      <c r="G35" s="217" t="s">
        <v>1084</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829</v>
      </c>
      <c r="B36" s="219" t="s">
        <v>770</v>
      </c>
      <c r="C36" s="219" t="s">
        <v>1046</v>
      </c>
      <c r="D36" s="219" t="s">
        <v>1045</v>
      </c>
      <c r="E36" s="219" t="s">
        <v>773</v>
      </c>
      <c r="F36" s="218" t="s">
        <v>1085</v>
      </c>
      <c r="G36" s="217" t="s">
        <v>1084</v>
      </c>
      <c r="H36" s="216">
        <v>2018</v>
      </c>
      <c r="I36" s="216">
        <v>10</v>
      </c>
      <c r="J36" s="215">
        <v>27261.72</v>
      </c>
      <c r="K36" s="216">
        <v>0</v>
      </c>
      <c r="L36" s="215">
        <v>27261.72</v>
      </c>
      <c r="M36" s="216">
        <v>101.32</v>
      </c>
      <c r="N36" s="215">
        <v>27261.72</v>
      </c>
      <c r="O36" s="216">
        <v>29.88</v>
      </c>
      <c r="P36" s="215">
        <v>27261.72</v>
      </c>
    </row>
    <row r="37" spans="1:16" ht="15" customHeight="1" x14ac:dyDescent="0.2">
      <c r="A37" s="220" t="s">
        <v>1044</v>
      </c>
      <c r="B37" s="219" t="s">
        <v>770</v>
      </c>
      <c r="C37" s="219" t="s">
        <v>1043</v>
      </c>
      <c r="D37" s="219" t="s">
        <v>1042</v>
      </c>
      <c r="E37" s="219" t="s">
        <v>773</v>
      </c>
      <c r="F37" s="218" t="s">
        <v>1085</v>
      </c>
      <c r="G37" s="217" t="s">
        <v>1084</v>
      </c>
      <c r="H37" s="216">
        <v>2018</v>
      </c>
      <c r="I37" s="216">
        <v>19.98</v>
      </c>
      <c r="J37" s="215">
        <v>53464.91</v>
      </c>
      <c r="K37" s="216">
        <v>0</v>
      </c>
      <c r="L37" s="215">
        <v>53464.91</v>
      </c>
      <c r="M37" s="216">
        <v>175.33</v>
      </c>
      <c r="N37" s="215">
        <v>53464.91</v>
      </c>
      <c r="O37" s="216">
        <v>33.69</v>
      </c>
      <c r="P37" s="215">
        <v>53464.91</v>
      </c>
    </row>
    <row r="38" spans="1:16" ht="15" customHeight="1" x14ac:dyDescent="0.2">
      <c r="A38" s="220" t="s">
        <v>1041</v>
      </c>
      <c r="B38" s="219" t="s">
        <v>770</v>
      </c>
      <c r="C38" s="219" t="s">
        <v>1040</v>
      </c>
      <c r="D38" s="219" t="s">
        <v>531</v>
      </c>
      <c r="E38" s="219" t="s">
        <v>146</v>
      </c>
      <c r="F38" s="218" t="s">
        <v>1115</v>
      </c>
      <c r="G38" s="217" t="s">
        <v>1084</v>
      </c>
      <c r="H38" s="216">
        <v>2018</v>
      </c>
      <c r="I38" s="216">
        <v>600</v>
      </c>
      <c r="J38" s="215">
        <v>1857223</v>
      </c>
      <c r="K38" s="215">
        <v>150128</v>
      </c>
      <c r="L38" s="215">
        <v>1707095</v>
      </c>
      <c r="M38" s="216">
        <v>0</v>
      </c>
      <c r="N38" s="215">
        <v>1707095</v>
      </c>
      <c r="O38" s="216">
        <v>0</v>
      </c>
      <c r="P38" s="215">
        <v>1707095</v>
      </c>
    </row>
    <row r="39" spans="1:16" x14ac:dyDescent="0.2">
      <c r="A39" s="220" t="s">
        <v>1039</v>
      </c>
      <c r="B39" s="219" t="s">
        <v>770</v>
      </c>
      <c r="C39" s="219" t="s">
        <v>1038</v>
      </c>
      <c r="D39" s="219" t="s">
        <v>1037</v>
      </c>
      <c r="E39" s="219" t="s">
        <v>253</v>
      </c>
      <c r="F39" s="218" t="s">
        <v>1086</v>
      </c>
      <c r="G39" s="217" t="s">
        <v>1084</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1036</v>
      </c>
      <c r="B40" s="219" t="s">
        <v>770</v>
      </c>
      <c r="C40" s="219" t="s">
        <v>1125</v>
      </c>
      <c r="D40" s="219" t="s">
        <v>1034</v>
      </c>
      <c r="E40" s="219" t="s">
        <v>253</v>
      </c>
      <c r="F40" s="218" t="s">
        <v>1088</v>
      </c>
      <c r="G40" s="217" t="s">
        <v>1084</v>
      </c>
      <c r="H40" s="216">
        <v>2018</v>
      </c>
      <c r="I40" s="216">
        <v>90.8</v>
      </c>
      <c r="J40" s="215">
        <v>287529.33</v>
      </c>
      <c r="K40" s="216">
        <v>0</v>
      </c>
      <c r="L40" s="215">
        <v>287529.33</v>
      </c>
      <c r="M40" s="216">
        <v>385.34</v>
      </c>
      <c r="N40" s="215">
        <v>287143.99</v>
      </c>
      <c r="O40" s="216">
        <v>385.34</v>
      </c>
      <c r="P40" s="215">
        <v>287529.33</v>
      </c>
    </row>
    <row r="41" spans="1:16" x14ac:dyDescent="0.2">
      <c r="A41" s="220" t="s">
        <v>1033</v>
      </c>
      <c r="B41" s="219" t="s">
        <v>770</v>
      </c>
      <c r="C41" s="219" t="s">
        <v>1032</v>
      </c>
      <c r="D41" s="219" t="s">
        <v>1031</v>
      </c>
      <c r="E41" s="219" t="s">
        <v>773</v>
      </c>
      <c r="F41" s="218" t="s">
        <v>1088</v>
      </c>
      <c r="G41" s="217" t="s">
        <v>1084</v>
      </c>
      <c r="H41" s="216">
        <v>2018</v>
      </c>
      <c r="I41" s="216">
        <v>9</v>
      </c>
      <c r="J41" s="215">
        <v>18691.12</v>
      </c>
      <c r="K41" s="216">
        <v>135.21</v>
      </c>
      <c r="L41" s="215">
        <v>18826.330000000002</v>
      </c>
      <c r="M41" s="216">
        <v>0</v>
      </c>
      <c r="N41" s="215">
        <v>18691.12</v>
      </c>
      <c r="O41" s="216">
        <v>0</v>
      </c>
      <c r="P41" s="215">
        <v>18691.12</v>
      </c>
    </row>
    <row r="42" spans="1:16" x14ac:dyDescent="0.2">
      <c r="A42" s="220" t="s">
        <v>981</v>
      </c>
      <c r="B42" s="219" t="s">
        <v>770</v>
      </c>
      <c r="C42" s="219" t="s">
        <v>1124</v>
      </c>
      <c r="D42" s="219" t="s">
        <v>979</v>
      </c>
      <c r="E42" s="219" t="s">
        <v>253</v>
      </c>
      <c r="F42" s="218" t="s">
        <v>1086</v>
      </c>
      <c r="G42" s="217" t="s">
        <v>1084</v>
      </c>
      <c r="H42" s="216">
        <v>2018</v>
      </c>
      <c r="I42" s="216">
        <v>1.8</v>
      </c>
      <c r="J42" s="215">
        <v>5559.23</v>
      </c>
      <c r="K42" s="216">
        <v>0</v>
      </c>
      <c r="L42" s="215">
        <v>5559.23</v>
      </c>
      <c r="M42" s="216">
        <v>0</v>
      </c>
      <c r="N42" s="215">
        <v>5559.23</v>
      </c>
      <c r="O42" s="216">
        <v>0</v>
      </c>
      <c r="P42" s="215">
        <v>5559.23</v>
      </c>
    </row>
    <row r="43" spans="1:16" x14ac:dyDescent="0.2">
      <c r="A43" s="220" t="s">
        <v>1030</v>
      </c>
      <c r="B43" s="219" t="s">
        <v>770</v>
      </c>
      <c r="C43" s="219" t="s">
        <v>1029</v>
      </c>
      <c r="D43" s="219" t="s">
        <v>1028</v>
      </c>
      <c r="E43" s="219" t="s">
        <v>833</v>
      </c>
      <c r="F43" s="217" t="s">
        <v>1090</v>
      </c>
      <c r="G43" s="217" t="s">
        <v>1084</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1026</v>
      </c>
      <c r="B44" s="219" t="s">
        <v>770</v>
      </c>
      <c r="C44" s="219" t="s">
        <v>1025</v>
      </c>
      <c r="D44" s="219" t="s">
        <v>1027</v>
      </c>
      <c r="E44" s="219" t="s">
        <v>802</v>
      </c>
      <c r="F44" s="218" t="s">
        <v>1097</v>
      </c>
      <c r="G44" s="217" t="s">
        <v>1084</v>
      </c>
      <c r="H44" s="216">
        <v>2018</v>
      </c>
      <c r="I44" s="216">
        <v>4</v>
      </c>
      <c r="J44" s="215">
        <v>28112.14</v>
      </c>
      <c r="K44" s="216">
        <v>0</v>
      </c>
      <c r="L44" s="215">
        <v>28112.14</v>
      </c>
      <c r="M44" s="216">
        <v>0</v>
      </c>
      <c r="N44" s="215">
        <v>28112.14</v>
      </c>
      <c r="O44" s="216">
        <v>11.45</v>
      </c>
      <c r="P44" s="215">
        <v>28100.69</v>
      </c>
    </row>
    <row r="45" spans="1:16" x14ac:dyDescent="0.2">
      <c r="A45" s="220" t="s">
        <v>1026</v>
      </c>
      <c r="B45" s="219" t="s">
        <v>770</v>
      </c>
      <c r="C45" s="219" t="s">
        <v>1025</v>
      </c>
      <c r="D45" s="219" t="s">
        <v>1024</v>
      </c>
      <c r="E45" s="219" t="s">
        <v>802</v>
      </c>
      <c r="F45" s="218" t="s">
        <v>1097</v>
      </c>
      <c r="G45" s="217" t="s">
        <v>1084</v>
      </c>
      <c r="H45" s="216">
        <v>2018</v>
      </c>
      <c r="I45" s="216">
        <v>3</v>
      </c>
      <c r="J45" s="215">
        <v>17759.64</v>
      </c>
      <c r="K45" s="216">
        <v>0</v>
      </c>
      <c r="L45" s="215">
        <v>17759.64</v>
      </c>
      <c r="M45" s="216">
        <v>0</v>
      </c>
      <c r="N45" s="215">
        <v>17759.64</v>
      </c>
      <c r="O45" s="216">
        <v>10.1</v>
      </c>
      <c r="P45" s="215">
        <v>17749.54</v>
      </c>
    </row>
    <row r="46" spans="1:16" x14ac:dyDescent="0.2">
      <c r="A46" s="220" t="s">
        <v>1023</v>
      </c>
      <c r="B46" s="219" t="s">
        <v>770</v>
      </c>
      <c r="C46" s="219" t="s">
        <v>1022</v>
      </c>
      <c r="D46" s="219" t="s">
        <v>1021</v>
      </c>
      <c r="E46" s="219" t="s">
        <v>253</v>
      </c>
      <c r="F46" s="218" t="s">
        <v>1085</v>
      </c>
      <c r="G46" s="217" t="s">
        <v>1084</v>
      </c>
      <c r="H46" s="216">
        <v>2018</v>
      </c>
      <c r="I46" s="216">
        <v>135.19999999999999</v>
      </c>
      <c r="J46" s="215">
        <v>336163.48</v>
      </c>
      <c r="K46" s="216">
        <v>0</v>
      </c>
      <c r="L46" s="215">
        <v>336163.48</v>
      </c>
      <c r="M46" s="215">
        <v>1514.49</v>
      </c>
      <c r="N46" s="215">
        <v>336163.48</v>
      </c>
      <c r="O46" s="215">
        <v>1514.49</v>
      </c>
      <c r="P46" s="215">
        <v>336163.48</v>
      </c>
    </row>
    <row r="47" spans="1:16" x14ac:dyDescent="0.2">
      <c r="A47" s="222" t="s">
        <v>1020</v>
      </c>
      <c r="B47" s="221" t="s">
        <v>770</v>
      </c>
      <c r="C47" s="219" t="s">
        <v>1019</v>
      </c>
      <c r="D47" s="219" t="s">
        <v>1123</v>
      </c>
      <c r="E47" s="219" t="s">
        <v>130</v>
      </c>
      <c r="F47" s="218" t="s">
        <v>1115</v>
      </c>
      <c r="G47" s="217" t="s">
        <v>1084</v>
      </c>
      <c r="H47" s="216">
        <v>2018</v>
      </c>
      <c r="I47" s="216">
        <v>4.2</v>
      </c>
      <c r="J47" s="215">
        <v>18919.62</v>
      </c>
      <c r="K47" s="215">
        <v>3059.41</v>
      </c>
      <c r="L47" s="215">
        <v>15860.21</v>
      </c>
      <c r="M47" s="216">
        <v>0</v>
      </c>
      <c r="N47" s="215">
        <v>15860.21</v>
      </c>
      <c r="O47" s="216">
        <v>0</v>
      </c>
      <c r="P47" s="215">
        <v>15860.21</v>
      </c>
    </row>
    <row r="48" spans="1:16" x14ac:dyDescent="0.2">
      <c r="A48" s="220" t="s">
        <v>1017</v>
      </c>
      <c r="B48" s="219" t="s">
        <v>770</v>
      </c>
      <c r="C48" s="219" t="s">
        <v>1016</v>
      </c>
      <c r="D48" s="219" t="s">
        <v>1015</v>
      </c>
      <c r="E48" s="219" t="s">
        <v>253</v>
      </c>
      <c r="F48" s="218" t="s">
        <v>1085</v>
      </c>
      <c r="G48" s="217" t="s">
        <v>1084</v>
      </c>
      <c r="H48" s="216">
        <v>2018</v>
      </c>
      <c r="I48" s="216">
        <v>21</v>
      </c>
      <c r="J48" s="215">
        <v>59884.14</v>
      </c>
      <c r="K48" s="216">
        <v>0</v>
      </c>
      <c r="L48" s="215">
        <v>59884.14</v>
      </c>
      <c r="M48" s="216">
        <v>130.03</v>
      </c>
      <c r="N48" s="215">
        <v>59754.11</v>
      </c>
      <c r="O48" s="216">
        <v>0</v>
      </c>
      <c r="P48" s="215">
        <v>59754.11</v>
      </c>
    </row>
    <row r="49" spans="1:16" x14ac:dyDescent="0.2">
      <c r="A49" s="220">
        <v>820655</v>
      </c>
      <c r="B49" s="219" t="s">
        <v>804</v>
      </c>
      <c r="C49" s="219" t="s">
        <v>1011</v>
      </c>
      <c r="D49" s="219" t="s">
        <v>1014</v>
      </c>
      <c r="E49" s="219" t="s">
        <v>833</v>
      </c>
      <c r="F49" s="218" t="s">
        <v>1088</v>
      </c>
      <c r="G49" s="217" t="s">
        <v>1084</v>
      </c>
      <c r="H49" s="216">
        <v>2018</v>
      </c>
      <c r="I49" s="216">
        <v>40</v>
      </c>
      <c r="J49" s="216">
        <v>158.16999999999999</v>
      </c>
      <c r="K49" s="216">
        <v>89.28</v>
      </c>
      <c r="L49" s="216">
        <v>68.89</v>
      </c>
      <c r="M49" s="216">
        <v>0</v>
      </c>
      <c r="N49" s="216">
        <v>68.89</v>
      </c>
      <c r="O49" s="216">
        <v>0</v>
      </c>
      <c r="P49" s="216">
        <v>68.89</v>
      </c>
    </row>
    <row r="50" spans="1:16" x14ac:dyDescent="0.2">
      <c r="A50" s="220">
        <v>820655</v>
      </c>
      <c r="B50" s="219" t="s">
        <v>804</v>
      </c>
      <c r="C50" s="219" t="s">
        <v>1011</v>
      </c>
      <c r="D50" s="219" t="s">
        <v>1013</v>
      </c>
      <c r="E50" s="219" t="s">
        <v>833</v>
      </c>
      <c r="F50" s="218" t="s">
        <v>1088</v>
      </c>
      <c r="G50" s="217" t="s">
        <v>1084</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804</v>
      </c>
      <c r="C51" s="219" t="s">
        <v>1011</v>
      </c>
      <c r="D51" s="219" t="s">
        <v>1010</v>
      </c>
      <c r="E51" s="219" t="s">
        <v>964</v>
      </c>
      <c r="F51" s="218" t="s">
        <v>1088</v>
      </c>
      <c r="G51" s="217" t="s">
        <v>1084</v>
      </c>
      <c r="H51" s="216">
        <v>2018</v>
      </c>
      <c r="I51" s="216">
        <v>180</v>
      </c>
      <c r="J51" s="215">
        <v>69519.759999999995</v>
      </c>
      <c r="K51" s="216">
        <v>821.56</v>
      </c>
      <c r="L51" s="215">
        <v>68698.2</v>
      </c>
      <c r="M51" s="215">
        <v>61116.4</v>
      </c>
      <c r="N51" s="215">
        <v>7581.8</v>
      </c>
      <c r="O51" s="216">
        <v>0</v>
      </c>
      <c r="P51" s="215">
        <v>7581.8</v>
      </c>
    </row>
    <row r="52" spans="1:16" x14ac:dyDescent="0.2">
      <c r="A52" s="220" t="s">
        <v>1008</v>
      </c>
      <c r="B52" s="219" t="s">
        <v>804</v>
      </c>
      <c r="C52" s="219" t="s">
        <v>1121</v>
      </c>
      <c r="D52" s="219" t="s">
        <v>1122</v>
      </c>
      <c r="E52" s="219" t="s">
        <v>146</v>
      </c>
      <c r="F52" s="218" t="s">
        <v>1115</v>
      </c>
      <c r="G52" s="217" t="s">
        <v>1084</v>
      </c>
      <c r="H52" s="216">
        <v>2018</v>
      </c>
      <c r="I52" s="216">
        <v>300</v>
      </c>
      <c r="J52" s="216">
        <v>0</v>
      </c>
      <c r="K52" s="216">
        <v>0</v>
      </c>
      <c r="L52" s="216">
        <v>0</v>
      </c>
      <c r="M52" s="215">
        <v>3503.9</v>
      </c>
      <c r="N52" s="215">
        <v>-3503.9</v>
      </c>
      <c r="O52" s="216">
        <v>0</v>
      </c>
      <c r="P52" s="216"/>
    </row>
    <row r="53" spans="1:16" x14ac:dyDescent="0.2">
      <c r="A53" s="220" t="s">
        <v>1008</v>
      </c>
      <c r="B53" s="219" t="s">
        <v>804</v>
      </c>
      <c r="C53" s="219" t="s">
        <v>1121</v>
      </c>
      <c r="D53" s="219" t="s">
        <v>1006</v>
      </c>
      <c r="E53" s="219" t="s">
        <v>1005</v>
      </c>
      <c r="F53" s="218" t="s">
        <v>1115</v>
      </c>
      <c r="G53" s="217" t="s">
        <v>1084</v>
      </c>
      <c r="H53" s="216">
        <v>2018</v>
      </c>
      <c r="I53" s="216">
        <v>204</v>
      </c>
      <c r="J53" s="216">
        <v>0</v>
      </c>
      <c r="K53" s="216">
        <v>0</v>
      </c>
      <c r="L53" s="216">
        <v>0</v>
      </c>
      <c r="M53" s="216">
        <v>0</v>
      </c>
      <c r="N53" s="216">
        <v>0</v>
      </c>
      <c r="O53" s="215">
        <v>2174</v>
      </c>
      <c r="P53" s="216"/>
    </row>
    <row r="54" spans="1:16" x14ac:dyDescent="0.2">
      <c r="A54" s="220" t="s">
        <v>1004</v>
      </c>
      <c r="B54" s="219" t="s">
        <v>770</v>
      </c>
      <c r="C54" s="219" t="s">
        <v>1003</v>
      </c>
      <c r="D54" s="219" t="s">
        <v>1120</v>
      </c>
      <c r="E54" s="219" t="s">
        <v>802</v>
      </c>
      <c r="F54" s="218" t="s">
        <v>1088</v>
      </c>
      <c r="G54" s="217" t="s">
        <v>1084</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1001</v>
      </c>
      <c r="B55" s="219" t="s">
        <v>770</v>
      </c>
      <c r="C55" s="219" t="s">
        <v>1000</v>
      </c>
      <c r="D55" s="219" t="s">
        <v>1119</v>
      </c>
      <c r="E55" s="219" t="s">
        <v>773</v>
      </c>
      <c r="F55" s="218" t="s">
        <v>1095</v>
      </c>
      <c r="G55" s="217" t="s">
        <v>1084</v>
      </c>
      <c r="H55" s="216">
        <v>2018</v>
      </c>
      <c r="I55" s="216">
        <v>30</v>
      </c>
      <c r="J55" s="215">
        <v>59888.800000000003</v>
      </c>
      <c r="K55" s="216">
        <v>0</v>
      </c>
      <c r="L55" s="215">
        <v>59888.800000000003</v>
      </c>
      <c r="M55" s="216">
        <v>425.2</v>
      </c>
      <c r="N55" s="215">
        <v>59463.6</v>
      </c>
      <c r="O55" s="216">
        <v>0</v>
      </c>
      <c r="P55" s="215">
        <v>59463.6</v>
      </c>
    </row>
    <row r="56" spans="1:16" x14ac:dyDescent="0.2">
      <c r="A56" s="220" t="s">
        <v>999</v>
      </c>
      <c r="B56" s="219" t="s">
        <v>770</v>
      </c>
      <c r="C56" s="219" t="s">
        <v>998</v>
      </c>
      <c r="D56" s="219" t="s">
        <v>997</v>
      </c>
      <c r="E56" s="219" t="s">
        <v>253</v>
      </c>
      <c r="F56" s="218" t="s">
        <v>1085</v>
      </c>
      <c r="G56" s="217" t="s">
        <v>1084</v>
      </c>
      <c r="H56" s="216">
        <v>2018</v>
      </c>
      <c r="I56" s="216">
        <v>75</v>
      </c>
      <c r="J56" s="215">
        <v>228711.26</v>
      </c>
      <c r="K56" s="216">
        <v>540.02</v>
      </c>
      <c r="L56" s="215">
        <v>228171.24</v>
      </c>
      <c r="M56" s="216">
        <v>0</v>
      </c>
      <c r="N56" s="215">
        <v>228171.24</v>
      </c>
      <c r="O56" s="216">
        <v>540.02</v>
      </c>
      <c r="P56" s="215">
        <v>228171.24</v>
      </c>
    </row>
    <row r="57" spans="1:16" x14ac:dyDescent="0.2">
      <c r="A57" s="220" t="s">
        <v>996</v>
      </c>
      <c r="B57" s="219" t="s">
        <v>770</v>
      </c>
      <c r="C57" s="219" t="s">
        <v>995</v>
      </c>
      <c r="D57" s="219" t="s">
        <v>1118</v>
      </c>
      <c r="E57" s="219" t="s">
        <v>773</v>
      </c>
      <c r="F57" s="218" t="s">
        <v>1088</v>
      </c>
      <c r="G57" s="217" t="s">
        <v>1084</v>
      </c>
      <c r="H57" s="216">
        <v>2018</v>
      </c>
      <c r="I57" s="216">
        <v>36</v>
      </c>
      <c r="J57" s="215">
        <v>70552.17</v>
      </c>
      <c r="K57" s="216">
        <v>0</v>
      </c>
      <c r="L57" s="215">
        <v>70552.17</v>
      </c>
      <c r="M57" s="216">
        <v>153.01</v>
      </c>
      <c r="N57" s="215">
        <v>70399.16</v>
      </c>
      <c r="O57" s="216">
        <v>0</v>
      </c>
      <c r="P57" s="215">
        <v>70552.17</v>
      </c>
    </row>
    <row r="58" spans="1:16" x14ac:dyDescent="0.2">
      <c r="A58" s="220" t="s">
        <v>993</v>
      </c>
      <c r="B58" s="219" t="s">
        <v>770</v>
      </c>
      <c r="C58" s="219" t="s">
        <v>992</v>
      </c>
      <c r="D58" s="219" t="s">
        <v>1117</v>
      </c>
      <c r="E58" s="219" t="s">
        <v>253</v>
      </c>
      <c r="F58" s="218" t="s">
        <v>1088</v>
      </c>
      <c r="G58" s="217" t="s">
        <v>1084</v>
      </c>
      <c r="H58" s="216">
        <v>2018</v>
      </c>
      <c r="I58" s="216">
        <v>5.2</v>
      </c>
      <c r="J58" s="215">
        <v>7786.4</v>
      </c>
      <c r="K58" s="216">
        <v>0</v>
      </c>
      <c r="L58" s="215">
        <v>7786.4</v>
      </c>
      <c r="M58" s="216">
        <v>57.93</v>
      </c>
      <c r="N58" s="215">
        <v>7728.48</v>
      </c>
      <c r="O58" s="216">
        <v>0</v>
      </c>
      <c r="P58" s="215">
        <v>7728.48</v>
      </c>
    </row>
    <row r="59" spans="1:16" x14ac:dyDescent="0.2">
      <c r="A59" s="220" t="s">
        <v>990</v>
      </c>
      <c r="B59" s="219" t="s">
        <v>770</v>
      </c>
      <c r="C59" s="219" t="s">
        <v>989</v>
      </c>
      <c r="D59" s="219" t="s">
        <v>988</v>
      </c>
      <c r="E59" s="219" t="s">
        <v>833</v>
      </c>
      <c r="F59" s="218" t="s">
        <v>1086</v>
      </c>
      <c r="G59" s="217" t="s">
        <v>1084</v>
      </c>
      <c r="H59" s="216">
        <v>2018</v>
      </c>
      <c r="I59" s="216">
        <v>335</v>
      </c>
      <c r="J59" s="215">
        <v>121766.35</v>
      </c>
      <c r="K59" s="215">
        <v>1329.99</v>
      </c>
      <c r="L59" s="215">
        <v>120436.35</v>
      </c>
      <c r="M59" s="215">
        <v>6720.49</v>
      </c>
      <c r="N59" s="215">
        <v>120436.35</v>
      </c>
      <c r="O59" s="216">
        <v>0</v>
      </c>
      <c r="P59" s="215">
        <v>120436.35</v>
      </c>
    </row>
    <row r="60" spans="1:16" x14ac:dyDescent="0.2">
      <c r="A60" s="220" t="s">
        <v>987</v>
      </c>
      <c r="B60" s="219" t="s">
        <v>770</v>
      </c>
      <c r="C60" s="219" t="s">
        <v>986</v>
      </c>
      <c r="D60" s="219" t="s">
        <v>985</v>
      </c>
      <c r="E60" s="219" t="s">
        <v>253</v>
      </c>
      <c r="F60" s="218" t="s">
        <v>1086</v>
      </c>
      <c r="G60" s="217" t="s">
        <v>1084</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984</v>
      </c>
      <c r="B61" s="219" t="s">
        <v>770</v>
      </c>
      <c r="C61" s="219" t="s">
        <v>983</v>
      </c>
      <c r="D61" s="219" t="s">
        <v>982</v>
      </c>
      <c r="E61" s="219" t="s">
        <v>773</v>
      </c>
      <c r="F61" s="218" t="s">
        <v>1088</v>
      </c>
      <c r="G61" s="217" t="s">
        <v>1084</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977</v>
      </c>
      <c r="B62" s="219" t="s">
        <v>770</v>
      </c>
      <c r="C62" s="219" t="s">
        <v>976</v>
      </c>
      <c r="D62" s="219" t="s">
        <v>978</v>
      </c>
      <c r="E62" s="219" t="s">
        <v>974</v>
      </c>
      <c r="F62" s="218" t="s">
        <v>1115</v>
      </c>
      <c r="G62" s="217" t="s">
        <v>1084</v>
      </c>
      <c r="H62" s="216">
        <v>2018</v>
      </c>
      <c r="I62" s="216">
        <v>3</v>
      </c>
      <c r="J62" s="215">
        <v>20344.45</v>
      </c>
      <c r="K62" s="216">
        <v>0</v>
      </c>
      <c r="L62" s="215">
        <v>20344.45</v>
      </c>
      <c r="M62" s="216">
        <v>0</v>
      </c>
      <c r="N62" s="215">
        <v>20344.45</v>
      </c>
      <c r="O62" s="216">
        <v>0</v>
      </c>
      <c r="P62" s="215">
        <v>20344.45</v>
      </c>
    </row>
    <row r="63" spans="1:16" x14ac:dyDescent="0.2">
      <c r="A63" s="222" t="s">
        <v>977</v>
      </c>
      <c r="B63" s="221" t="s">
        <v>770</v>
      </c>
      <c r="C63" s="219" t="s">
        <v>976</v>
      </c>
      <c r="D63" s="219" t="s">
        <v>975</v>
      </c>
      <c r="E63" s="219" t="s">
        <v>974</v>
      </c>
      <c r="F63" s="218" t="s">
        <v>1115</v>
      </c>
      <c r="G63" s="217" t="s">
        <v>1084</v>
      </c>
      <c r="H63" s="216">
        <v>2018</v>
      </c>
      <c r="I63" s="216">
        <v>5</v>
      </c>
      <c r="J63" s="215">
        <v>2954.68</v>
      </c>
      <c r="K63" s="216">
        <v>6.03</v>
      </c>
      <c r="L63" s="215">
        <v>2954.68</v>
      </c>
      <c r="M63" s="216">
        <v>6.03</v>
      </c>
      <c r="N63" s="215">
        <v>2954.68</v>
      </c>
      <c r="O63" s="216">
        <v>6.03</v>
      </c>
      <c r="P63" s="215">
        <v>2954.68</v>
      </c>
    </row>
    <row r="64" spans="1:16" x14ac:dyDescent="0.2">
      <c r="A64" s="222" t="s">
        <v>977</v>
      </c>
      <c r="B64" s="221" t="s">
        <v>770</v>
      </c>
      <c r="C64" s="219" t="s">
        <v>976</v>
      </c>
      <c r="D64" s="219" t="s">
        <v>1116</v>
      </c>
      <c r="E64" s="219" t="s">
        <v>974</v>
      </c>
      <c r="F64" s="218" t="s">
        <v>1115</v>
      </c>
      <c r="G64" s="217" t="s">
        <v>1084</v>
      </c>
      <c r="H64" s="216">
        <v>2018</v>
      </c>
      <c r="I64" s="216">
        <v>5</v>
      </c>
      <c r="J64" s="215">
        <v>9794.1</v>
      </c>
      <c r="K64" s="216">
        <v>4.95</v>
      </c>
      <c r="L64" s="215">
        <v>9794.1</v>
      </c>
      <c r="M64" s="216">
        <v>4.95</v>
      </c>
      <c r="N64" s="215">
        <v>9794.1</v>
      </c>
      <c r="O64" s="216">
        <v>4.95</v>
      </c>
      <c r="P64" s="215">
        <v>9794.1</v>
      </c>
    </row>
    <row r="65" spans="1:16" x14ac:dyDescent="0.2">
      <c r="A65" s="220" t="s">
        <v>973</v>
      </c>
      <c r="B65" s="219" t="s">
        <v>770</v>
      </c>
      <c r="C65" s="219" t="s">
        <v>972</v>
      </c>
      <c r="D65" s="219" t="s">
        <v>971</v>
      </c>
      <c r="E65" s="219" t="s">
        <v>773</v>
      </c>
      <c r="F65" s="218" t="s">
        <v>1115</v>
      </c>
      <c r="G65" s="217" t="s">
        <v>1084</v>
      </c>
      <c r="H65" s="216">
        <v>2018</v>
      </c>
      <c r="I65" s="216">
        <v>28</v>
      </c>
      <c r="J65" s="215">
        <v>58938.3</v>
      </c>
      <c r="K65" s="216">
        <v>0</v>
      </c>
      <c r="L65" s="215">
        <v>58938.3</v>
      </c>
      <c r="M65" s="216">
        <v>592.4</v>
      </c>
      <c r="N65" s="215">
        <v>58345.9</v>
      </c>
      <c r="O65" s="216">
        <v>0</v>
      </c>
      <c r="P65" s="215">
        <v>58345.9</v>
      </c>
    </row>
    <row r="66" spans="1:16" x14ac:dyDescent="0.2">
      <c r="A66" s="220" t="s">
        <v>961</v>
      </c>
      <c r="B66" s="219" t="s">
        <v>770</v>
      </c>
      <c r="C66" s="219" t="s">
        <v>960</v>
      </c>
      <c r="D66" s="219" t="s">
        <v>959</v>
      </c>
      <c r="E66" s="219" t="s">
        <v>773</v>
      </c>
      <c r="F66" s="218" t="s">
        <v>1085</v>
      </c>
      <c r="G66" s="217" t="s">
        <v>1084</v>
      </c>
      <c r="H66" s="216">
        <v>2018</v>
      </c>
      <c r="I66" s="216">
        <v>60</v>
      </c>
      <c r="J66" s="215">
        <v>128270.93</v>
      </c>
      <c r="K66" s="216">
        <v>0</v>
      </c>
      <c r="L66" s="215">
        <v>128270.93</v>
      </c>
      <c r="M66" s="216">
        <v>817.64</v>
      </c>
      <c r="N66" s="215">
        <v>127453.29</v>
      </c>
      <c r="O66" s="216">
        <v>0</v>
      </c>
      <c r="P66" s="215">
        <v>127453.29</v>
      </c>
    </row>
    <row r="67" spans="1:16" x14ac:dyDescent="0.2">
      <c r="A67" s="220" t="s">
        <v>958</v>
      </c>
      <c r="B67" s="219" t="s">
        <v>770</v>
      </c>
      <c r="C67" s="219" t="s">
        <v>957</v>
      </c>
      <c r="D67" s="219" t="s">
        <v>956</v>
      </c>
      <c r="E67" s="219" t="s">
        <v>773</v>
      </c>
      <c r="F67" s="218" t="s">
        <v>1086</v>
      </c>
      <c r="G67" s="217" t="s">
        <v>1084</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955</v>
      </c>
      <c r="B68" s="219" t="s">
        <v>770</v>
      </c>
      <c r="C68" s="219" t="s">
        <v>954</v>
      </c>
      <c r="D68" s="219" t="s">
        <v>1114</v>
      </c>
      <c r="E68" s="219" t="s">
        <v>802</v>
      </c>
      <c r="F68" s="218" t="s">
        <v>1096</v>
      </c>
      <c r="G68" s="217" t="s">
        <v>1084</v>
      </c>
      <c r="H68" s="216">
        <v>2018</v>
      </c>
      <c r="I68" s="216">
        <v>2.5</v>
      </c>
      <c r="J68" s="215">
        <v>12472.39</v>
      </c>
      <c r="K68" s="216">
        <v>0</v>
      </c>
      <c r="L68" s="215">
        <v>12472.39</v>
      </c>
      <c r="M68" s="216">
        <v>0</v>
      </c>
      <c r="N68" s="215">
        <v>12472.39</v>
      </c>
      <c r="O68" s="216">
        <v>124.72</v>
      </c>
      <c r="P68" s="215">
        <v>12347.67</v>
      </c>
    </row>
    <row r="69" spans="1:16" x14ac:dyDescent="0.2">
      <c r="A69" s="220" t="s">
        <v>952</v>
      </c>
      <c r="B69" s="219" t="s">
        <v>770</v>
      </c>
      <c r="C69" s="219" t="s">
        <v>951</v>
      </c>
      <c r="D69" s="219" t="s">
        <v>950</v>
      </c>
      <c r="E69" s="219" t="s">
        <v>253</v>
      </c>
      <c r="F69" s="218" t="s">
        <v>1085</v>
      </c>
      <c r="G69" s="217" t="s">
        <v>1084</v>
      </c>
      <c r="H69" s="216">
        <v>2018</v>
      </c>
      <c r="I69" s="216">
        <v>111</v>
      </c>
      <c r="J69" s="215">
        <v>370867.36</v>
      </c>
      <c r="K69" s="216">
        <v>0</v>
      </c>
      <c r="L69" s="215">
        <v>370867.36</v>
      </c>
      <c r="M69" s="216">
        <v>276.16000000000003</v>
      </c>
      <c r="N69" s="215">
        <v>370591.2</v>
      </c>
      <c r="O69" s="216">
        <v>6</v>
      </c>
      <c r="P69" s="215">
        <v>370585.2</v>
      </c>
    </row>
    <row r="70" spans="1:16" x14ac:dyDescent="0.2">
      <c r="A70" s="220" t="s">
        <v>949</v>
      </c>
      <c r="B70" s="219" t="s">
        <v>770</v>
      </c>
      <c r="C70" s="219" t="s">
        <v>948</v>
      </c>
      <c r="D70" s="219" t="s">
        <v>947</v>
      </c>
      <c r="E70" s="219" t="s">
        <v>253</v>
      </c>
      <c r="F70" s="218" t="s">
        <v>1086</v>
      </c>
      <c r="G70" s="217" t="s">
        <v>1084</v>
      </c>
      <c r="H70" s="216">
        <v>2018</v>
      </c>
      <c r="I70" s="216">
        <v>59.8</v>
      </c>
      <c r="J70" s="215">
        <v>164323.68</v>
      </c>
      <c r="K70" s="216">
        <v>0</v>
      </c>
      <c r="L70" s="215">
        <v>164323.68</v>
      </c>
      <c r="M70" s="216">
        <v>529.15</v>
      </c>
      <c r="N70" s="215">
        <v>163794.51999999999</v>
      </c>
      <c r="O70" s="216">
        <v>0</v>
      </c>
      <c r="P70" s="215">
        <v>163794.51999999999</v>
      </c>
    </row>
    <row r="71" spans="1:16" x14ac:dyDescent="0.2">
      <c r="A71" s="220" t="s">
        <v>946</v>
      </c>
      <c r="B71" s="219" t="s">
        <v>770</v>
      </c>
      <c r="C71" s="219" t="s">
        <v>945</v>
      </c>
      <c r="D71" s="219" t="s">
        <v>944</v>
      </c>
      <c r="E71" s="219" t="s">
        <v>131</v>
      </c>
      <c r="F71" s="217" t="s">
        <v>1090</v>
      </c>
      <c r="G71" s="217" t="s">
        <v>1084</v>
      </c>
      <c r="H71" s="216">
        <v>2018</v>
      </c>
      <c r="I71" s="216">
        <v>2</v>
      </c>
      <c r="J71" s="215">
        <v>29747.439999999999</v>
      </c>
      <c r="K71" s="215">
        <v>26817.73</v>
      </c>
      <c r="L71" s="215">
        <v>2929.71</v>
      </c>
      <c r="M71" s="215">
        <v>1901.06</v>
      </c>
      <c r="N71" s="215">
        <v>1028.6500000000001</v>
      </c>
      <c r="O71" s="215">
        <v>28718.79</v>
      </c>
      <c r="P71" s="216">
        <v>0</v>
      </c>
    </row>
    <row r="72" spans="1:16" x14ac:dyDescent="0.2">
      <c r="A72" s="220" t="s">
        <v>943</v>
      </c>
      <c r="B72" s="219" t="s">
        <v>770</v>
      </c>
      <c r="C72" s="219" t="s">
        <v>942</v>
      </c>
      <c r="D72" s="219" t="s">
        <v>1113</v>
      </c>
      <c r="E72" s="219" t="s">
        <v>773</v>
      </c>
      <c r="F72" s="218" t="s">
        <v>1085</v>
      </c>
      <c r="G72" s="217" t="s">
        <v>1084</v>
      </c>
      <c r="H72" s="216">
        <v>2018</v>
      </c>
      <c r="I72" s="216">
        <v>75</v>
      </c>
      <c r="J72" s="215">
        <v>175645.18</v>
      </c>
      <c r="K72" s="216">
        <v>0</v>
      </c>
      <c r="L72" s="215">
        <v>175645.18</v>
      </c>
      <c r="M72" s="215">
        <v>1123.27</v>
      </c>
      <c r="N72" s="215">
        <v>174521.91</v>
      </c>
      <c r="O72" s="216">
        <v>13.72</v>
      </c>
      <c r="P72" s="215">
        <v>174508.19</v>
      </c>
    </row>
    <row r="73" spans="1:16" x14ac:dyDescent="0.2">
      <c r="A73" s="220" t="s">
        <v>940</v>
      </c>
      <c r="B73" s="219" t="s">
        <v>770</v>
      </c>
      <c r="C73" s="219" t="s">
        <v>939</v>
      </c>
      <c r="D73" s="219" t="s">
        <v>938</v>
      </c>
      <c r="E73" s="219" t="s">
        <v>253</v>
      </c>
      <c r="F73" s="218" t="s">
        <v>1086</v>
      </c>
      <c r="G73" s="217" t="s">
        <v>1084</v>
      </c>
      <c r="H73" s="216">
        <v>2018</v>
      </c>
      <c r="I73" s="216">
        <v>133.86000000000001</v>
      </c>
      <c r="J73" s="215">
        <v>416304.23</v>
      </c>
      <c r="K73" s="216">
        <v>0</v>
      </c>
      <c r="L73" s="215">
        <v>416304.49</v>
      </c>
      <c r="M73" s="216">
        <v>0</v>
      </c>
      <c r="N73" s="215">
        <v>416304.49</v>
      </c>
      <c r="O73" s="216">
        <v>0</v>
      </c>
      <c r="P73" s="215">
        <v>416304.49</v>
      </c>
    </row>
    <row r="74" spans="1:16" x14ac:dyDescent="0.2">
      <c r="A74" s="220" t="s">
        <v>937</v>
      </c>
      <c r="B74" s="219" t="s">
        <v>770</v>
      </c>
      <c r="C74" s="219" t="s">
        <v>936</v>
      </c>
      <c r="D74" s="219" t="s">
        <v>935</v>
      </c>
      <c r="E74" s="219" t="s">
        <v>768</v>
      </c>
      <c r="F74" s="218" t="s">
        <v>1085</v>
      </c>
      <c r="G74" s="217" t="s">
        <v>1084</v>
      </c>
      <c r="H74" s="216">
        <v>2018</v>
      </c>
      <c r="I74" s="216">
        <v>100</v>
      </c>
      <c r="J74" s="215">
        <v>348742.72</v>
      </c>
      <c r="K74" s="215">
        <v>33324.67</v>
      </c>
      <c r="L74" s="215">
        <v>348742.72</v>
      </c>
      <c r="M74" s="215">
        <v>9061.51</v>
      </c>
      <c r="N74" s="215">
        <v>315418.05</v>
      </c>
      <c r="O74" s="215">
        <v>33324.67</v>
      </c>
      <c r="P74" s="215">
        <v>315418.05</v>
      </c>
    </row>
    <row r="75" spans="1:16" x14ac:dyDescent="0.2">
      <c r="A75" s="220" t="s">
        <v>934</v>
      </c>
      <c r="B75" s="219" t="s">
        <v>770</v>
      </c>
      <c r="C75" s="219" t="s">
        <v>933</v>
      </c>
      <c r="D75" s="219" t="s">
        <v>932</v>
      </c>
      <c r="E75" s="219" t="s">
        <v>802</v>
      </c>
      <c r="F75" s="218" t="s">
        <v>1085</v>
      </c>
      <c r="G75" s="217" t="s">
        <v>1084</v>
      </c>
      <c r="H75" s="216">
        <v>2018</v>
      </c>
      <c r="I75" s="216">
        <v>10</v>
      </c>
      <c r="J75" s="215">
        <v>43103.21</v>
      </c>
      <c r="K75" s="216">
        <v>0</v>
      </c>
      <c r="L75" s="215">
        <v>43103.21</v>
      </c>
      <c r="M75" s="216">
        <v>26.83</v>
      </c>
      <c r="N75" s="215">
        <v>42814.01</v>
      </c>
      <c r="O75" s="216">
        <v>26.83</v>
      </c>
      <c r="P75" s="215">
        <v>42814.01</v>
      </c>
    </row>
    <row r="76" spans="1:16" x14ac:dyDescent="0.2">
      <c r="A76" s="220" t="s">
        <v>931</v>
      </c>
      <c r="B76" s="219" t="s">
        <v>770</v>
      </c>
      <c r="C76" s="219" t="s">
        <v>930</v>
      </c>
      <c r="D76" s="219" t="s">
        <v>1112</v>
      </c>
      <c r="E76" s="219" t="s">
        <v>768</v>
      </c>
      <c r="F76" s="218" t="s">
        <v>1085</v>
      </c>
      <c r="G76" s="217" t="s">
        <v>1084</v>
      </c>
      <c r="H76" s="216">
        <v>2018</v>
      </c>
      <c r="I76" s="216">
        <v>50</v>
      </c>
      <c r="J76" s="215">
        <v>111959.79</v>
      </c>
      <c r="K76" s="215">
        <v>6141.48</v>
      </c>
      <c r="L76" s="215">
        <v>111959.79</v>
      </c>
      <c r="M76" s="215">
        <v>8348.31</v>
      </c>
      <c r="N76" s="215">
        <v>105818.31</v>
      </c>
      <c r="O76" s="215">
        <v>6141.48</v>
      </c>
      <c r="P76" s="215">
        <v>105818.31</v>
      </c>
    </row>
    <row r="77" spans="1:16" x14ac:dyDescent="0.2">
      <c r="A77" s="220" t="s">
        <v>928</v>
      </c>
      <c r="B77" s="219" t="s">
        <v>770</v>
      </c>
      <c r="C77" s="219" t="s">
        <v>927</v>
      </c>
      <c r="D77" s="219" t="s">
        <v>926</v>
      </c>
      <c r="E77" s="219" t="s">
        <v>253</v>
      </c>
      <c r="F77" s="218" t="s">
        <v>1088</v>
      </c>
      <c r="G77" s="217" t="s">
        <v>1084</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922</v>
      </c>
      <c r="B78" s="219" t="s">
        <v>770</v>
      </c>
      <c r="C78" s="219" t="s">
        <v>1111</v>
      </c>
      <c r="D78" s="219" t="s">
        <v>1111</v>
      </c>
      <c r="E78" s="219" t="s">
        <v>773</v>
      </c>
      <c r="F78" s="218" t="s">
        <v>1085</v>
      </c>
      <c r="G78" s="217" t="s">
        <v>1084</v>
      </c>
      <c r="H78" s="216">
        <v>2018</v>
      </c>
      <c r="I78" s="216">
        <v>10</v>
      </c>
      <c r="J78" s="215">
        <v>21753.75</v>
      </c>
      <c r="K78" s="216">
        <v>0</v>
      </c>
      <c r="L78" s="215">
        <v>21753.75</v>
      </c>
      <c r="M78" s="216">
        <v>75.31</v>
      </c>
      <c r="N78" s="215">
        <v>21753.75</v>
      </c>
      <c r="O78" s="216">
        <v>28.18</v>
      </c>
      <c r="P78" s="215">
        <v>21753.75</v>
      </c>
    </row>
    <row r="79" spans="1:16" x14ac:dyDescent="0.2">
      <c r="A79" s="222" t="s">
        <v>920</v>
      </c>
      <c r="B79" s="221" t="s">
        <v>770</v>
      </c>
      <c r="C79" s="219" t="s">
        <v>919</v>
      </c>
      <c r="D79" s="219" t="s">
        <v>918</v>
      </c>
      <c r="E79" s="219" t="s">
        <v>802</v>
      </c>
      <c r="F79" s="218" t="s">
        <v>1088</v>
      </c>
      <c r="G79" s="217" t="s">
        <v>1084</v>
      </c>
      <c r="H79" s="216">
        <v>2018</v>
      </c>
      <c r="I79" s="216">
        <v>2.42</v>
      </c>
      <c r="J79" s="216">
        <v>0</v>
      </c>
      <c r="K79" s="216">
        <v>14.09</v>
      </c>
      <c r="L79" s="216">
        <v>-14.09</v>
      </c>
      <c r="M79" s="215">
        <v>4536.0600000000004</v>
      </c>
      <c r="N79" s="216">
        <v>-14.09</v>
      </c>
      <c r="O79" s="216">
        <v>0</v>
      </c>
      <c r="P79" s="216">
        <v>0</v>
      </c>
    </row>
    <row r="80" spans="1:16" x14ac:dyDescent="0.2">
      <c r="A80" s="220" t="s">
        <v>917</v>
      </c>
      <c r="B80" s="219" t="s">
        <v>770</v>
      </c>
      <c r="C80" s="219" t="s">
        <v>916</v>
      </c>
      <c r="D80" s="219" t="s">
        <v>915</v>
      </c>
      <c r="E80" s="219" t="s">
        <v>253</v>
      </c>
      <c r="F80" s="218" t="s">
        <v>1085</v>
      </c>
      <c r="G80" s="217" t="s">
        <v>1084</v>
      </c>
      <c r="H80" s="216">
        <v>2018</v>
      </c>
      <c r="I80" s="216">
        <v>138.96</v>
      </c>
      <c r="J80" s="215">
        <v>467892.82</v>
      </c>
      <c r="K80" s="216">
        <v>0</v>
      </c>
      <c r="L80" s="215">
        <v>467892.82</v>
      </c>
      <c r="M80" s="216">
        <v>296.08999999999997</v>
      </c>
      <c r="N80" s="215">
        <v>453663.82</v>
      </c>
      <c r="O80" s="215">
        <v>14525.1</v>
      </c>
      <c r="P80" s="215">
        <v>453663.82</v>
      </c>
    </row>
    <row r="81" spans="1:16" x14ac:dyDescent="0.2">
      <c r="A81" s="220" t="s">
        <v>914</v>
      </c>
      <c r="B81" s="219" t="s">
        <v>770</v>
      </c>
      <c r="C81" s="219" t="s">
        <v>913</v>
      </c>
      <c r="D81" s="219" t="s">
        <v>1110</v>
      </c>
      <c r="E81" s="219" t="s">
        <v>253</v>
      </c>
      <c r="F81" s="218" t="s">
        <v>1085</v>
      </c>
      <c r="G81" s="217" t="s">
        <v>1084</v>
      </c>
      <c r="H81" s="216">
        <v>2018</v>
      </c>
      <c r="I81" s="216">
        <v>96.48</v>
      </c>
      <c r="J81" s="215">
        <v>294538.07</v>
      </c>
      <c r="K81" s="216">
        <v>0</v>
      </c>
      <c r="L81" s="215">
        <v>294538.07</v>
      </c>
      <c r="M81" s="216">
        <v>340.69</v>
      </c>
      <c r="N81" s="215">
        <v>285035.07</v>
      </c>
      <c r="O81" s="215">
        <v>9843.69</v>
      </c>
      <c r="P81" s="215">
        <v>285035.07</v>
      </c>
    </row>
    <row r="82" spans="1:16" x14ac:dyDescent="0.2">
      <c r="A82" s="220" t="s">
        <v>911</v>
      </c>
      <c r="B82" s="219" t="s">
        <v>770</v>
      </c>
      <c r="C82" s="219" t="s">
        <v>910</v>
      </c>
      <c r="D82" s="219" t="s">
        <v>909</v>
      </c>
      <c r="E82" s="219" t="s">
        <v>833</v>
      </c>
      <c r="F82" s="218" t="s">
        <v>1088</v>
      </c>
      <c r="G82" s="217" t="s">
        <v>1084</v>
      </c>
      <c r="H82" s="216">
        <v>2018</v>
      </c>
      <c r="I82" s="216">
        <v>4.25</v>
      </c>
      <c r="J82" s="215">
        <v>8721.81</v>
      </c>
      <c r="K82" s="216">
        <v>0</v>
      </c>
      <c r="L82" s="215">
        <v>8721.81</v>
      </c>
      <c r="M82" s="216">
        <v>456.8</v>
      </c>
      <c r="N82" s="215">
        <v>8290.43</v>
      </c>
      <c r="O82" s="216">
        <v>0</v>
      </c>
      <c r="P82" s="215">
        <v>8290.43</v>
      </c>
    </row>
    <row r="83" spans="1:16" x14ac:dyDescent="0.2">
      <c r="A83" s="220" t="s">
        <v>908</v>
      </c>
      <c r="B83" s="219" t="s">
        <v>770</v>
      </c>
      <c r="C83" s="219" t="s">
        <v>907</v>
      </c>
      <c r="D83" s="219" t="s">
        <v>906</v>
      </c>
      <c r="E83" s="219" t="s">
        <v>905</v>
      </c>
      <c r="F83" s="217" t="s">
        <v>1090</v>
      </c>
      <c r="G83" s="217" t="s">
        <v>1084</v>
      </c>
      <c r="H83" s="216">
        <v>2018</v>
      </c>
      <c r="I83" s="216">
        <v>75</v>
      </c>
      <c r="J83" s="215">
        <v>711588.58</v>
      </c>
      <c r="K83" s="216">
        <v>0</v>
      </c>
      <c r="L83" s="215">
        <v>711588.58</v>
      </c>
      <c r="M83" s="215">
        <v>52421.99</v>
      </c>
      <c r="N83" s="215">
        <v>764010.56</v>
      </c>
      <c r="O83" s="215">
        <v>720984.65</v>
      </c>
      <c r="P83" s="215">
        <v>43389.58</v>
      </c>
    </row>
    <row r="84" spans="1:16" x14ac:dyDescent="0.2">
      <c r="A84" s="220" t="s">
        <v>904</v>
      </c>
      <c r="B84" s="219" t="s">
        <v>770</v>
      </c>
      <c r="C84" s="219" t="s">
        <v>903</v>
      </c>
      <c r="D84" s="219" t="s">
        <v>902</v>
      </c>
      <c r="E84" s="219" t="s">
        <v>901</v>
      </c>
      <c r="F84" s="218" t="s">
        <v>1096</v>
      </c>
      <c r="G84" s="217" t="s">
        <v>1084</v>
      </c>
      <c r="H84" s="216">
        <v>2018</v>
      </c>
      <c r="I84" s="216">
        <v>5.0999999999999996</v>
      </c>
      <c r="J84" s="215">
        <v>9299.57</v>
      </c>
      <c r="K84" s="216">
        <v>0</v>
      </c>
      <c r="L84" s="215">
        <v>9299.57</v>
      </c>
      <c r="M84" s="215">
        <v>84662.88</v>
      </c>
      <c r="N84" s="216">
        <v>0</v>
      </c>
      <c r="O84" s="215">
        <v>93962.45</v>
      </c>
      <c r="P84" s="216">
        <v>0</v>
      </c>
    </row>
    <row r="85" spans="1:16" x14ac:dyDescent="0.2">
      <c r="A85" s="220" t="s">
        <v>900</v>
      </c>
      <c r="B85" s="219" t="s">
        <v>770</v>
      </c>
      <c r="C85" s="219" t="s">
        <v>899</v>
      </c>
      <c r="D85" s="219" t="s">
        <v>898</v>
      </c>
      <c r="E85" s="219" t="s">
        <v>773</v>
      </c>
      <c r="F85" s="218" t="s">
        <v>1085</v>
      </c>
      <c r="G85" s="217" t="s">
        <v>1084</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897</v>
      </c>
      <c r="B86" s="219" t="s">
        <v>770</v>
      </c>
      <c r="C86" s="219" t="s">
        <v>896</v>
      </c>
      <c r="D86" s="219" t="s">
        <v>896</v>
      </c>
      <c r="E86" s="219" t="s">
        <v>773</v>
      </c>
      <c r="F86" s="218" t="s">
        <v>1085</v>
      </c>
      <c r="G86" s="217" t="s">
        <v>1084</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895</v>
      </c>
      <c r="B87" s="219" t="s">
        <v>770</v>
      </c>
      <c r="C87" s="219" t="s">
        <v>894</v>
      </c>
      <c r="D87" s="219" t="s">
        <v>1109</v>
      </c>
      <c r="E87" s="219" t="s">
        <v>773</v>
      </c>
      <c r="F87" s="218" t="s">
        <v>1085</v>
      </c>
      <c r="G87" s="217" t="s">
        <v>1084</v>
      </c>
      <c r="H87" s="216">
        <v>2018</v>
      </c>
      <c r="I87" s="216">
        <v>75</v>
      </c>
      <c r="J87" s="215">
        <v>165473.07</v>
      </c>
      <c r="K87" s="216">
        <v>0</v>
      </c>
      <c r="L87" s="215">
        <v>165473.07</v>
      </c>
      <c r="M87" s="216">
        <v>717.32</v>
      </c>
      <c r="N87" s="215">
        <v>165473.07</v>
      </c>
      <c r="O87" s="216">
        <v>97.38</v>
      </c>
      <c r="P87" s="215">
        <v>165473.07</v>
      </c>
    </row>
    <row r="88" spans="1:16" x14ac:dyDescent="0.2">
      <c r="A88" s="220" t="s">
        <v>892</v>
      </c>
      <c r="B88" s="219" t="s">
        <v>804</v>
      </c>
      <c r="C88" s="219" t="s">
        <v>891</v>
      </c>
      <c r="D88" s="219" t="s">
        <v>890</v>
      </c>
      <c r="E88" s="219" t="s">
        <v>833</v>
      </c>
      <c r="F88" s="218" t="s">
        <v>1086</v>
      </c>
      <c r="G88" s="217" t="s">
        <v>1084</v>
      </c>
      <c r="H88" s="216">
        <v>2018</v>
      </c>
      <c r="I88" s="216">
        <v>40</v>
      </c>
      <c r="J88" s="216">
        <v>0</v>
      </c>
      <c r="K88" s="216">
        <v>0</v>
      </c>
      <c r="L88" s="216">
        <v>0</v>
      </c>
      <c r="M88" s="216">
        <v>0</v>
      </c>
      <c r="N88" s="216">
        <v>0</v>
      </c>
      <c r="O88" s="216">
        <v>0</v>
      </c>
      <c r="P88" s="216">
        <v>0</v>
      </c>
    </row>
    <row r="89" spans="1:16" x14ac:dyDescent="0.2">
      <c r="A89" s="220" t="s">
        <v>889</v>
      </c>
      <c r="B89" s="219" t="s">
        <v>770</v>
      </c>
      <c r="C89" s="219" t="s">
        <v>888</v>
      </c>
      <c r="D89" s="219" t="s">
        <v>887</v>
      </c>
      <c r="E89" s="219" t="s">
        <v>833</v>
      </c>
      <c r="F89" s="217" t="s">
        <v>1090</v>
      </c>
      <c r="G89" s="217" t="s">
        <v>1084</v>
      </c>
      <c r="H89" s="216">
        <v>2018</v>
      </c>
      <c r="I89" s="216">
        <v>13</v>
      </c>
      <c r="J89" s="216">
        <v>0</v>
      </c>
      <c r="K89" s="216">
        <v>0</v>
      </c>
      <c r="L89" s="216">
        <v>0</v>
      </c>
      <c r="M89" s="216">
        <v>0</v>
      </c>
      <c r="N89" s="216">
        <v>0</v>
      </c>
      <c r="O89" s="216">
        <v>0</v>
      </c>
      <c r="P89" s="216">
        <v>0</v>
      </c>
    </row>
    <row r="90" spans="1:16" x14ac:dyDescent="0.2">
      <c r="A90" s="220" t="s">
        <v>883</v>
      </c>
      <c r="B90" s="219" t="s">
        <v>770</v>
      </c>
      <c r="C90" s="219" t="s">
        <v>882</v>
      </c>
      <c r="D90" s="219" t="s">
        <v>881</v>
      </c>
      <c r="E90" s="219" t="s">
        <v>773</v>
      </c>
      <c r="F90" s="218" t="s">
        <v>1085</v>
      </c>
      <c r="G90" s="217" t="s">
        <v>1084</v>
      </c>
      <c r="H90" s="216">
        <v>2018</v>
      </c>
      <c r="I90" s="216">
        <v>64</v>
      </c>
      <c r="J90" s="215">
        <v>149862.69</v>
      </c>
      <c r="K90" s="215">
        <v>1222.57</v>
      </c>
      <c r="L90" s="215">
        <v>148640.12</v>
      </c>
      <c r="M90" s="216">
        <v>0</v>
      </c>
      <c r="N90" s="215">
        <v>148640.12</v>
      </c>
      <c r="O90" s="216">
        <v>0</v>
      </c>
      <c r="P90" s="215">
        <v>148640.12</v>
      </c>
    </row>
    <row r="91" spans="1:16" x14ac:dyDescent="0.2">
      <c r="A91" s="220" t="s">
        <v>880</v>
      </c>
      <c r="B91" s="219" t="s">
        <v>770</v>
      </c>
      <c r="C91" s="219" t="s">
        <v>879</v>
      </c>
      <c r="D91" s="219" t="s">
        <v>878</v>
      </c>
      <c r="E91" s="219" t="s">
        <v>833</v>
      </c>
      <c r="F91" s="218" t="s">
        <v>1096</v>
      </c>
      <c r="G91" s="217" t="s">
        <v>1084</v>
      </c>
      <c r="H91" s="216">
        <v>2018</v>
      </c>
      <c r="I91" s="216">
        <v>10.7</v>
      </c>
      <c r="J91" s="216">
        <v>0</v>
      </c>
      <c r="K91" s="216">
        <v>0</v>
      </c>
      <c r="L91" s="216">
        <v>0</v>
      </c>
      <c r="M91" s="216">
        <v>0</v>
      </c>
      <c r="N91" s="216">
        <v>0</v>
      </c>
      <c r="O91" s="216">
        <v>0</v>
      </c>
      <c r="P91" s="216">
        <v>0</v>
      </c>
    </row>
    <row r="92" spans="1:16" x14ac:dyDescent="0.2">
      <c r="A92" s="220" t="s">
        <v>877</v>
      </c>
      <c r="B92" s="219" t="s">
        <v>770</v>
      </c>
      <c r="C92" s="219" t="s">
        <v>876</v>
      </c>
      <c r="D92" s="219" t="s">
        <v>875</v>
      </c>
      <c r="E92" s="219" t="s">
        <v>773</v>
      </c>
      <c r="F92" s="218" t="s">
        <v>1097</v>
      </c>
      <c r="G92" s="217" t="s">
        <v>1084</v>
      </c>
      <c r="H92" s="216">
        <v>2018</v>
      </c>
      <c r="I92" s="216">
        <v>75</v>
      </c>
      <c r="J92" s="215">
        <v>144016.1</v>
      </c>
      <c r="K92" s="216">
        <v>0</v>
      </c>
      <c r="L92" s="215">
        <v>144016.1</v>
      </c>
      <c r="M92" s="215">
        <v>1083.2</v>
      </c>
      <c r="N92" s="215">
        <v>142932.91</v>
      </c>
      <c r="O92" s="216">
        <v>6</v>
      </c>
      <c r="P92" s="215">
        <v>142926.91</v>
      </c>
    </row>
    <row r="93" spans="1:16" x14ac:dyDescent="0.2">
      <c r="A93" s="220" t="s">
        <v>873</v>
      </c>
      <c r="B93" s="219" t="s">
        <v>770</v>
      </c>
      <c r="C93" s="219" t="s">
        <v>1108</v>
      </c>
      <c r="D93" s="219" t="s">
        <v>448</v>
      </c>
      <c r="E93" s="219" t="s">
        <v>792</v>
      </c>
      <c r="F93" s="218" t="s">
        <v>1096</v>
      </c>
      <c r="G93" s="217" t="s">
        <v>1084</v>
      </c>
      <c r="H93" s="216">
        <v>2018</v>
      </c>
      <c r="I93" s="216">
        <v>4</v>
      </c>
      <c r="J93" s="215">
        <v>82927.12</v>
      </c>
      <c r="K93" s="216">
        <v>0</v>
      </c>
      <c r="L93" s="215">
        <v>82927.12</v>
      </c>
      <c r="M93" s="215">
        <v>3888.66</v>
      </c>
      <c r="N93" s="215">
        <v>82927.12</v>
      </c>
      <c r="O93" s="215">
        <v>81273.58</v>
      </c>
      <c r="P93" s="215">
        <v>5542.2</v>
      </c>
    </row>
    <row r="94" spans="1:16" x14ac:dyDescent="0.2">
      <c r="A94" s="220" t="s">
        <v>873</v>
      </c>
      <c r="B94" s="219" t="s">
        <v>770</v>
      </c>
      <c r="C94" s="219" t="s">
        <v>1108</v>
      </c>
      <c r="D94" s="219" t="s">
        <v>1107</v>
      </c>
      <c r="E94" s="219" t="s">
        <v>792</v>
      </c>
      <c r="F94" s="218" t="s">
        <v>1096</v>
      </c>
      <c r="G94" s="217" t="s">
        <v>1084</v>
      </c>
      <c r="H94" s="216">
        <v>2018</v>
      </c>
      <c r="I94" s="216">
        <v>3.5</v>
      </c>
      <c r="J94" s="215">
        <v>98726.17</v>
      </c>
      <c r="K94" s="216">
        <v>0</v>
      </c>
      <c r="L94" s="215">
        <v>98726.17</v>
      </c>
      <c r="M94" s="215">
        <v>7485.56</v>
      </c>
      <c r="N94" s="215">
        <v>98005.11</v>
      </c>
      <c r="O94" s="215">
        <v>87505.31</v>
      </c>
      <c r="P94" s="215">
        <v>18706.419999999998</v>
      </c>
    </row>
    <row r="95" spans="1:16" x14ac:dyDescent="0.2">
      <c r="A95" s="220" t="s">
        <v>925</v>
      </c>
      <c r="B95" s="219" t="s">
        <v>770</v>
      </c>
      <c r="C95" s="219" t="s">
        <v>924</v>
      </c>
      <c r="D95" s="219" t="s">
        <v>1106</v>
      </c>
      <c r="E95" s="219" t="s">
        <v>253</v>
      </c>
      <c r="F95" s="218" t="s">
        <v>1086</v>
      </c>
      <c r="G95" s="217" t="s">
        <v>1084</v>
      </c>
      <c r="H95" s="216">
        <v>2018</v>
      </c>
      <c r="I95" s="216">
        <v>80</v>
      </c>
      <c r="J95" s="215">
        <v>264602.53999999998</v>
      </c>
      <c r="K95" s="216">
        <v>0</v>
      </c>
      <c r="L95" s="215">
        <v>264602.53999999998</v>
      </c>
      <c r="M95" s="216">
        <v>124.58</v>
      </c>
      <c r="N95" s="215">
        <v>264477.95</v>
      </c>
      <c r="O95" s="216">
        <v>0</v>
      </c>
      <c r="P95" s="215">
        <v>264477.95</v>
      </c>
    </row>
    <row r="96" spans="1:16" x14ac:dyDescent="0.2">
      <c r="A96" s="220" t="s">
        <v>870</v>
      </c>
      <c r="B96" s="219" t="s">
        <v>770</v>
      </c>
      <c r="C96" s="219" t="s">
        <v>869</v>
      </c>
      <c r="D96" s="219" t="s">
        <v>868</v>
      </c>
      <c r="E96" s="219" t="s">
        <v>773</v>
      </c>
      <c r="F96" s="218" t="s">
        <v>1085</v>
      </c>
      <c r="G96" s="217" t="s">
        <v>1084</v>
      </c>
      <c r="H96" s="216">
        <v>2018</v>
      </c>
      <c r="I96" s="216">
        <v>75</v>
      </c>
      <c r="J96" s="215">
        <v>183729.9</v>
      </c>
      <c r="K96" s="215">
        <v>2013.25</v>
      </c>
      <c r="L96" s="215">
        <v>181716.65</v>
      </c>
      <c r="M96" s="215">
        <v>2305.13</v>
      </c>
      <c r="N96" s="215">
        <v>179411.52</v>
      </c>
      <c r="O96" s="216">
        <v>168.92</v>
      </c>
      <c r="P96" s="215">
        <v>176956.14</v>
      </c>
    </row>
    <row r="97" spans="1:17" x14ac:dyDescent="0.2">
      <c r="A97" s="220" t="s">
        <v>867</v>
      </c>
      <c r="B97" s="219" t="s">
        <v>770</v>
      </c>
      <c r="C97" s="219" t="s">
        <v>866</v>
      </c>
      <c r="D97" s="219" t="s">
        <v>1105</v>
      </c>
      <c r="E97" s="219" t="s">
        <v>253</v>
      </c>
      <c r="F97" s="218" t="s">
        <v>1086</v>
      </c>
      <c r="G97" s="217" t="s">
        <v>1084</v>
      </c>
      <c r="H97" s="216">
        <v>2018</v>
      </c>
      <c r="I97" s="216">
        <v>138.6</v>
      </c>
      <c r="J97" s="215">
        <v>323614.55</v>
      </c>
      <c r="K97" s="216">
        <v>0</v>
      </c>
      <c r="L97" s="215">
        <v>323614.55</v>
      </c>
      <c r="M97" s="215">
        <v>1443.78</v>
      </c>
      <c r="N97" s="215">
        <v>323614.55</v>
      </c>
      <c r="O97" s="216">
        <v>0</v>
      </c>
      <c r="P97" s="215">
        <v>316114.06</v>
      </c>
    </row>
    <row r="98" spans="1:17" x14ac:dyDescent="0.2">
      <c r="A98" s="220" t="s">
        <v>864</v>
      </c>
      <c r="B98" s="219" t="s">
        <v>770</v>
      </c>
      <c r="C98" s="219" t="s">
        <v>1104</v>
      </c>
      <c r="D98" s="219" t="s">
        <v>862</v>
      </c>
      <c r="E98" s="219" t="s">
        <v>253</v>
      </c>
      <c r="F98" s="218" t="s">
        <v>1086</v>
      </c>
      <c r="G98" s="217" t="s">
        <v>1084</v>
      </c>
      <c r="H98" s="216">
        <v>2018</v>
      </c>
      <c r="I98" s="216">
        <v>27</v>
      </c>
      <c r="J98" s="215">
        <v>69913.09</v>
      </c>
      <c r="K98" s="216">
        <v>0</v>
      </c>
      <c r="L98" s="215">
        <v>69913.09</v>
      </c>
      <c r="M98" s="216">
        <v>97.68</v>
      </c>
      <c r="N98" s="215">
        <v>69913.09</v>
      </c>
      <c r="O98" s="216">
        <v>0</v>
      </c>
      <c r="P98" s="215">
        <v>69913.09</v>
      </c>
    </row>
    <row r="99" spans="1:17" x14ac:dyDescent="0.2">
      <c r="A99" s="220" t="s">
        <v>861</v>
      </c>
      <c r="B99" s="219" t="s">
        <v>770</v>
      </c>
      <c r="C99" s="219" t="s">
        <v>860</v>
      </c>
      <c r="D99" s="219" t="s">
        <v>860</v>
      </c>
      <c r="E99" s="219" t="s">
        <v>773</v>
      </c>
      <c r="F99" s="218" t="s">
        <v>1103</v>
      </c>
      <c r="G99" s="217" t="s">
        <v>1084</v>
      </c>
      <c r="H99" s="216">
        <v>2018</v>
      </c>
      <c r="I99" s="216">
        <v>7</v>
      </c>
      <c r="J99" s="215">
        <v>11897.79</v>
      </c>
      <c r="K99" s="216">
        <v>0</v>
      </c>
      <c r="L99" s="215">
        <v>11897.8</v>
      </c>
      <c r="M99" s="216">
        <v>0</v>
      </c>
      <c r="N99" s="215">
        <v>11897.8</v>
      </c>
      <c r="O99" s="216">
        <v>0</v>
      </c>
      <c r="P99" s="215">
        <v>11897.8</v>
      </c>
    </row>
    <row r="100" spans="1:17" x14ac:dyDescent="0.2">
      <c r="A100" s="220" t="s">
        <v>859</v>
      </c>
      <c r="B100" s="219" t="s">
        <v>770</v>
      </c>
      <c r="C100" s="219" t="s">
        <v>858</v>
      </c>
      <c r="D100" s="219" t="s">
        <v>857</v>
      </c>
      <c r="E100" s="219" t="s">
        <v>773</v>
      </c>
      <c r="F100" s="218" t="s">
        <v>1085</v>
      </c>
      <c r="G100" s="217" t="s">
        <v>1084</v>
      </c>
      <c r="H100" s="216">
        <v>2018</v>
      </c>
      <c r="I100" s="216">
        <v>48.5</v>
      </c>
      <c r="J100" s="215">
        <v>94719.039999999994</v>
      </c>
      <c r="K100" s="216">
        <v>0</v>
      </c>
      <c r="L100" s="215">
        <v>94430.67</v>
      </c>
      <c r="M100" s="216">
        <v>0</v>
      </c>
      <c r="N100" s="215">
        <v>94430.67</v>
      </c>
      <c r="O100" s="216">
        <v>0</v>
      </c>
      <c r="P100" s="215">
        <v>94430.67</v>
      </c>
    </row>
    <row r="101" spans="1:17" x14ac:dyDescent="0.2">
      <c r="A101" s="220" t="s">
        <v>856</v>
      </c>
      <c r="B101" s="219" t="s">
        <v>770</v>
      </c>
      <c r="C101" s="219" t="s">
        <v>855</v>
      </c>
      <c r="D101" s="219" t="s">
        <v>854</v>
      </c>
      <c r="E101" s="219" t="s">
        <v>773</v>
      </c>
      <c r="F101" s="218" t="s">
        <v>1085</v>
      </c>
      <c r="G101" s="217" t="s">
        <v>1084</v>
      </c>
      <c r="H101" s="216">
        <v>2018</v>
      </c>
      <c r="I101" s="216">
        <v>48.5</v>
      </c>
      <c r="J101" s="215">
        <v>91691.3</v>
      </c>
      <c r="K101" s="216">
        <v>0</v>
      </c>
      <c r="L101" s="215">
        <v>91691.3</v>
      </c>
      <c r="M101" s="216">
        <v>0</v>
      </c>
      <c r="N101" s="215">
        <v>91691.3</v>
      </c>
      <c r="O101" s="216">
        <v>0</v>
      </c>
      <c r="P101" s="215">
        <v>91691.3</v>
      </c>
    </row>
    <row r="102" spans="1:17" x14ac:dyDescent="0.2">
      <c r="A102" s="220" t="s">
        <v>853</v>
      </c>
      <c r="B102" s="219" t="s">
        <v>770</v>
      </c>
      <c r="C102" s="219" t="s">
        <v>852</v>
      </c>
      <c r="D102" s="219" t="s">
        <v>1102</v>
      </c>
      <c r="E102" s="219" t="s">
        <v>253</v>
      </c>
      <c r="F102" s="218" t="s">
        <v>1085</v>
      </c>
      <c r="G102" s="217" t="s">
        <v>1084</v>
      </c>
      <c r="H102" s="216">
        <v>2018</v>
      </c>
      <c r="I102" s="216">
        <v>138</v>
      </c>
      <c r="J102" s="215">
        <v>506322.28</v>
      </c>
      <c r="K102" s="216">
        <v>0</v>
      </c>
      <c r="L102" s="215">
        <v>506322.28</v>
      </c>
      <c r="M102" s="216">
        <v>828.02</v>
      </c>
      <c r="N102" s="215">
        <v>505494.26</v>
      </c>
      <c r="O102" s="216">
        <v>0</v>
      </c>
      <c r="P102" s="215">
        <v>505494.26</v>
      </c>
    </row>
    <row r="103" spans="1:17" x14ac:dyDescent="0.2">
      <c r="A103" s="220" t="s">
        <v>850</v>
      </c>
      <c r="B103" s="219" t="s">
        <v>770</v>
      </c>
      <c r="C103" s="219" t="s">
        <v>849</v>
      </c>
      <c r="D103" s="219" t="s">
        <v>1101</v>
      </c>
      <c r="E103" s="219" t="s">
        <v>253</v>
      </c>
      <c r="F103" s="218" t="s">
        <v>1085</v>
      </c>
      <c r="G103" s="217" t="s">
        <v>1084</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847</v>
      </c>
      <c r="B104" s="219" t="s">
        <v>770</v>
      </c>
      <c r="C104" s="219" t="s">
        <v>846</v>
      </c>
      <c r="D104" s="219" t="s">
        <v>845</v>
      </c>
      <c r="E104" s="219" t="s">
        <v>253</v>
      </c>
      <c r="F104" s="218" t="s">
        <v>1085</v>
      </c>
      <c r="G104" s="217" t="s">
        <v>1084</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843</v>
      </c>
      <c r="B105" s="219" t="s">
        <v>770</v>
      </c>
      <c r="C105" s="219" t="s">
        <v>842</v>
      </c>
      <c r="D105" s="219" t="s">
        <v>844</v>
      </c>
      <c r="E105" s="219" t="s">
        <v>840</v>
      </c>
      <c r="F105" s="217" t="s">
        <v>1090</v>
      </c>
      <c r="G105" s="217" t="s">
        <v>1084</v>
      </c>
      <c r="H105" s="216">
        <v>2018</v>
      </c>
      <c r="I105" s="216">
        <v>2</v>
      </c>
      <c r="J105" s="215">
        <v>188090.87</v>
      </c>
      <c r="K105" s="215">
        <v>1351.58</v>
      </c>
      <c r="L105" s="215">
        <v>186739.29</v>
      </c>
      <c r="M105" s="215">
        <v>328589.59000000003</v>
      </c>
      <c r="N105" s="216">
        <v>0</v>
      </c>
      <c r="O105" s="215">
        <v>516680.46</v>
      </c>
      <c r="P105" s="216">
        <v>0</v>
      </c>
    </row>
    <row r="106" spans="1:17" x14ac:dyDescent="0.2">
      <c r="A106" s="220" t="s">
        <v>843</v>
      </c>
      <c r="B106" s="219" t="s">
        <v>770</v>
      </c>
      <c r="C106" s="219" t="s">
        <v>842</v>
      </c>
      <c r="D106" s="219" t="s">
        <v>841</v>
      </c>
      <c r="E106" s="219" t="s">
        <v>840</v>
      </c>
      <c r="F106" s="218" t="s">
        <v>1096</v>
      </c>
      <c r="G106" s="217" t="s">
        <v>1084</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836</v>
      </c>
      <c r="B107" s="219" t="s">
        <v>770</v>
      </c>
      <c r="C107" s="219" t="s">
        <v>835</v>
      </c>
      <c r="D107" s="219" t="s">
        <v>839</v>
      </c>
      <c r="E107" s="219" t="s">
        <v>146</v>
      </c>
      <c r="F107" s="218" t="s">
        <v>1097</v>
      </c>
      <c r="G107" s="217" t="s">
        <v>1084</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836</v>
      </c>
      <c r="B108" s="219" t="s">
        <v>770</v>
      </c>
      <c r="C108" s="219" t="s">
        <v>835</v>
      </c>
      <c r="D108" s="219" t="s">
        <v>838</v>
      </c>
      <c r="E108" s="219" t="s">
        <v>146</v>
      </c>
      <c r="F108" s="218" t="s">
        <v>1096</v>
      </c>
      <c r="G108" s="217" t="s">
        <v>1084</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836</v>
      </c>
      <c r="B109" s="219" t="s">
        <v>770</v>
      </c>
      <c r="C109" s="219" t="s">
        <v>835</v>
      </c>
      <c r="D109" s="219" t="s">
        <v>1100</v>
      </c>
      <c r="E109" s="219" t="s">
        <v>833</v>
      </c>
      <c r="F109" s="218" t="s">
        <v>1097</v>
      </c>
      <c r="G109" s="217" t="s">
        <v>1084</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836</v>
      </c>
      <c r="B110" s="219" t="s">
        <v>770</v>
      </c>
      <c r="C110" s="219" t="s">
        <v>835</v>
      </c>
      <c r="D110" s="219" t="s">
        <v>834</v>
      </c>
      <c r="E110" s="219" t="s">
        <v>833</v>
      </c>
      <c r="F110" s="218" t="s">
        <v>1096</v>
      </c>
      <c r="G110" s="217" t="s">
        <v>1084</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832</v>
      </c>
      <c r="B111" s="219" t="s">
        <v>770</v>
      </c>
      <c r="C111" s="219" t="s">
        <v>1099</v>
      </c>
      <c r="D111" s="219" t="s">
        <v>1098</v>
      </c>
      <c r="E111" s="219" t="s">
        <v>773</v>
      </c>
      <c r="F111" s="218" t="s">
        <v>1085</v>
      </c>
      <c r="G111" s="217" t="s">
        <v>1084</v>
      </c>
      <c r="H111" s="216">
        <v>2018</v>
      </c>
      <c r="I111" s="216">
        <v>75</v>
      </c>
      <c r="J111" s="215">
        <v>146605.71</v>
      </c>
      <c r="K111" s="216">
        <v>824.47</v>
      </c>
      <c r="L111" s="215">
        <v>145781.24</v>
      </c>
      <c r="M111" s="216">
        <v>898.47</v>
      </c>
      <c r="N111" s="215">
        <v>146605.71</v>
      </c>
      <c r="O111" s="216">
        <v>898.47</v>
      </c>
      <c r="P111" s="215">
        <v>146605.71</v>
      </c>
    </row>
    <row r="112" spans="1:17" x14ac:dyDescent="0.2">
      <c r="A112" s="220" t="s">
        <v>829</v>
      </c>
      <c r="B112" s="219" t="s">
        <v>770</v>
      </c>
      <c r="C112" s="219" t="s">
        <v>828</v>
      </c>
      <c r="D112" s="219" t="s">
        <v>827</v>
      </c>
      <c r="E112" s="219" t="s">
        <v>773</v>
      </c>
      <c r="F112" s="218" t="s">
        <v>1085</v>
      </c>
      <c r="G112" s="217" t="s">
        <v>1084</v>
      </c>
      <c r="H112" s="216">
        <v>2018</v>
      </c>
      <c r="I112" s="216">
        <v>10</v>
      </c>
      <c r="J112" s="215">
        <v>21483.49</v>
      </c>
      <c r="K112" s="216">
        <v>0</v>
      </c>
      <c r="L112" s="215">
        <v>21483.49</v>
      </c>
      <c r="M112" s="216">
        <v>79.31</v>
      </c>
      <c r="N112" s="215">
        <v>21483.49</v>
      </c>
      <c r="O112" s="216">
        <v>24.55</v>
      </c>
      <c r="P112" s="215">
        <v>21483.49</v>
      </c>
    </row>
    <row r="113" spans="1:16" x14ac:dyDescent="0.2">
      <c r="A113" s="220" t="s">
        <v>826</v>
      </c>
      <c r="B113" s="219" t="s">
        <v>770</v>
      </c>
      <c r="C113" s="219" t="s">
        <v>825</v>
      </c>
      <c r="D113" s="219" t="s">
        <v>824</v>
      </c>
      <c r="E113" s="219" t="s">
        <v>773</v>
      </c>
      <c r="F113" s="218" t="s">
        <v>1085</v>
      </c>
      <c r="G113" s="217" t="s">
        <v>1084</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823</v>
      </c>
      <c r="B114" s="219" t="s">
        <v>770</v>
      </c>
      <c r="C114" s="219" t="s">
        <v>822</v>
      </c>
      <c r="D114" s="219" t="s">
        <v>821</v>
      </c>
      <c r="E114" s="219" t="s">
        <v>773</v>
      </c>
      <c r="F114" s="218" t="s">
        <v>1085</v>
      </c>
      <c r="G114" s="217" t="s">
        <v>1084</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820</v>
      </c>
      <c r="B115" s="219" t="s">
        <v>770</v>
      </c>
      <c r="C115" s="219" t="s">
        <v>819</v>
      </c>
      <c r="D115" s="219" t="s">
        <v>818</v>
      </c>
      <c r="E115" s="219" t="s">
        <v>773</v>
      </c>
      <c r="F115" s="218" t="s">
        <v>1086</v>
      </c>
      <c r="G115" s="217" t="s">
        <v>1084</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817</v>
      </c>
      <c r="B116" s="219" t="s">
        <v>770</v>
      </c>
      <c r="C116" s="219" t="s">
        <v>816</v>
      </c>
      <c r="D116" s="219" t="s">
        <v>815</v>
      </c>
      <c r="E116" s="219" t="s">
        <v>773</v>
      </c>
      <c r="F116" s="218" t="s">
        <v>1085</v>
      </c>
      <c r="G116" s="217" t="s">
        <v>1084</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814</v>
      </c>
      <c r="B117" s="219" t="s">
        <v>770</v>
      </c>
      <c r="C117" s="219" t="s">
        <v>813</v>
      </c>
      <c r="D117" s="219" t="s">
        <v>812</v>
      </c>
      <c r="E117" s="219" t="s">
        <v>773</v>
      </c>
      <c r="F117" s="218" t="s">
        <v>1085</v>
      </c>
      <c r="G117" s="217" t="s">
        <v>1084</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811</v>
      </c>
      <c r="B118" s="219" t="s">
        <v>770</v>
      </c>
      <c r="C118" s="219" t="s">
        <v>810</v>
      </c>
      <c r="D118" s="219" t="s">
        <v>810</v>
      </c>
      <c r="E118" s="219" t="s">
        <v>802</v>
      </c>
      <c r="F118" s="218" t="s">
        <v>1097</v>
      </c>
      <c r="G118" s="217" t="s">
        <v>1084</v>
      </c>
      <c r="H118" s="216">
        <v>2018</v>
      </c>
      <c r="I118" s="216">
        <v>4.3099999999999996</v>
      </c>
      <c r="J118" s="215">
        <v>31698.2</v>
      </c>
      <c r="K118" s="216">
        <v>0</v>
      </c>
      <c r="L118" s="215">
        <v>31698.2</v>
      </c>
      <c r="M118" s="216">
        <v>132.18</v>
      </c>
      <c r="N118" s="215">
        <v>31566.02</v>
      </c>
      <c r="O118" s="216">
        <v>6</v>
      </c>
      <c r="P118" s="215">
        <v>31560.02</v>
      </c>
    </row>
    <row r="119" spans="1:16" x14ac:dyDescent="0.2">
      <c r="A119" s="220" t="s">
        <v>809</v>
      </c>
      <c r="B119" s="219" t="s">
        <v>770</v>
      </c>
      <c r="C119" s="219" t="s">
        <v>808</v>
      </c>
      <c r="D119" s="219" t="s">
        <v>807</v>
      </c>
      <c r="E119" s="219" t="s">
        <v>773</v>
      </c>
      <c r="F119" s="218" t="s">
        <v>1085</v>
      </c>
      <c r="G119" s="217" t="s">
        <v>1084</v>
      </c>
      <c r="H119" s="216">
        <v>2018</v>
      </c>
      <c r="I119" s="216">
        <v>8.9</v>
      </c>
      <c r="J119" s="215">
        <v>18827.2</v>
      </c>
      <c r="K119" s="216">
        <v>0</v>
      </c>
      <c r="L119" s="215">
        <v>18827.2</v>
      </c>
      <c r="M119" s="216">
        <v>117.22</v>
      </c>
      <c r="N119" s="215">
        <v>18709.98</v>
      </c>
      <c r="O119" s="216">
        <v>0</v>
      </c>
      <c r="P119" s="215">
        <v>18709.98</v>
      </c>
    </row>
    <row r="120" spans="1:16" x14ac:dyDescent="0.2">
      <c r="A120" s="220" t="s">
        <v>806</v>
      </c>
      <c r="B120" s="219" t="s">
        <v>804</v>
      </c>
      <c r="C120" s="219" t="s">
        <v>805</v>
      </c>
      <c r="D120" s="219" t="s">
        <v>803</v>
      </c>
      <c r="E120" s="219" t="s">
        <v>802</v>
      </c>
      <c r="F120" s="218" t="s">
        <v>1096</v>
      </c>
      <c r="G120" s="217" t="s">
        <v>1084</v>
      </c>
      <c r="H120" s="216">
        <v>2018</v>
      </c>
      <c r="I120" s="216">
        <v>3.35</v>
      </c>
      <c r="J120" s="216">
        <v>0</v>
      </c>
      <c r="K120" s="216">
        <v>0</v>
      </c>
      <c r="L120" s="216">
        <v>0</v>
      </c>
      <c r="M120" s="216">
        <v>0</v>
      </c>
      <c r="N120" s="216">
        <v>0</v>
      </c>
      <c r="O120" s="216">
        <v>0</v>
      </c>
      <c r="P120" s="216">
        <v>0</v>
      </c>
    </row>
    <row r="121" spans="1:16" x14ac:dyDescent="0.2">
      <c r="A121" s="220" t="s">
        <v>801</v>
      </c>
      <c r="B121" s="219" t="s">
        <v>770</v>
      </c>
      <c r="C121" s="219" t="s">
        <v>800</v>
      </c>
      <c r="D121" s="219" t="s">
        <v>799</v>
      </c>
      <c r="E121" s="219" t="s">
        <v>773</v>
      </c>
      <c r="F121" s="218" t="s">
        <v>1095</v>
      </c>
      <c r="G121" s="217" t="s">
        <v>1084</v>
      </c>
      <c r="H121" s="216">
        <v>2018</v>
      </c>
      <c r="I121" s="216">
        <v>60</v>
      </c>
      <c r="J121" s="215">
        <v>113944.17</v>
      </c>
      <c r="K121" s="216">
        <v>0</v>
      </c>
      <c r="L121" s="215">
        <v>113944.17</v>
      </c>
      <c r="M121" s="215">
        <v>1005.16</v>
      </c>
      <c r="N121" s="215">
        <v>112939.01</v>
      </c>
      <c r="O121" s="216">
        <v>0</v>
      </c>
      <c r="P121" s="215">
        <v>112939.01</v>
      </c>
    </row>
    <row r="122" spans="1:16" x14ac:dyDescent="0.2">
      <c r="A122" s="220" t="s">
        <v>795</v>
      </c>
      <c r="B122" s="219" t="s">
        <v>770</v>
      </c>
      <c r="C122" s="219" t="s">
        <v>794</v>
      </c>
      <c r="D122" s="219" t="s">
        <v>1094</v>
      </c>
      <c r="E122" s="219" t="s">
        <v>792</v>
      </c>
      <c r="F122" s="217" t="s">
        <v>1090</v>
      </c>
      <c r="G122" s="217" t="s">
        <v>1084</v>
      </c>
      <c r="H122" s="216">
        <v>2018</v>
      </c>
      <c r="I122" s="216">
        <v>12</v>
      </c>
      <c r="J122" s="215">
        <v>31290</v>
      </c>
      <c r="K122" s="216">
        <v>0</v>
      </c>
      <c r="L122" s="215">
        <v>31290</v>
      </c>
      <c r="M122" s="215">
        <v>7839.94</v>
      </c>
      <c r="N122" s="216">
        <v>0</v>
      </c>
      <c r="O122" s="215">
        <v>37023.1</v>
      </c>
      <c r="P122" s="215">
        <v>2106.85</v>
      </c>
    </row>
    <row r="123" spans="1:16" x14ac:dyDescent="0.2">
      <c r="A123" s="220" t="s">
        <v>795</v>
      </c>
      <c r="B123" s="219" t="s">
        <v>770</v>
      </c>
      <c r="C123" s="219" t="s">
        <v>794</v>
      </c>
      <c r="D123" s="219" t="s">
        <v>1093</v>
      </c>
      <c r="E123" s="219" t="s">
        <v>792</v>
      </c>
      <c r="F123" s="217" t="s">
        <v>1090</v>
      </c>
      <c r="G123" s="217" t="s">
        <v>1084</v>
      </c>
      <c r="H123" s="216">
        <v>2018</v>
      </c>
      <c r="I123" s="216">
        <v>12</v>
      </c>
      <c r="J123" s="215">
        <v>19280</v>
      </c>
      <c r="K123" s="216">
        <v>0</v>
      </c>
      <c r="L123" s="215">
        <v>19280</v>
      </c>
      <c r="M123" s="215">
        <v>4689.32</v>
      </c>
      <c r="N123" s="216">
        <v>0</v>
      </c>
      <c r="O123" s="215">
        <v>23969.32</v>
      </c>
      <c r="P123" s="216">
        <v>0</v>
      </c>
    </row>
    <row r="124" spans="1:16" x14ac:dyDescent="0.2">
      <c r="A124" s="220" t="s">
        <v>795</v>
      </c>
      <c r="B124" s="219" t="s">
        <v>770</v>
      </c>
      <c r="C124" s="219" t="s">
        <v>794</v>
      </c>
      <c r="D124" s="219" t="s">
        <v>1092</v>
      </c>
      <c r="E124" s="219" t="s">
        <v>792</v>
      </c>
      <c r="F124" s="217" t="s">
        <v>1090</v>
      </c>
      <c r="G124" s="217" t="s">
        <v>1084</v>
      </c>
      <c r="H124" s="216">
        <v>2018</v>
      </c>
      <c r="I124" s="216">
        <v>32</v>
      </c>
      <c r="J124" s="215">
        <v>86900</v>
      </c>
      <c r="K124" s="216">
        <v>0</v>
      </c>
      <c r="L124" s="215">
        <v>86900</v>
      </c>
      <c r="M124" s="215">
        <v>6265.43</v>
      </c>
      <c r="N124" s="216">
        <v>0</v>
      </c>
      <c r="O124" s="215">
        <v>69981.52</v>
      </c>
      <c r="P124" s="215">
        <v>23183.91</v>
      </c>
    </row>
    <row r="125" spans="1:16" x14ac:dyDescent="0.2">
      <c r="A125" s="220" t="s">
        <v>795</v>
      </c>
      <c r="B125" s="219" t="s">
        <v>770</v>
      </c>
      <c r="C125" s="219" t="s">
        <v>794</v>
      </c>
      <c r="D125" s="219" t="s">
        <v>1091</v>
      </c>
      <c r="E125" s="219" t="s">
        <v>792</v>
      </c>
      <c r="F125" s="217" t="s">
        <v>1090</v>
      </c>
      <c r="G125" s="217" t="s">
        <v>1084</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791</v>
      </c>
      <c r="B126" s="219" t="s">
        <v>770</v>
      </c>
      <c r="C126" s="219" t="s">
        <v>790</v>
      </c>
      <c r="D126" s="219" t="s">
        <v>789</v>
      </c>
      <c r="E126" s="219" t="s">
        <v>253</v>
      </c>
      <c r="F126" s="218" t="s">
        <v>1086</v>
      </c>
      <c r="G126" s="217" t="s">
        <v>1084</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788</v>
      </c>
      <c r="B127" s="219" t="s">
        <v>770</v>
      </c>
      <c r="C127" s="219" t="s">
        <v>787</v>
      </c>
      <c r="D127" s="219" t="s">
        <v>786</v>
      </c>
      <c r="E127" s="219" t="s">
        <v>131</v>
      </c>
      <c r="F127" s="217" t="s">
        <v>1090</v>
      </c>
      <c r="G127" s="217" t="s">
        <v>1084</v>
      </c>
      <c r="H127" s="216">
        <v>2018</v>
      </c>
      <c r="I127" s="216">
        <v>5</v>
      </c>
      <c r="J127" s="215">
        <v>53811.21</v>
      </c>
      <c r="K127" s="216">
        <v>0</v>
      </c>
      <c r="L127" s="215">
        <v>53811.21</v>
      </c>
      <c r="M127" s="215">
        <v>2675.43</v>
      </c>
      <c r="N127" s="216">
        <v>0</v>
      </c>
      <c r="O127" s="215">
        <v>47771.47</v>
      </c>
      <c r="P127" s="215">
        <v>8715.17</v>
      </c>
    </row>
    <row r="128" spans="1:16" x14ac:dyDescent="0.2">
      <c r="A128" s="220" t="s">
        <v>785</v>
      </c>
      <c r="B128" s="219" t="s">
        <v>770</v>
      </c>
      <c r="C128" s="219" t="s">
        <v>784</v>
      </c>
      <c r="D128" s="219" t="s">
        <v>1089</v>
      </c>
      <c r="E128" s="219" t="s">
        <v>253</v>
      </c>
      <c r="F128" s="218" t="s">
        <v>1088</v>
      </c>
      <c r="G128" s="217" t="s">
        <v>1084</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782</v>
      </c>
      <c r="B129" s="219" t="s">
        <v>770</v>
      </c>
      <c r="C129" s="219" t="s">
        <v>781</v>
      </c>
      <c r="D129" s="219" t="s">
        <v>780</v>
      </c>
      <c r="E129" s="219" t="s">
        <v>773</v>
      </c>
      <c r="F129" s="218" t="s">
        <v>1088</v>
      </c>
      <c r="G129" s="217" t="s">
        <v>1084</v>
      </c>
      <c r="H129" s="216">
        <v>2018</v>
      </c>
      <c r="I129" s="216">
        <v>8.82</v>
      </c>
      <c r="J129" s="215">
        <v>18709.2</v>
      </c>
      <c r="K129" s="216">
        <v>97.21</v>
      </c>
      <c r="L129" s="215">
        <v>18806.41</v>
      </c>
      <c r="M129" s="216">
        <v>0</v>
      </c>
      <c r="N129" s="215">
        <v>18709.2</v>
      </c>
      <c r="O129" s="216">
        <v>0</v>
      </c>
      <c r="P129" s="215">
        <v>18709.2</v>
      </c>
    </row>
    <row r="130" spans="1:16" x14ac:dyDescent="0.2">
      <c r="A130" s="220" t="s">
        <v>779</v>
      </c>
      <c r="B130" s="219" t="s">
        <v>770</v>
      </c>
      <c r="C130" s="219" t="s">
        <v>778</v>
      </c>
      <c r="D130" s="219" t="s">
        <v>1087</v>
      </c>
      <c r="E130" s="219" t="s">
        <v>253</v>
      </c>
      <c r="F130" s="218" t="s">
        <v>1086</v>
      </c>
      <c r="G130" s="217" t="s">
        <v>1084</v>
      </c>
      <c r="H130" s="216">
        <v>2018</v>
      </c>
      <c r="I130" s="216">
        <v>23.4</v>
      </c>
      <c r="J130" s="215">
        <v>92581.04</v>
      </c>
      <c r="K130" s="216">
        <v>0</v>
      </c>
      <c r="L130" s="215">
        <v>92581.04</v>
      </c>
      <c r="M130" s="216">
        <v>103.1</v>
      </c>
      <c r="N130" s="215">
        <v>92477.95</v>
      </c>
      <c r="O130" s="216">
        <v>0</v>
      </c>
      <c r="P130" s="215">
        <v>92477.95</v>
      </c>
    </row>
    <row r="131" spans="1:16" x14ac:dyDescent="0.2">
      <c r="A131" s="220" t="s">
        <v>776</v>
      </c>
      <c r="B131" s="219" t="s">
        <v>770</v>
      </c>
      <c r="C131" s="219" t="s">
        <v>775</v>
      </c>
      <c r="D131" s="219" t="s">
        <v>774</v>
      </c>
      <c r="E131" s="219" t="s">
        <v>773</v>
      </c>
      <c r="F131" s="218" t="s">
        <v>1085</v>
      </c>
      <c r="G131" s="217" t="s">
        <v>1084</v>
      </c>
      <c r="H131" s="216">
        <v>2018</v>
      </c>
      <c r="I131" s="216">
        <v>74</v>
      </c>
      <c r="J131" s="215">
        <v>205329.77</v>
      </c>
      <c r="K131" s="216">
        <v>0</v>
      </c>
      <c r="L131" s="215">
        <v>205329.77</v>
      </c>
      <c r="M131" s="215">
        <v>1374.3</v>
      </c>
      <c r="N131" s="215">
        <v>205329.77</v>
      </c>
      <c r="O131" s="215">
        <v>1374.3</v>
      </c>
      <c r="P131" s="215">
        <v>205329.77</v>
      </c>
    </row>
    <row r="132" spans="1:16" x14ac:dyDescent="0.2">
      <c r="A132" s="220" t="s">
        <v>772</v>
      </c>
      <c r="B132" s="219" t="s">
        <v>770</v>
      </c>
      <c r="C132" s="219" t="s">
        <v>771</v>
      </c>
      <c r="D132" s="219" t="s">
        <v>769</v>
      </c>
      <c r="E132" s="219" t="s">
        <v>768</v>
      </c>
      <c r="F132" s="218" t="s">
        <v>1085</v>
      </c>
      <c r="G132" s="217" t="s">
        <v>1084</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1083</v>
      </c>
      <c r="K135" s="212" t="s">
        <v>1082</v>
      </c>
      <c r="L135" s="212" t="s">
        <v>164</v>
      </c>
      <c r="M135" s="208" t="s">
        <v>765</v>
      </c>
      <c r="N135" s="208" t="s">
        <v>159</v>
      </c>
      <c r="O135" s="212" t="s">
        <v>146</v>
      </c>
      <c r="P135" s="212" t="s">
        <v>833</v>
      </c>
    </row>
    <row r="136" spans="1:16" ht="15.75" x14ac:dyDescent="0.25">
      <c r="K136" s="212" t="s">
        <v>127</v>
      </c>
      <c r="O136" s="212" t="s">
        <v>144</v>
      </c>
      <c r="P136" s="212" t="s">
        <v>144</v>
      </c>
    </row>
    <row r="137" spans="1:16" ht="15.75" x14ac:dyDescent="0.25">
      <c r="I137" s="209">
        <f>(K137+K139)*3.6</f>
        <v>16387370.82</v>
      </c>
      <c r="J137" s="212" t="s">
        <v>1081</v>
      </c>
      <c r="K137" s="209">
        <f>O108</f>
        <v>3629277.15</v>
      </c>
      <c r="L137" s="211">
        <v>0.28999999999999998</v>
      </c>
      <c r="M137" s="208">
        <f>I108</f>
        <v>600</v>
      </c>
      <c r="N137" s="210">
        <f>K137/(M137*8760)</f>
        <v>0.69050174086757987</v>
      </c>
      <c r="O137" s="209">
        <f>K137*3.6/L137/1000</f>
        <v>45053.095655172416</v>
      </c>
    </row>
    <row r="138" spans="1:16" ht="15.75" x14ac:dyDescent="0.25">
      <c r="J138" s="212" t="s">
        <v>1080</v>
      </c>
      <c r="K138" s="209">
        <f>O107</f>
        <v>648526.81999999995</v>
      </c>
      <c r="L138" s="211">
        <v>0.28999999999999998</v>
      </c>
      <c r="M138" s="208">
        <f>I107</f>
        <v>128</v>
      </c>
      <c r="N138" s="210">
        <f>K138/(M138*8760)</f>
        <v>0.57838079694634703</v>
      </c>
      <c r="O138" s="209">
        <f>K138*3.6/L138/1000</f>
        <v>8050.67776551724</v>
      </c>
    </row>
    <row r="139" spans="1:16" ht="15.75" x14ac:dyDescent="0.25">
      <c r="J139" s="212" t="s">
        <v>1079</v>
      </c>
      <c r="K139" s="209">
        <f>N109</f>
        <v>922770.3</v>
      </c>
      <c r="L139" s="211">
        <v>0.45</v>
      </c>
      <c r="P139" s="209">
        <f>K139*3.6/L139/1000</f>
        <v>7382.1624000000002</v>
      </c>
    </row>
    <row r="140" spans="1:16" ht="15.75" x14ac:dyDescent="0.25">
      <c r="J140" s="212" t="s">
        <v>1078</v>
      </c>
      <c r="K140" s="209">
        <f>N110</f>
        <v>1705272.78</v>
      </c>
      <c r="L140" s="211">
        <v>0.45</v>
      </c>
      <c r="P140" s="209">
        <f>K140*3.6/L140/1000</f>
        <v>13642.18224</v>
      </c>
    </row>
    <row r="141" spans="1:16" ht="15.75" x14ac:dyDescent="0.25">
      <c r="J141" s="212" t="s">
        <v>1077</v>
      </c>
      <c r="O141" s="209">
        <f>SUM(O137:O138)</f>
        <v>53103.773420689657</v>
      </c>
      <c r="P141" s="209">
        <f>SUM(P139:P140)</f>
        <v>21024.344639999999</v>
      </c>
    </row>
    <row r="143" spans="1:16" ht="15.75" x14ac:dyDescent="0.25">
      <c r="J143" s="212" t="s">
        <v>1076</v>
      </c>
      <c r="L143" s="212" t="s">
        <v>1075</v>
      </c>
      <c r="M143" s="212" t="s">
        <v>116</v>
      </c>
      <c r="N143" s="212" t="s">
        <v>146</v>
      </c>
      <c r="O143" s="212" t="s">
        <v>1053</v>
      </c>
      <c r="P143" s="212" t="s">
        <v>1074</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1073</v>
      </c>
      <c r="K146" s="209">
        <f>L71+L93+L94+L122+L123+L124+L125+L127</f>
        <v>409965.13</v>
      </c>
      <c r="L146" s="209"/>
      <c r="M146" s="209"/>
      <c r="N146" s="209"/>
      <c r="O146" s="209"/>
    </row>
    <row r="147" spans="10:15" ht="15.75" x14ac:dyDescent="0.25">
      <c r="J147" s="212" t="s">
        <v>1072</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1071</v>
      </c>
      <c r="O149" s="212" t="s">
        <v>146</v>
      </c>
    </row>
    <row r="150" spans="10:15" ht="15.75" x14ac:dyDescent="0.25">
      <c r="J150" s="208" t="s">
        <v>531</v>
      </c>
      <c r="K150" s="209">
        <f>N38</f>
        <v>1707095</v>
      </c>
      <c r="L150" s="211">
        <v>0.3</v>
      </c>
      <c r="M150" s="208">
        <v>600</v>
      </c>
      <c r="N150" s="210">
        <f>K150/(M150*8760)</f>
        <v>0.32478976407914761</v>
      </c>
      <c r="O150" s="209">
        <f>K150*3.6/L150/1000</f>
        <v>20485.14</v>
      </c>
    </row>
    <row r="153" spans="10:15" ht="15" customHeight="1" x14ac:dyDescent="0.2">
      <c r="J153" s="208" t="s">
        <v>1828</v>
      </c>
      <c r="K153" s="354">
        <f>SUMIF(E2:E132,"Gas",N2:N132)/1000000</f>
        <v>3.5372053500000002</v>
      </c>
    </row>
    <row r="154" spans="10:15" ht="15" customHeight="1" x14ac:dyDescent="0.2">
      <c r="J154" s="208" t="s">
        <v>1829</v>
      </c>
      <c r="K154" s="355">
        <f>K153/0.3*3.6</f>
        <v>42.446464200000008</v>
      </c>
    </row>
  </sheetData>
  <autoFilter ref="A1:P141" xr:uid="{00000000-0009-0000-0000-00000B000000}"/>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1067</v>
      </c>
      <c r="C2" s="228" t="s">
        <v>1066</v>
      </c>
      <c r="D2" s="230" t="s">
        <v>1133</v>
      </c>
      <c r="E2" s="229" t="s">
        <v>137</v>
      </c>
      <c r="F2" s="228" t="s">
        <v>1065</v>
      </c>
      <c r="G2" s="228" t="s">
        <v>1132</v>
      </c>
      <c r="H2" s="228" t="s">
        <v>1131</v>
      </c>
      <c r="I2" s="228" t="s">
        <v>1130</v>
      </c>
      <c r="J2" s="228" t="s">
        <v>1129</v>
      </c>
      <c r="K2" s="228" t="s">
        <v>1060</v>
      </c>
      <c r="L2" s="228" t="s">
        <v>1059</v>
      </c>
      <c r="M2" s="228" t="s">
        <v>1128</v>
      </c>
      <c r="N2" s="228" t="s">
        <v>1057</v>
      </c>
    </row>
    <row r="3" spans="2:14" x14ac:dyDescent="0.2">
      <c r="B3" s="226" t="s">
        <v>458</v>
      </c>
      <c r="C3" s="226" t="s">
        <v>146</v>
      </c>
      <c r="D3" s="217" t="s">
        <v>1096</v>
      </c>
      <c r="E3" s="217" t="s">
        <v>1084</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514</v>
      </c>
      <c r="C4" s="226" t="s">
        <v>146</v>
      </c>
      <c r="D4" s="217" t="s">
        <v>1096</v>
      </c>
      <c r="E4" s="217" t="s">
        <v>1084</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508</v>
      </c>
      <c r="C5" s="226" t="s">
        <v>146</v>
      </c>
      <c r="D5" s="217" t="s">
        <v>1096</v>
      </c>
      <c r="E5" s="217" t="s">
        <v>1084</v>
      </c>
      <c r="F5" s="224">
        <v>2018</v>
      </c>
      <c r="G5" s="223">
        <v>3450</v>
      </c>
      <c r="H5" s="223">
        <v>11698000.35</v>
      </c>
      <c r="I5" s="223">
        <v>1086090.8400000001</v>
      </c>
      <c r="J5" s="223">
        <v>10611909.51</v>
      </c>
      <c r="K5" s="224">
        <v>0</v>
      </c>
      <c r="L5" s="223">
        <v>10611909.51</v>
      </c>
      <c r="M5" s="224">
        <v>0</v>
      </c>
      <c r="N5" s="223">
        <v>10611909.51</v>
      </c>
    </row>
    <row r="6" spans="2:14" x14ac:dyDescent="0.2">
      <c r="B6" s="226" t="s">
        <v>447</v>
      </c>
      <c r="C6" s="226" t="s">
        <v>146</v>
      </c>
      <c r="D6" s="217" t="s">
        <v>1096</v>
      </c>
      <c r="E6" s="217" t="s">
        <v>1084</v>
      </c>
      <c r="F6" s="224">
        <v>2018</v>
      </c>
      <c r="G6" s="223">
        <v>1130</v>
      </c>
      <c r="H6" s="223">
        <v>2644796.23</v>
      </c>
      <c r="I6" s="223">
        <v>237762.33</v>
      </c>
      <c r="J6" s="223">
        <v>2407033.9</v>
      </c>
      <c r="K6" s="224">
        <v>0</v>
      </c>
      <c r="L6" s="223">
        <v>2407033.9</v>
      </c>
      <c r="M6" s="224">
        <v>0</v>
      </c>
      <c r="N6" s="223">
        <v>2407033.9</v>
      </c>
    </row>
    <row r="7" spans="2:14" x14ac:dyDescent="0.2">
      <c r="B7" s="226" t="s">
        <v>451</v>
      </c>
      <c r="C7" s="226" t="s">
        <v>146</v>
      </c>
      <c r="D7" s="217" t="s">
        <v>1096</v>
      </c>
      <c r="E7" s="217" t="s">
        <v>1084</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497</v>
      </c>
      <c r="C8" s="226" t="s">
        <v>146</v>
      </c>
      <c r="D8" s="217" t="s">
        <v>1096</v>
      </c>
      <c r="E8" s="217" t="s">
        <v>1084</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448</v>
      </c>
      <c r="C9" s="226" t="s">
        <v>146</v>
      </c>
      <c r="D9" s="217" t="s">
        <v>1096</v>
      </c>
      <c r="E9" s="217" t="s">
        <v>1084</v>
      </c>
      <c r="F9" s="224">
        <v>2018</v>
      </c>
      <c r="G9" s="223">
        <v>1000</v>
      </c>
      <c r="H9" s="223">
        <v>2318905.87</v>
      </c>
      <c r="I9" s="223">
        <v>165328.51</v>
      </c>
      <c r="J9" s="223">
        <v>2153577.36</v>
      </c>
      <c r="K9" s="224">
        <v>0</v>
      </c>
      <c r="L9" s="223">
        <v>2153577.36</v>
      </c>
      <c r="M9" s="224">
        <v>0</v>
      </c>
      <c r="N9" s="223">
        <v>2153577.36</v>
      </c>
    </row>
    <row r="10" spans="2:14" x14ac:dyDescent="0.2">
      <c r="B10" s="226" t="s">
        <v>452</v>
      </c>
      <c r="C10" s="226" t="s">
        <v>146</v>
      </c>
      <c r="D10" s="217" t="s">
        <v>1096</v>
      </c>
      <c r="E10" s="217" t="s">
        <v>1084</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483</v>
      </c>
      <c r="C11" s="226" t="s">
        <v>146</v>
      </c>
      <c r="D11" s="217" t="s">
        <v>1097</v>
      </c>
      <c r="E11" s="217" t="s">
        <v>1084</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449</v>
      </c>
      <c r="C12" s="226" t="s">
        <v>146</v>
      </c>
      <c r="D12" s="217" t="s">
        <v>1096</v>
      </c>
      <c r="E12" s="217" t="s">
        <v>1084</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476</v>
      </c>
      <c r="C13" s="226" t="s">
        <v>146</v>
      </c>
      <c r="D13" s="217" t="s">
        <v>1095</v>
      </c>
      <c r="E13" s="217" t="s">
        <v>1084</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455</v>
      </c>
      <c r="C14" s="226" t="s">
        <v>146</v>
      </c>
      <c r="D14" s="217" t="s">
        <v>1096</v>
      </c>
      <c r="E14" s="217" t="s">
        <v>1084</v>
      </c>
      <c r="F14" s="224">
        <v>2018</v>
      </c>
      <c r="G14" s="223">
        <v>3450</v>
      </c>
      <c r="H14" s="223">
        <v>20761579.800000001</v>
      </c>
      <c r="I14" s="223">
        <v>1218096.32</v>
      </c>
      <c r="J14" s="223">
        <v>19543483.48</v>
      </c>
      <c r="K14" s="224">
        <v>0</v>
      </c>
      <c r="L14" s="223">
        <v>19543483.48</v>
      </c>
      <c r="M14" s="224">
        <v>0</v>
      </c>
      <c r="N14" s="223">
        <v>19543483.48</v>
      </c>
    </row>
    <row r="15" spans="2:14" x14ac:dyDescent="0.2">
      <c r="B15" s="226" t="s">
        <v>460</v>
      </c>
      <c r="C15" s="226" t="s">
        <v>146</v>
      </c>
      <c r="D15" s="217" t="s">
        <v>1096</v>
      </c>
      <c r="E15" s="217" t="s">
        <v>1084</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468</v>
      </c>
      <c r="C16" s="226" t="s">
        <v>146</v>
      </c>
      <c r="D16" s="217" t="s">
        <v>1095</v>
      </c>
      <c r="E16" s="217" t="s">
        <v>1084</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559</v>
      </c>
      <c r="C17" s="226" t="s">
        <v>146</v>
      </c>
      <c r="D17" s="217" t="s">
        <v>1096</v>
      </c>
      <c r="E17" s="217" t="s">
        <v>1084</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1160</v>
      </c>
      <c r="E22" s="101" t="s">
        <v>1159</v>
      </c>
      <c r="F22" s="101" t="s">
        <v>1142</v>
      </c>
      <c r="G22" s="101" t="s">
        <v>1158</v>
      </c>
      <c r="H22" s="101" t="s">
        <v>1157</v>
      </c>
      <c r="I22" s="101" t="s">
        <v>1156</v>
      </c>
      <c r="J22" s="101" t="s">
        <v>1155</v>
      </c>
      <c r="K22" s="101" t="s">
        <v>1154</v>
      </c>
      <c r="L22" s="101" t="s">
        <v>1153</v>
      </c>
      <c r="M22" s="101"/>
    </row>
    <row r="23" spans="2:14" x14ac:dyDescent="0.2">
      <c r="B23" s="101" t="s">
        <v>1067</v>
      </c>
      <c r="C23" s="101" t="s">
        <v>1152</v>
      </c>
      <c r="D23" s="101"/>
      <c r="E23" s="101"/>
      <c r="F23" s="101" t="s">
        <v>1151</v>
      </c>
      <c r="G23" s="101"/>
      <c r="H23" s="101" t="s">
        <v>1150</v>
      </c>
      <c r="I23" s="101"/>
      <c r="J23" s="101"/>
      <c r="K23" s="101"/>
      <c r="L23" s="101"/>
      <c r="M23" s="101" t="s">
        <v>1149</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1148</v>
      </c>
      <c r="C25" s="246"/>
      <c r="D25" s="246"/>
      <c r="E25" s="246"/>
      <c r="F25" s="246"/>
      <c r="G25" s="246"/>
      <c r="H25" s="246"/>
      <c r="I25" s="246"/>
      <c r="J25" s="246"/>
      <c r="K25" s="246"/>
      <c r="L25" s="246"/>
      <c r="M25" s="245"/>
    </row>
    <row r="26" spans="2:14" ht="13.5" thickBot="1" x14ac:dyDescent="0.25">
      <c r="B26" s="235" t="s">
        <v>458</v>
      </c>
      <c r="C26" s="243" t="s">
        <v>146</v>
      </c>
      <c r="D26" s="243" t="s">
        <v>530</v>
      </c>
      <c r="E26" s="242">
        <v>2232</v>
      </c>
      <c r="F26" s="242">
        <v>2012</v>
      </c>
      <c r="G26" s="242">
        <v>13026226.029999999</v>
      </c>
      <c r="H26" s="242">
        <v>911870.03</v>
      </c>
      <c r="I26" s="242">
        <v>12114356</v>
      </c>
      <c r="J26" s="240" t="s">
        <v>1147</v>
      </c>
      <c r="K26" s="244">
        <v>12114356</v>
      </c>
      <c r="L26" s="240" t="s">
        <v>1147</v>
      </c>
      <c r="M26" s="239">
        <v>12114356</v>
      </c>
    </row>
    <row r="27" spans="2:14" ht="13.5" thickBot="1" x14ac:dyDescent="0.25">
      <c r="B27" s="235" t="s">
        <v>514</v>
      </c>
      <c r="C27" s="243" t="s">
        <v>146</v>
      </c>
      <c r="D27" s="243" t="s">
        <v>530</v>
      </c>
      <c r="E27" s="242">
        <v>1450</v>
      </c>
      <c r="F27" s="242">
        <v>1451</v>
      </c>
      <c r="G27" s="242">
        <v>8902148</v>
      </c>
      <c r="H27" s="242">
        <v>640513.62</v>
      </c>
      <c r="I27" s="242">
        <v>8261634.3799999999</v>
      </c>
      <c r="J27" s="240" t="s">
        <v>1147</v>
      </c>
      <c r="K27" s="241">
        <v>8261634.3799999999</v>
      </c>
      <c r="L27" s="240" t="s">
        <v>1147</v>
      </c>
      <c r="M27" s="239">
        <v>8261634.3799999999</v>
      </c>
    </row>
    <row r="28" spans="2:14" ht="13.5" thickBot="1" x14ac:dyDescent="0.25">
      <c r="B28" s="235" t="s">
        <v>508</v>
      </c>
      <c r="C28" s="243" t="s">
        <v>146</v>
      </c>
      <c r="D28" s="243" t="s">
        <v>530</v>
      </c>
      <c r="E28" s="242">
        <v>3450</v>
      </c>
      <c r="F28" s="242">
        <v>2645</v>
      </c>
      <c r="G28" s="242">
        <v>18131754</v>
      </c>
      <c r="H28" s="242">
        <v>1069966</v>
      </c>
      <c r="I28" s="242">
        <v>17061788</v>
      </c>
      <c r="J28" s="240" t="s">
        <v>1147</v>
      </c>
      <c r="K28" s="241">
        <v>17061788</v>
      </c>
      <c r="L28" s="240" t="s">
        <v>1147</v>
      </c>
      <c r="M28" s="239">
        <v>17061788</v>
      </c>
    </row>
    <row r="29" spans="2:14" ht="13.5" thickBot="1" x14ac:dyDescent="0.25">
      <c r="B29" s="235" t="s">
        <v>447</v>
      </c>
      <c r="C29" s="243" t="s">
        <v>146</v>
      </c>
      <c r="D29" s="243" t="s">
        <v>530</v>
      </c>
      <c r="E29" s="242">
        <v>1090</v>
      </c>
      <c r="F29" s="242">
        <v>1077</v>
      </c>
      <c r="G29" s="242">
        <v>6232252.8899999997</v>
      </c>
      <c r="H29" s="242">
        <v>395871.89</v>
      </c>
      <c r="I29" s="242">
        <v>5836381</v>
      </c>
      <c r="J29" s="240" t="s">
        <v>1147</v>
      </c>
      <c r="K29" s="241">
        <v>5836381</v>
      </c>
      <c r="L29" s="240" t="s">
        <v>1147</v>
      </c>
      <c r="M29" s="239">
        <v>5836381</v>
      </c>
    </row>
    <row r="30" spans="2:14" ht="13.5" thickBot="1" x14ac:dyDescent="0.25">
      <c r="B30" s="235" t="s">
        <v>451</v>
      </c>
      <c r="C30" s="243" t="s">
        <v>146</v>
      </c>
      <c r="D30" s="243" t="s">
        <v>530</v>
      </c>
      <c r="E30" s="242">
        <v>1865</v>
      </c>
      <c r="F30" s="242">
        <v>1596</v>
      </c>
      <c r="G30" s="242">
        <v>10695691.49</v>
      </c>
      <c r="H30" s="242">
        <v>673685.49</v>
      </c>
      <c r="I30" s="242">
        <v>10022006</v>
      </c>
      <c r="J30" s="240" t="s">
        <v>1147</v>
      </c>
      <c r="K30" s="241">
        <v>10022006</v>
      </c>
      <c r="L30" s="240" t="s">
        <v>1147</v>
      </c>
      <c r="M30" s="239">
        <v>10022006</v>
      </c>
    </row>
    <row r="31" spans="2:14" ht="13.5" thickBot="1" x14ac:dyDescent="0.25">
      <c r="B31" s="235" t="s">
        <v>497</v>
      </c>
      <c r="C31" s="243" t="s">
        <v>146</v>
      </c>
      <c r="D31" s="243" t="s">
        <v>530</v>
      </c>
      <c r="E31" s="242">
        <v>3840</v>
      </c>
      <c r="F31" s="242">
        <v>3949</v>
      </c>
      <c r="G31" s="242">
        <v>28855844.899999999</v>
      </c>
      <c r="H31" s="242">
        <v>2060012.9</v>
      </c>
      <c r="I31" s="242">
        <v>26795832</v>
      </c>
      <c r="J31" s="240" t="s">
        <v>1147</v>
      </c>
      <c r="K31" s="241">
        <v>26795832</v>
      </c>
      <c r="L31" s="240" t="s">
        <v>1147</v>
      </c>
      <c r="M31" s="239">
        <v>26795832</v>
      </c>
    </row>
    <row r="32" spans="2:14" ht="13.5" thickBot="1" x14ac:dyDescent="0.25">
      <c r="B32" s="235" t="s">
        <v>448</v>
      </c>
      <c r="C32" s="243" t="s">
        <v>146</v>
      </c>
      <c r="D32" s="243" t="s">
        <v>530</v>
      </c>
      <c r="E32" s="240">
        <v>791</v>
      </c>
      <c r="F32" s="240">
        <v>757</v>
      </c>
      <c r="G32" s="242">
        <v>3963569.04</v>
      </c>
      <c r="H32" s="242">
        <v>249003.04</v>
      </c>
      <c r="I32" s="242">
        <v>3714566</v>
      </c>
      <c r="J32" s="240" t="s">
        <v>1147</v>
      </c>
      <c r="K32" s="241">
        <v>3714566</v>
      </c>
      <c r="L32" s="240" t="s">
        <v>1147</v>
      </c>
      <c r="M32" s="239">
        <v>3714566</v>
      </c>
    </row>
    <row r="33" spans="1:17" ht="13.5" thickBot="1" x14ac:dyDescent="0.25">
      <c r="B33" s="235" t="s">
        <v>452</v>
      </c>
      <c r="C33" s="243" t="s">
        <v>146</v>
      </c>
      <c r="D33" s="243" t="s">
        <v>530</v>
      </c>
      <c r="E33" s="242">
        <v>2850</v>
      </c>
      <c r="F33" s="242">
        <v>2580</v>
      </c>
      <c r="G33" s="242">
        <v>16944768.719999999</v>
      </c>
      <c r="H33" s="242">
        <v>1223746.72</v>
      </c>
      <c r="I33" s="242">
        <v>15721022</v>
      </c>
      <c r="J33" s="240" t="s">
        <v>1147</v>
      </c>
      <c r="K33" s="241">
        <v>15721022</v>
      </c>
      <c r="L33" s="240" t="s">
        <v>1147</v>
      </c>
      <c r="M33" s="239">
        <v>15721022</v>
      </c>
    </row>
    <row r="34" spans="1:17" ht="13.5" thickBot="1" x14ac:dyDescent="0.25">
      <c r="B34" s="235" t="s">
        <v>483</v>
      </c>
      <c r="C34" s="243" t="s">
        <v>146</v>
      </c>
      <c r="D34" s="243" t="s">
        <v>530</v>
      </c>
      <c r="E34" s="242">
        <v>3558</v>
      </c>
      <c r="F34" s="242">
        <v>3575</v>
      </c>
      <c r="G34" s="242">
        <v>24333573.600000001</v>
      </c>
      <c r="H34" s="242">
        <v>1388506.6</v>
      </c>
      <c r="I34" s="242">
        <v>22945067</v>
      </c>
      <c r="J34" s="240" t="s">
        <v>1147</v>
      </c>
      <c r="K34" s="241">
        <v>22945067</v>
      </c>
      <c r="L34" s="240" t="s">
        <v>1147</v>
      </c>
      <c r="M34" s="239">
        <v>22945067</v>
      </c>
    </row>
    <row r="35" spans="1:17" ht="13.5" thickBot="1" x14ac:dyDescent="0.25">
      <c r="B35" s="235" t="s">
        <v>449</v>
      </c>
      <c r="C35" s="243" t="s">
        <v>146</v>
      </c>
      <c r="D35" s="243" t="s">
        <v>530</v>
      </c>
      <c r="E35" s="242">
        <v>3843</v>
      </c>
      <c r="F35" s="242">
        <v>3814</v>
      </c>
      <c r="G35" s="242">
        <v>27647993.219999999</v>
      </c>
      <c r="H35" s="242">
        <v>2226465.2200000002</v>
      </c>
      <c r="I35" s="242">
        <v>25421528</v>
      </c>
      <c r="J35" s="240" t="s">
        <v>1147</v>
      </c>
      <c r="K35" s="241">
        <v>25421528</v>
      </c>
      <c r="L35" s="240" t="s">
        <v>1147</v>
      </c>
      <c r="M35" s="239">
        <v>25421528</v>
      </c>
    </row>
    <row r="36" spans="1:17" ht="13.5" thickBot="1" x14ac:dyDescent="0.25">
      <c r="B36" s="235" t="s">
        <v>476</v>
      </c>
      <c r="C36" s="243" t="s">
        <v>146</v>
      </c>
      <c r="D36" s="243" t="s">
        <v>530</v>
      </c>
      <c r="E36" s="242">
        <v>3690</v>
      </c>
      <c r="F36" s="242">
        <v>3723</v>
      </c>
      <c r="G36" s="242">
        <v>29865255.359999999</v>
      </c>
      <c r="H36" s="242">
        <v>2679386.36</v>
      </c>
      <c r="I36" s="242">
        <v>27185869</v>
      </c>
      <c r="J36" s="240" t="s">
        <v>1147</v>
      </c>
      <c r="K36" s="241">
        <v>27185869</v>
      </c>
      <c r="L36" s="240" t="s">
        <v>1147</v>
      </c>
      <c r="M36" s="239">
        <v>27185869</v>
      </c>
    </row>
    <row r="37" spans="1:17" ht="13.5" thickBot="1" x14ac:dyDescent="0.25">
      <c r="B37" s="235" t="s">
        <v>455</v>
      </c>
      <c r="C37" s="243" t="s">
        <v>146</v>
      </c>
      <c r="D37" s="243" t="s">
        <v>530</v>
      </c>
      <c r="E37" s="242">
        <v>3450</v>
      </c>
      <c r="F37" s="242">
        <v>3388</v>
      </c>
      <c r="G37" s="242">
        <v>22765429.289999999</v>
      </c>
      <c r="H37" s="242">
        <v>1358253.29</v>
      </c>
      <c r="I37" s="242">
        <v>21407176</v>
      </c>
      <c r="J37" s="240" t="s">
        <v>1147</v>
      </c>
      <c r="K37" s="241">
        <v>21407176</v>
      </c>
      <c r="L37" s="240" t="s">
        <v>1147</v>
      </c>
      <c r="M37" s="239">
        <v>21407176</v>
      </c>
    </row>
    <row r="38" spans="1:17" ht="13.5" thickBot="1" x14ac:dyDescent="0.25">
      <c r="B38" s="235" t="s">
        <v>460</v>
      </c>
      <c r="C38" s="243" t="s">
        <v>146</v>
      </c>
      <c r="D38" s="243" t="s">
        <v>530</v>
      </c>
      <c r="E38" s="242">
        <v>3510</v>
      </c>
      <c r="F38" s="242">
        <v>3378</v>
      </c>
      <c r="G38" s="242">
        <v>20747557</v>
      </c>
      <c r="H38" s="242">
        <v>1160271</v>
      </c>
      <c r="I38" s="242">
        <v>19587286</v>
      </c>
      <c r="J38" s="240" t="s">
        <v>1147</v>
      </c>
      <c r="K38" s="241">
        <v>19587286</v>
      </c>
      <c r="L38" s="240" t="s">
        <v>1147</v>
      </c>
      <c r="M38" s="239">
        <v>19587286</v>
      </c>
    </row>
    <row r="40" spans="1:17" x14ac:dyDescent="0.2">
      <c r="G40" s="233"/>
    </row>
    <row r="41" spans="1:17" x14ac:dyDescent="0.2">
      <c r="B41" s="238" t="s">
        <v>1146</v>
      </c>
      <c r="C41" s="101" t="s">
        <v>1137</v>
      </c>
      <c r="D41" s="101"/>
      <c r="E41" s="64" t="s">
        <v>1145</v>
      </c>
      <c r="F41" s="64" t="s">
        <v>1144</v>
      </c>
      <c r="G41" s="64" t="s">
        <v>1143</v>
      </c>
      <c r="H41" s="101" t="s">
        <v>1142</v>
      </c>
      <c r="J41" s="64" t="s">
        <v>1141</v>
      </c>
      <c r="L41" s="64" t="s">
        <v>1140</v>
      </c>
    </row>
    <row r="42" spans="1:17" x14ac:dyDescent="0.2">
      <c r="B42" s="228" t="s">
        <v>1067</v>
      </c>
      <c r="C42" s="101" t="s">
        <v>124</v>
      </c>
      <c r="D42" s="101" t="s">
        <v>124</v>
      </c>
      <c r="E42" s="64" t="s">
        <v>124</v>
      </c>
      <c r="F42" s="64" t="s">
        <v>124</v>
      </c>
      <c r="H42" s="101" t="s">
        <v>124</v>
      </c>
      <c r="I42" s="64" t="s">
        <v>1139</v>
      </c>
      <c r="J42" s="101" t="s">
        <v>1138</v>
      </c>
      <c r="L42" s="101" t="s">
        <v>1137</v>
      </c>
      <c r="M42" s="64" t="s">
        <v>1136</v>
      </c>
      <c r="N42" s="64" t="s">
        <v>1137</v>
      </c>
      <c r="O42" s="64" t="s">
        <v>1136</v>
      </c>
      <c r="P42" s="64" t="s">
        <v>1135</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458</v>
      </c>
      <c r="B44" s="226" t="s">
        <v>458</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514</v>
      </c>
      <c r="B45" s="226" t="s">
        <v>514</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508</v>
      </c>
      <c r="B46" s="226" t="s">
        <v>508</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447</v>
      </c>
      <c r="B47" s="226" t="s">
        <v>447</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451</v>
      </c>
      <c r="B48" s="226" t="s">
        <v>451</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497</v>
      </c>
      <c r="B49" s="226" t="s">
        <v>497</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448</v>
      </c>
      <c r="B50" s="226" t="s">
        <v>448</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452</v>
      </c>
      <c r="B51" s="226" t="s">
        <v>452</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483</v>
      </c>
      <c r="B52" s="226" t="s">
        <v>483</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449</v>
      </c>
      <c r="B53" s="226" t="s">
        <v>449</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476</v>
      </c>
      <c r="B54" s="226" t="s">
        <v>476</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455</v>
      </c>
      <c r="B55" s="226" t="s">
        <v>455</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460</v>
      </c>
      <c r="B56" s="226" t="s">
        <v>460</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468</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559</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1134</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topLeftCell="A51" workbookViewId="0">
      <selection activeCell="N84" sqref="N84:S88"/>
    </sheetView>
  </sheetViews>
  <sheetFormatPr defaultRowHeight="12.75" x14ac:dyDescent="0.2"/>
  <cols>
    <col min="1" max="2" width="9.140625" style="64"/>
    <col min="3" max="3" width="28" style="64" customWidth="1"/>
    <col min="4" max="16384" width="9.140625" style="64"/>
  </cols>
  <sheetData>
    <row r="1" spans="3:27" x14ac:dyDescent="0.2">
      <c r="C1" s="248" t="s">
        <v>1231</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1229</v>
      </c>
      <c r="D5" s="64">
        <v>210</v>
      </c>
      <c r="E5" s="64">
        <v>960</v>
      </c>
      <c r="F5" s="64">
        <v>965</v>
      </c>
      <c r="G5" s="64">
        <v>1474</v>
      </c>
      <c r="H5" s="64">
        <v>1474</v>
      </c>
      <c r="I5" s="64">
        <v>1474</v>
      </c>
      <c r="J5" s="64">
        <v>1474</v>
      </c>
    </row>
    <row r="6" spans="3:27" x14ac:dyDescent="0.2">
      <c r="C6" s="64" t="s">
        <v>1228</v>
      </c>
      <c r="G6" s="64">
        <v>200</v>
      </c>
      <c r="H6" s="64">
        <v>300</v>
      </c>
      <c r="I6" s="64">
        <v>400</v>
      </c>
      <c r="J6" s="64">
        <v>500</v>
      </c>
    </row>
    <row r="7" spans="3:27" x14ac:dyDescent="0.2">
      <c r="C7" s="248" t="s">
        <v>1230</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1229</v>
      </c>
      <c r="D9" s="64">
        <f>D5</f>
        <v>210</v>
      </c>
      <c r="E9" s="64">
        <f t="shared" si="0"/>
        <v>750</v>
      </c>
      <c r="F9" s="64">
        <f t="shared" si="0"/>
        <v>5</v>
      </c>
      <c r="G9" s="64">
        <f t="shared" si="0"/>
        <v>509</v>
      </c>
      <c r="H9" s="64">
        <f t="shared" si="0"/>
        <v>0</v>
      </c>
      <c r="I9" s="64">
        <f t="shared" si="0"/>
        <v>0</v>
      </c>
      <c r="J9" s="64">
        <f t="shared" si="0"/>
        <v>0</v>
      </c>
    </row>
    <row r="10" spans="3:27" x14ac:dyDescent="0.2">
      <c r="C10" s="64" t="s">
        <v>1228</v>
      </c>
      <c r="D10" s="64">
        <f>D6</f>
        <v>0</v>
      </c>
      <c r="E10" s="64">
        <f t="shared" si="0"/>
        <v>0</v>
      </c>
      <c r="F10" s="64">
        <f t="shared" si="0"/>
        <v>0</v>
      </c>
      <c r="G10" s="64">
        <f t="shared" si="0"/>
        <v>200</v>
      </c>
      <c r="H10" s="64">
        <f t="shared" si="0"/>
        <v>100</v>
      </c>
      <c r="I10" s="64">
        <f t="shared" si="0"/>
        <v>100</v>
      </c>
      <c r="J10" s="64">
        <f t="shared" si="0"/>
        <v>100</v>
      </c>
    </row>
    <row r="12" spans="3:27" x14ac:dyDescent="0.2">
      <c r="AA12" s="64" t="s">
        <v>773</v>
      </c>
    </row>
    <row r="13" spans="3:27" x14ac:dyDescent="0.2">
      <c r="AA13" s="64" t="s">
        <v>1169</v>
      </c>
    </row>
    <row r="14" spans="3:27" x14ac:dyDescent="0.2">
      <c r="AA14" s="64" t="s">
        <v>1168</v>
      </c>
    </row>
    <row r="15" spans="3:27" x14ac:dyDescent="0.2">
      <c r="C15" s="248" t="s">
        <v>1227</v>
      </c>
      <c r="AA15" s="64" t="s">
        <v>1053</v>
      </c>
    </row>
    <row r="16" spans="3:27" x14ac:dyDescent="0.2">
      <c r="C16" s="61" t="s">
        <v>1226</v>
      </c>
    </row>
    <row r="17" spans="3:8" x14ac:dyDescent="0.2">
      <c r="C17" s="64" t="s">
        <v>1225</v>
      </c>
      <c r="D17" s="64" t="s">
        <v>1224</v>
      </c>
      <c r="E17" s="64" t="s">
        <v>1223</v>
      </c>
      <c r="F17" s="64" t="s">
        <v>1222</v>
      </c>
      <c r="G17" s="64" t="s">
        <v>1221</v>
      </c>
      <c r="H17" s="64" t="s">
        <v>1220</v>
      </c>
    </row>
    <row r="18" spans="3:8" x14ac:dyDescent="0.2">
      <c r="C18" s="64" t="s">
        <v>1219</v>
      </c>
      <c r="D18" s="64" t="s">
        <v>773</v>
      </c>
      <c r="E18" s="64">
        <v>40</v>
      </c>
      <c r="F18" s="64" t="s">
        <v>1173</v>
      </c>
      <c r="G18" s="64" t="s">
        <v>1218</v>
      </c>
      <c r="H18" s="64" t="s">
        <v>1171</v>
      </c>
    </row>
    <row r="19" spans="3:8" x14ac:dyDescent="0.2">
      <c r="C19" s="64" t="s">
        <v>1217</v>
      </c>
      <c r="D19" s="64" t="s">
        <v>773</v>
      </c>
      <c r="E19" s="64">
        <v>68</v>
      </c>
      <c r="F19" s="64" t="s">
        <v>1173</v>
      </c>
      <c r="G19" s="64" t="s">
        <v>1216</v>
      </c>
      <c r="H19" s="64" t="s">
        <v>1171</v>
      </c>
    </row>
    <row r="20" spans="3:8" x14ac:dyDescent="0.2">
      <c r="C20" s="64" t="s">
        <v>1215</v>
      </c>
      <c r="D20" s="64" t="s">
        <v>1169</v>
      </c>
      <c r="E20" s="64">
        <v>102</v>
      </c>
      <c r="F20" s="64" t="s">
        <v>1173</v>
      </c>
      <c r="G20" s="64" t="s">
        <v>1205</v>
      </c>
      <c r="H20" s="64" t="s">
        <v>1171</v>
      </c>
    </row>
    <row r="21" spans="3:8" x14ac:dyDescent="0.2">
      <c r="C21" s="64" t="s">
        <v>1214</v>
      </c>
      <c r="D21" s="64" t="s">
        <v>773</v>
      </c>
      <c r="E21" s="64">
        <v>50</v>
      </c>
      <c r="F21" s="64" t="s">
        <v>1173</v>
      </c>
      <c r="G21" s="64" t="s">
        <v>1213</v>
      </c>
      <c r="H21" s="64" t="s">
        <v>1171</v>
      </c>
    </row>
    <row r="22" spans="3:8" x14ac:dyDescent="0.2">
      <c r="C22" s="64" t="s">
        <v>1212</v>
      </c>
      <c r="D22" s="64" t="s">
        <v>773</v>
      </c>
      <c r="E22" s="64">
        <v>75</v>
      </c>
      <c r="F22" s="64" t="s">
        <v>1173</v>
      </c>
      <c r="G22" s="64" t="s">
        <v>1211</v>
      </c>
      <c r="H22" s="64" t="s">
        <v>1171</v>
      </c>
    </row>
    <row r="23" spans="3:8" x14ac:dyDescent="0.2">
      <c r="C23" s="64" t="s">
        <v>1210</v>
      </c>
      <c r="D23" s="64" t="s">
        <v>773</v>
      </c>
      <c r="E23" s="64">
        <v>75</v>
      </c>
      <c r="F23" s="64" t="s">
        <v>1173</v>
      </c>
      <c r="G23" s="64" t="s">
        <v>1182</v>
      </c>
      <c r="H23" s="64" t="s">
        <v>1171</v>
      </c>
    </row>
    <row r="24" spans="3:8" x14ac:dyDescent="0.2">
      <c r="C24" s="64" t="s">
        <v>1209</v>
      </c>
      <c r="D24" s="64" t="s">
        <v>773</v>
      </c>
      <c r="E24" s="64">
        <v>75</v>
      </c>
      <c r="F24" s="64" t="s">
        <v>1173</v>
      </c>
      <c r="G24" s="64" t="s">
        <v>1182</v>
      </c>
      <c r="H24" s="64" t="s">
        <v>1171</v>
      </c>
    </row>
    <row r="25" spans="3:8" x14ac:dyDescent="0.2">
      <c r="C25" s="64" t="s">
        <v>1208</v>
      </c>
      <c r="D25" s="64" t="s">
        <v>1169</v>
      </c>
      <c r="E25" s="64">
        <v>32</v>
      </c>
      <c r="F25" s="64" t="s">
        <v>1173</v>
      </c>
      <c r="G25" s="64" t="s">
        <v>1207</v>
      </c>
      <c r="H25" s="64" t="s">
        <v>1171</v>
      </c>
    </row>
    <row r="26" spans="3:8" x14ac:dyDescent="0.2">
      <c r="C26" s="64" t="s">
        <v>1206</v>
      </c>
      <c r="D26" s="64" t="s">
        <v>1169</v>
      </c>
      <c r="E26" s="64">
        <v>136</v>
      </c>
      <c r="F26" s="64" t="s">
        <v>1173</v>
      </c>
      <c r="G26" s="64" t="s">
        <v>1205</v>
      </c>
      <c r="H26" s="64" t="s">
        <v>1171</v>
      </c>
    </row>
    <row r="27" spans="3:8" x14ac:dyDescent="0.2">
      <c r="C27" s="64" t="s">
        <v>1204</v>
      </c>
      <c r="D27" s="64" t="s">
        <v>1169</v>
      </c>
      <c r="E27" s="64">
        <v>120</v>
      </c>
      <c r="F27" s="64" t="s">
        <v>1173</v>
      </c>
      <c r="G27" s="64" t="s">
        <v>1191</v>
      </c>
      <c r="H27" s="64" t="s">
        <v>1171</v>
      </c>
    </row>
    <row r="28" spans="3:8" x14ac:dyDescent="0.2">
      <c r="C28" s="64" t="s">
        <v>1203</v>
      </c>
      <c r="D28" s="64" t="s">
        <v>773</v>
      </c>
      <c r="E28" s="64">
        <v>55</v>
      </c>
      <c r="F28" s="64" t="s">
        <v>1173</v>
      </c>
      <c r="G28" s="64" t="s">
        <v>1202</v>
      </c>
      <c r="H28" s="64" t="s">
        <v>1171</v>
      </c>
    </row>
    <row r="29" spans="3:8" x14ac:dyDescent="0.2">
      <c r="C29" s="64" t="s">
        <v>1201</v>
      </c>
      <c r="D29" s="64" t="s">
        <v>1169</v>
      </c>
      <c r="E29" s="64">
        <v>137</v>
      </c>
      <c r="F29" s="64" t="s">
        <v>1173</v>
      </c>
      <c r="G29" s="64" t="s">
        <v>1200</v>
      </c>
      <c r="H29" s="64" t="s">
        <v>1186</v>
      </c>
    </row>
    <row r="30" spans="3:8" x14ac:dyDescent="0.2">
      <c r="C30" s="64" t="s">
        <v>1199</v>
      </c>
      <c r="D30" s="64" t="s">
        <v>1169</v>
      </c>
      <c r="E30" s="64">
        <v>140</v>
      </c>
      <c r="F30" s="64" t="s">
        <v>1173</v>
      </c>
      <c r="G30" s="64" t="s">
        <v>1184</v>
      </c>
      <c r="H30" s="64" t="s">
        <v>1171</v>
      </c>
    </row>
    <row r="31" spans="3:8" x14ac:dyDescent="0.2">
      <c r="C31" s="64" t="s">
        <v>1198</v>
      </c>
      <c r="D31" s="64" t="s">
        <v>773</v>
      </c>
      <c r="E31" s="64">
        <v>75</v>
      </c>
      <c r="F31" s="64" t="s">
        <v>1173</v>
      </c>
      <c r="G31" s="64" t="s">
        <v>1197</v>
      </c>
      <c r="H31" s="64" t="s">
        <v>1171</v>
      </c>
    </row>
    <row r="32" spans="3:8" x14ac:dyDescent="0.2">
      <c r="C32" s="64" t="s">
        <v>1196</v>
      </c>
      <c r="D32" s="64" t="s">
        <v>1168</v>
      </c>
      <c r="E32" s="64">
        <v>4.5</v>
      </c>
      <c r="F32" s="64" t="s">
        <v>1173</v>
      </c>
      <c r="G32" s="64" t="s">
        <v>1195</v>
      </c>
      <c r="H32" s="64" t="s">
        <v>1171</v>
      </c>
    </row>
    <row r="33" spans="3:13" x14ac:dyDescent="0.2">
      <c r="C33" s="64" t="s">
        <v>1194</v>
      </c>
      <c r="D33" s="64" t="s">
        <v>1053</v>
      </c>
      <c r="E33" s="64">
        <v>62</v>
      </c>
      <c r="F33" s="64" t="s">
        <v>1173</v>
      </c>
      <c r="G33" s="64" t="s">
        <v>1193</v>
      </c>
      <c r="H33" s="64" t="s">
        <v>1171</v>
      </c>
    </row>
    <row r="34" spans="3:13" x14ac:dyDescent="0.2">
      <c r="C34" s="64" t="s">
        <v>1192</v>
      </c>
      <c r="D34" s="64" t="s">
        <v>1169</v>
      </c>
      <c r="E34" s="64">
        <v>140</v>
      </c>
      <c r="F34" s="64" t="s">
        <v>1173</v>
      </c>
      <c r="G34" s="64" t="s">
        <v>1191</v>
      </c>
      <c r="H34" s="64" t="s">
        <v>1171</v>
      </c>
    </row>
    <row r="35" spans="3:13" x14ac:dyDescent="0.2">
      <c r="C35" s="64" t="s">
        <v>1190</v>
      </c>
      <c r="D35" s="64" t="s">
        <v>1169</v>
      </c>
      <c r="E35" s="64">
        <v>140</v>
      </c>
      <c r="F35" s="64" t="s">
        <v>1173</v>
      </c>
      <c r="G35" s="64" t="s">
        <v>1189</v>
      </c>
      <c r="H35" s="64" t="s">
        <v>1171</v>
      </c>
    </row>
    <row r="36" spans="3:13" x14ac:dyDescent="0.2">
      <c r="C36" s="64" t="s">
        <v>1188</v>
      </c>
      <c r="D36" s="64" t="s">
        <v>1169</v>
      </c>
      <c r="E36" s="64">
        <v>108</v>
      </c>
      <c r="F36" s="64" t="s">
        <v>1173</v>
      </c>
      <c r="G36" s="64" t="s">
        <v>1187</v>
      </c>
      <c r="H36" s="64" t="s">
        <v>1186</v>
      </c>
    </row>
    <row r="37" spans="3:13" x14ac:dyDescent="0.2">
      <c r="C37" s="64" t="s">
        <v>1185</v>
      </c>
      <c r="D37" s="64" t="s">
        <v>1169</v>
      </c>
      <c r="E37" s="64">
        <v>140</v>
      </c>
      <c r="F37" s="64" t="s">
        <v>1173</v>
      </c>
      <c r="G37" s="64" t="s">
        <v>1184</v>
      </c>
      <c r="H37" s="64" t="s">
        <v>1171</v>
      </c>
    </row>
    <row r="38" spans="3:13" x14ac:dyDescent="0.2">
      <c r="C38" s="64" t="s">
        <v>1183</v>
      </c>
      <c r="D38" s="64" t="s">
        <v>773</v>
      </c>
      <c r="E38" s="64">
        <v>75</v>
      </c>
      <c r="F38" s="64" t="s">
        <v>1173</v>
      </c>
      <c r="G38" s="64" t="s">
        <v>1182</v>
      </c>
      <c r="H38" s="64" t="s">
        <v>1171</v>
      </c>
    </row>
    <row r="39" spans="3:13" x14ac:dyDescent="0.2">
      <c r="C39" s="64" t="s">
        <v>1181</v>
      </c>
      <c r="D39" s="64" t="s">
        <v>773</v>
      </c>
      <c r="E39" s="64">
        <v>75</v>
      </c>
      <c r="F39" s="64" t="s">
        <v>1173</v>
      </c>
      <c r="G39" s="64" t="s">
        <v>1180</v>
      </c>
      <c r="H39" s="64" t="s">
        <v>1171</v>
      </c>
    </row>
    <row r="40" spans="3:13" x14ac:dyDescent="0.2">
      <c r="C40" s="64" t="s">
        <v>1179</v>
      </c>
      <c r="D40" s="64" t="s">
        <v>1169</v>
      </c>
      <c r="E40" s="64">
        <v>139</v>
      </c>
      <c r="F40" s="64" t="s">
        <v>1173</v>
      </c>
      <c r="G40" s="64" t="s">
        <v>1178</v>
      </c>
      <c r="H40" s="64" t="s">
        <v>1171</v>
      </c>
    </row>
    <row r="41" spans="3:13" x14ac:dyDescent="0.2">
      <c r="C41" s="64" t="s">
        <v>1177</v>
      </c>
      <c r="D41" s="64" t="s">
        <v>773</v>
      </c>
      <c r="E41" s="64">
        <v>75</v>
      </c>
      <c r="F41" s="64" t="s">
        <v>1173</v>
      </c>
      <c r="G41" s="64" t="s">
        <v>1176</v>
      </c>
      <c r="H41" s="64" t="s">
        <v>1171</v>
      </c>
    </row>
    <row r="42" spans="3:13" x14ac:dyDescent="0.2">
      <c r="C42" s="64" t="s">
        <v>1175</v>
      </c>
      <c r="D42" s="64" t="s">
        <v>1169</v>
      </c>
      <c r="E42" s="64">
        <v>33</v>
      </c>
      <c r="F42" s="64" t="s">
        <v>1173</v>
      </c>
      <c r="G42" s="64" t="s">
        <v>1174</v>
      </c>
      <c r="H42" s="64" t="s">
        <v>1171</v>
      </c>
    </row>
    <row r="43" spans="3:13" x14ac:dyDescent="0.2">
      <c r="C43" s="64" t="s">
        <v>1172</v>
      </c>
      <c r="D43" s="64" t="s">
        <v>773</v>
      </c>
      <c r="E43" s="64">
        <v>75</v>
      </c>
      <c r="F43" s="64" t="s">
        <v>1173</v>
      </c>
      <c r="G43" s="64" t="s">
        <v>1172</v>
      </c>
      <c r="H43" s="64" t="s">
        <v>1171</v>
      </c>
    </row>
    <row r="44" spans="3:13" x14ac:dyDescent="0.2">
      <c r="C44" s="248" t="s">
        <v>1170</v>
      </c>
      <c r="J44" s="64">
        <v>2020</v>
      </c>
      <c r="K44" s="64">
        <v>2021</v>
      </c>
      <c r="L44" s="64">
        <v>2022</v>
      </c>
      <c r="M44" s="64">
        <v>2023</v>
      </c>
    </row>
    <row r="45" spans="3:13" x14ac:dyDescent="0.2">
      <c r="C45" s="64" t="s">
        <v>773</v>
      </c>
      <c r="D45" s="64">
        <f>SUMIF($D$18:$D$43,C45,$E$18:$E$43)</f>
        <v>813</v>
      </c>
      <c r="I45" s="64">
        <f>SUM(J45:M45)</f>
        <v>0.81400000000000006</v>
      </c>
      <c r="J45" s="64">
        <v>0.114</v>
      </c>
      <c r="K45" s="64">
        <v>0.3</v>
      </c>
      <c r="L45" s="64">
        <v>0.4</v>
      </c>
      <c r="M45" s="64">
        <v>0</v>
      </c>
    </row>
    <row r="46" spans="3:13" x14ac:dyDescent="0.2">
      <c r="C46" s="64" t="s">
        <v>1169</v>
      </c>
      <c r="D46" s="64">
        <f>SUMIF($D$18:$D$43,C46,$E$18:$E$43)</f>
        <v>1367</v>
      </c>
      <c r="I46" s="64">
        <f>SUM(J46:M46)</f>
        <v>1.3620000000000001</v>
      </c>
      <c r="J46" s="64">
        <v>0.24399999999999999</v>
      </c>
      <c r="K46" s="64">
        <v>0.3</v>
      </c>
      <c r="L46" s="64">
        <v>0.81799999999999995</v>
      </c>
      <c r="M46" s="64">
        <v>0</v>
      </c>
    </row>
    <row r="47" spans="3:13" x14ac:dyDescent="0.2">
      <c r="C47" s="64" t="s">
        <v>1168</v>
      </c>
    </row>
    <row r="48" spans="3:13" x14ac:dyDescent="0.2">
      <c r="C48" s="64" t="s">
        <v>1053</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1167</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1166</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1165</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1164</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1163</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1162</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1082</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1161</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zoomScale="80" zoomScaleNormal="80" workbookViewId="0"/>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1269</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1268</v>
      </c>
    </row>
    <row r="4" spans="1:37" ht="78" customHeight="1" x14ac:dyDescent="0.25">
      <c r="A4" s="274"/>
      <c r="B4" s="271" t="s">
        <v>1267</v>
      </c>
      <c r="C4" s="271" t="s">
        <v>1266</v>
      </c>
      <c r="D4" s="271" t="s">
        <v>1265</v>
      </c>
      <c r="E4" s="271" t="s">
        <v>766</v>
      </c>
      <c r="F4" s="271" t="s">
        <v>1264</v>
      </c>
      <c r="G4" s="271" t="s">
        <v>1263</v>
      </c>
      <c r="H4" s="271" t="s">
        <v>1262</v>
      </c>
      <c r="I4" s="271" t="s">
        <v>1261</v>
      </c>
      <c r="J4" s="271" t="s">
        <v>1260</v>
      </c>
      <c r="K4" s="271" t="s">
        <v>1259</v>
      </c>
      <c r="L4" s="272"/>
      <c r="M4" s="271" t="s">
        <v>1258</v>
      </c>
      <c r="N4" s="271" t="s">
        <v>1257</v>
      </c>
      <c r="O4" s="271" t="s">
        <v>1256</v>
      </c>
      <c r="P4" s="271" t="s">
        <v>1255</v>
      </c>
      <c r="Q4" s="271" t="s">
        <v>1254</v>
      </c>
      <c r="S4" s="273"/>
      <c r="T4" s="271" t="s">
        <v>253</v>
      </c>
      <c r="U4" s="271" t="s">
        <v>1253</v>
      </c>
      <c r="V4" s="271" t="s">
        <v>1252</v>
      </c>
      <c r="W4" s="271" t="s">
        <v>1251</v>
      </c>
      <c r="X4" s="271" t="s">
        <v>1250</v>
      </c>
      <c r="Y4" s="271" t="s">
        <v>1249</v>
      </c>
      <c r="Z4" s="271" t="s">
        <v>1248</v>
      </c>
      <c r="AA4" s="271" t="s">
        <v>1247</v>
      </c>
      <c r="AB4" s="271" t="s">
        <v>1246</v>
      </c>
      <c r="AC4" s="271" t="s">
        <v>1245</v>
      </c>
      <c r="AD4" s="271" t="s">
        <v>1244</v>
      </c>
      <c r="AE4" s="271" t="s">
        <v>1243</v>
      </c>
      <c r="AF4" s="271" t="s">
        <v>1242</v>
      </c>
      <c r="AG4" s="271" t="s">
        <v>130</v>
      </c>
      <c r="AH4" s="271" t="s">
        <v>1241</v>
      </c>
      <c r="AI4" s="271" t="s">
        <v>1240</v>
      </c>
      <c r="AJ4" s="272"/>
      <c r="AK4" s="271" t="s">
        <v>802</v>
      </c>
    </row>
    <row r="5" spans="1:37" x14ac:dyDescent="0.25">
      <c r="A5" s="270" t="s">
        <v>1239</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1238</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1237</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1236</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1235</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1234</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1233</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1232</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1450</v>
      </c>
      <c r="B1" s="183" t="s">
        <v>1449</v>
      </c>
      <c r="C1" s="183" t="s">
        <v>1448</v>
      </c>
      <c r="D1" s="183" t="s">
        <v>1447</v>
      </c>
      <c r="E1" s="183" t="s">
        <v>1446</v>
      </c>
      <c r="F1" s="183" t="s">
        <v>340</v>
      </c>
      <c r="G1" s="183" t="s">
        <v>338</v>
      </c>
      <c r="H1" s="183" t="s">
        <v>336</v>
      </c>
      <c r="I1" s="183" t="s">
        <v>334</v>
      </c>
      <c r="J1" s="183" t="s">
        <v>1445</v>
      </c>
    </row>
    <row r="2" spans="1:10" x14ac:dyDescent="0.25">
      <c r="A2" s="183" t="s">
        <v>1444</v>
      </c>
      <c r="B2" s="183" t="s">
        <v>1443</v>
      </c>
      <c r="C2" s="183" t="s">
        <v>1272</v>
      </c>
      <c r="D2" s="183" t="s">
        <v>1438</v>
      </c>
      <c r="E2" s="183" t="s">
        <v>1438</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1442</v>
      </c>
      <c r="B3" s="183" t="s">
        <v>1441</v>
      </c>
      <c r="C3" s="183" t="s">
        <v>1272</v>
      </c>
      <c r="D3" s="183" t="s">
        <v>1438</v>
      </c>
      <c r="E3" s="183" t="s">
        <v>1438</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1440</v>
      </c>
      <c r="C4" s="183" t="s">
        <v>1272</v>
      </c>
      <c r="D4" s="183" t="s">
        <v>1438</v>
      </c>
      <c r="E4" s="183" t="s">
        <v>1438</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1439</v>
      </c>
      <c r="C5" s="183" t="s">
        <v>1272</v>
      </c>
      <c r="D5" s="183" t="s">
        <v>1438</v>
      </c>
      <c r="E5" s="183" t="s">
        <v>1438</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1437</v>
      </c>
      <c r="C6" s="183" t="s">
        <v>1272</v>
      </c>
      <c r="D6" s="183" t="s">
        <v>1435</v>
      </c>
      <c r="E6" s="183" t="s">
        <v>1435</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1436</v>
      </c>
      <c r="C7" s="183" t="s">
        <v>1272</v>
      </c>
      <c r="D7" s="183" t="s">
        <v>1435</v>
      </c>
      <c r="E7" s="183" t="s">
        <v>1435</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1434</v>
      </c>
      <c r="C8" s="183" t="s">
        <v>1272</v>
      </c>
      <c r="D8" s="183" t="s">
        <v>1431</v>
      </c>
      <c r="E8" s="183" t="s">
        <v>1431</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1433</v>
      </c>
      <c r="C9" s="183" t="s">
        <v>1272</v>
      </c>
      <c r="D9" s="183" t="s">
        <v>1284</v>
      </c>
      <c r="E9" s="183" t="s">
        <v>1284</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1432</v>
      </c>
      <c r="C10" s="183" t="s">
        <v>1272</v>
      </c>
      <c r="D10" s="183" t="s">
        <v>1431</v>
      </c>
      <c r="E10" s="183" t="s">
        <v>1431</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1430</v>
      </c>
      <c r="B11" s="183" t="s">
        <v>1429</v>
      </c>
      <c r="C11" s="183" t="s">
        <v>1272</v>
      </c>
      <c r="D11" s="183" t="s">
        <v>1284</v>
      </c>
      <c r="E11" s="183" t="s">
        <v>1284</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1428</v>
      </c>
      <c r="B12" s="183" t="s">
        <v>1427</v>
      </c>
      <c r="C12" s="183" t="s">
        <v>1272</v>
      </c>
      <c r="D12" s="183" t="s">
        <v>1284</v>
      </c>
      <c r="E12" s="183" t="s">
        <v>1284</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1426</v>
      </c>
      <c r="B13" s="183" t="s">
        <v>1425</v>
      </c>
      <c r="C13" s="183" t="s">
        <v>1272</v>
      </c>
      <c r="D13" s="183" t="s">
        <v>1284</v>
      </c>
      <c r="E13" s="183" t="s">
        <v>1284</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1424</v>
      </c>
      <c r="C14" s="183" t="s">
        <v>1272</v>
      </c>
      <c r="D14" s="183" t="s">
        <v>1284</v>
      </c>
      <c r="E14" s="183" t="s">
        <v>1284</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1423</v>
      </c>
      <c r="B15" s="183" t="s">
        <v>1422</v>
      </c>
      <c r="C15" s="183" t="s">
        <v>1272</v>
      </c>
      <c r="D15" s="183" t="s">
        <v>1284</v>
      </c>
      <c r="E15" s="183" t="s">
        <v>1284</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1421</v>
      </c>
      <c r="B16" s="183" t="s">
        <v>1420</v>
      </c>
      <c r="C16" s="183" t="s">
        <v>1272</v>
      </c>
      <c r="D16" s="183" t="s">
        <v>1284</v>
      </c>
      <c r="E16" s="183" t="s">
        <v>1284</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1419</v>
      </c>
      <c r="B17" s="183" t="s">
        <v>1418</v>
      </c>
      <c r="C17" s="183" t="s">
        <v>1272</v>
      </c>
      <c r="D17" s="183" t="s">
        <v>1284</v>
      </c>
      <c r="E17" s="183" t="s">
        <v>1284</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1417</v>
      </c>
      <c r="B18" s="183" t="s">
        <v>1416</v>
      </c>
      <c r="C18" s="183" t="s">
        <v>1272</v>
      </c>
      <c r="D18" s="183" t="s">
        <v>1284</v>
      </c>
      <c r="E18" s="183" t="s">
        <v>1284</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1415</v>
      </c>
      <c r="C19" s="183" t="s">
        <v>1272</v>
      </c>
      <c r="D19" s="183" t="s">
        <v>1392</v>
      </c>
      <c r="E19" s="183" t="s">
        <v>1413</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1414</v>
      </c>
      <c r="C20" s="183" t="s">
        <v>1272</v>
      </c>
      <c r="D20" s="183" t="s">
        <v>1392</v>
      </c>
      <c r="E20" s="183" t="s">
        <v>1413</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1412</v>
      </c>
      <c r="B21" s="183" t="s">
        <v>1411</v>
      </c>
      <c r="C21" s="183" t="s">
        <v>1272</v>
      </c>
      <c r="D21" s="183" t="s">
        <v>1392</v>
      </c>
      <c r="E21" s="183" t="s">
        <v>1396</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1410</v>
      </c>
      <c r="B22" s="183" t="s">
        <v>1409</v>
      </c>
      <c r="C22" s="183" t="s">
        <v>1272</v>
      </c>
      <c r="D22" s="183" t="s">
        <v>1392</v>
      </c>
      <c r="E22" s="183" t="s">
        <v>1396</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1408</v>
      </c>
      <c r="B23" s="183" t="s">
        <v>1407</v>
      </c>
      <c r="C23" s="183" t="s">
        <v>1272</v>
      </c>
      <c r="D23" s="183" t="s">
        <v>1392</v>
      </c>
      <c r="E23" s="183" t="s">
        <v>1396</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1406</v>
      </c>
      <c r="B24" s="183" t="s">
        <v>1405</v>
      </c>
      <c r="C24" s="183" t="s">
        <v>1272</v>
      </c>
      <c r="D24" s="183" t="s">
        <v>1392</v>
      </c>
      <c r="E24" s="183" t="s">
        <v>1396</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1404</v>
      </c>
      <c r="B25" s="183" t="s">
        <v>1403</v>
      </c>
      <c r="C25" s="183" t="s">
        <v>1272</v>
      </c>
      <c r="D25" s="183" t="s">
        <v>1392</v>
      </c>
      <c r="E25" s="183" t="s">
        <v>1396</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1402</v>
      </c>
      <c r="B26" s="183" t="s">
        <v>1401</v>
      </c>
      <c r="C26" s="183" t="s">
        <v>1272</v>
      </c>
      <c r="D26" s="183" t="s">
        <v>1392</v>
      </c>
      <c r="E26" s="183" t="s">
        <v>1396</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1400</v>
      </c>
      <c r="B27" s="183" t="s">
        <v>1399</v>
      </c>
      <c r="C27" s="183" t="s">
        <v>1272</v>
      </c>
      <c r="D27" s="183" t="s">
        <v>1392</v>
      </c>
      <c r="E27" s="183" t="s">
        <v>1396</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1398</v>
      </c>
      <c r="B28" s="183" t="s">
        <v>1397</v>
      </c>
      <c r="C28" s="183" t="s">
        <v>1272</v>
      </c>
      <c r="D28" s="183" t="s">
        <v>1392</v>
      </c>
      <c r="E28" s="183" t="s">
        <v>1396</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1395</v>
      </c>
      <c r="C29" s="183" t="s">
        <v>1272</v>
      </c>
      <c r="D29" s="183" t="s">
        <v>1392</v>
      </c>
      <c r="E29" s="183" t="s">
        <v>1394</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1393</v>
      </c>
      <c r="C30" s="183" t="s">
        <v>1272</v>
      </c>
      <c r="D30" s="183" t="s">
        <v>1392</v>
      </c>
      <c r="E30" s="183" t="s">
        <v>1391</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1390</v>
      </c>
      <c r="B31" s="183" t="s">
        <v>1389</v>
      </c>
      <c r="C31" s="183" t="s">
        <v>1272</v>
      </c>
      <c r="D31" s="183" t="s">
        <v>1371</v>
      </c>
      <c r="E31" s="183" t="s">
        <v>1371</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1388</v>
      </c>
      <c r="B32" s="183" t="s">
        <v>1387</v>
      </c>
      <c r="C32" s="183" t="s">
        <v>1272</v>
      </c>
      <c r="D32" s="183" t="s">
        <v>1371</v>
      </c>
      <c r="E32" s="183" t="s">
        <v>1371</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1386</v>
      </c>
      <c r="C33" s="183" t="s">
        <v>1272</v>
      </c>
      <c r="D33" s="183" t="s">
        <v>1371</v>
      </c>
      <c r="E33" s="183" t="s">
        <v>1371</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1385</v>
      </c>
      <c r="B34" s="183" t="s">
        <v>1384</v>
      </c>
      <c r="C34" s="183" t="s">
        <v>1272</v>
      </c>
      <c r="D34" s="183" t="s">
        <v>1371</v>
      </c>
      <c r="E34" s="183" t="s">
        <v>1371</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1383</v>
      </c>
      <c r="B35" s="183" t="s">
        <v>1382</v>
      </c>
      <c r="C35" s="183" t="s">
        <v>1272</v>
      </c>
      <c r="D35" s="183" t="s">
        <v>1371</v>
      </c>
      <c r="E35" s="183" t="s">
        <v>1371</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1381</v>
      </c>
      <c r="B36" s="183" t="s">
        <v>1380</v>
      </c>
      <c r="C36" s="183" t="s">
        <v>1272</v>
      </c>
      <c r="D36" s="183" t="s">
        <v>1371</v>
      </c>
      <c r="E36" s="183" t="s">
        <v>1371</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1379</v>
      </c>
      <c r="B37" s="183" t="s">
        <v>1378</v>
      </c>
      <c r="C37" s="183" t="s">
        <v>1272</v>
      </c>
      <c r="D37" s="183" t="s">
        <v>1371</v>
      </c>
      <c r="E37" s="183" t="s">
        <v>1371</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1377</v>
      </c>
      <c r="B38" s="183" t="s">
        <v>1376</v>
      </c>
      <c r="C38" s="183" t="s">
        <v>1272</v>
      </c>
      <c r="D38" s="183" t="s">
        <v>1371</v>
      </c>
      <c r="E38" s="183" t="s">
        <v>1371</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1375</v>
      </c>
      <c r="B39" s="183" t="s">
        <v>1374</v>
      </c>
      <c r="C39" s="183" t="s">
        <v>1272</v>
      </c>
      <c r="D39" s="183" t="s">
        <v>1371</v>
      </c>
      <c r="E39" s="183" t="s">
        <v>1371</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1373</v>
      </c>
      <c r="B40" s="183" t="s">
        <v>1372</v>
      </c>
      <c r="C40" s="183" t="s">
        <v>1272</v>
      </c>
      <c r="D40" s="183" t="s">
        <v>1371</v>
      </c>
      <c r="E40" s="183" t="s">
        <v>1371</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1370</v>
      </c>
      <c r="C41" s="183" t="s">
        <v>1272</v>
      </c>
      <c r="D41" s="183" t="s">
        <v>1367</v>
      </c>
      <c r="E41" s="183" t="s">
        <v>1367</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1369</v>
      </c>
      <c r="B42" s="183" t="s">
        <v>1368</v>
      </c>
      <c r="C42" s="183" t="s">
        <v>1272</v>
      </c>
      <c r="D42" s="183" t="s">
        <v>1367</v>
      </c>
      <c r="E42" s="183" t="s">
        <v>1367</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1366</v>
      </c>
      <c r="B43" s="183" t="s">
        <v>1365</v>
      </c>
      <c r="C43" s="183" t="s">
        <v>1272</v>
      </c>
      <c r="D43" s="183" t="s">
        <v>1342</v>
      </c>
      <c r="E43" s="183" t="s">
        <v>1364</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1363</v>
      </c>
      <c r="B44" s="183" t="s">
        <v>1362</v>
      </c>
      <c r="C44" s="183" t="s">
        <v>1272</v>
      </c>
      <c r="D44" s="183" t="s">
        <v>1342</v>
      </c>
      <c r="E44" s="183" t="s">
        <v>1347</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1361</v>
      </c>
      <c r="B45" s="183" t="s">
        <v>1360</v>
      </c>
      <c r="C45" s="183" t="s">
        <v>1272</v>
      </c>
      <c r="D45" s="183" t="s">
        <v>1342</v>
      </c>
      <c r="E45" s="183" t="s">
        <v>1347</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1359</v>
      </c>
      <c r="B46" s="183" t="s">
        <v>1358</v>
      </c>
      <c r="C46" s="183" t="s">
        <v>1272</v>
      </c>
      <c r="D46" s="183" t="s">
        <v>1342</v>
      </c>
      <c r="E46" s="183" t="s">
        <v>1347</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1357</v>
      </c>
      <c r="B47" s="183" t="s">
        <v>1356</v>
      </c>
      <c r="C47" s="183" t="s">
        <v>1272</v>
      </c>
      <c r="D47" s="183" t="s">
        <v>1342</v>
      </c>
      <c r="E47" s="183" t="s">
        <v>1347</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1355</v>
      </c>
      <c r="B48" s="183" t="s">
        <v>1354</v>
      </c>
      <c r="C48" s="183" t="s">
        <v>1272</v>
      </c>
      <c r="D48" s="183" t="s">
        <v>1342</v>
      </c>
      <c r="E48" s="183" t="s">
        <v>1347</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1353</v>
      </c>
      <c r="B49" s="183" t="s">
        <v>1352</v>
      </c>
      <c r="C49" s="183" t="s">
        <v>1272</v>
      </c>
      <c r="D49" s="183" t="s">
        <v>1342</v>
      </c>
      <c r="E49" s="183" t="s">
        <v>1347</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1351</v>
      </c>
      <c r="B50" s="183" t="s">
        <v>1350</v>
      </c>
      <c r="C50" s="183" t="s">
        <v>1272</v>
      </c>
      <c r="D50" s="183" t="s">
        <v>1342</v>
      </c>
      <c r="E50" s="183" t="s">
        <v>1347</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1349</v>
      </c>
      <c r="B51" s="183" t="s">
        <v>1348</v>
      </c>
      <c r="C51" s="183" t="s">
        <v>1272</v>
      </c>
      <c r="D51" s="183" t="s">
        <v>1342</v>
      </c>
      <c r="E51" s="183" t="s">
        <v>1347</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1346</v>
      </c>
      <c r="B52" s="183" t="s">
        <v>1345</v>
      </c>
      <c r="C52" s="183" t="s">
        <v>1272</v>
      </c>
      <c r="D52" s="183" t="s">
        <v>1342</v>
      </c>
      <c r="E52" s="183" t="s">
        <v>1344</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1343</v>
      </c>
      <c r="C53" s="183" t="s">
        <v>1272</v>
      </c>
      <c r="D53" s="183" t="s">
        <v>1342</v>
      </c>
      <c r="E53" s="183" t="s">
        <v>1341</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1340</v>
      </c>
      <c r="C54" s="183" t="s">
        <v>1272</v>
      </c>
      <c r="D54" s="183" t="s">
        <v>1307</v>
      </c>
      <c r="E54" s="183" t="s">
        <v>1306</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1339</v>
      </c>
      <c r="C55" s="183" t="s">
        <v>1272</v>
      </c>
      <c r="D55" s="183" t="s">
        <v>1307</v>
      </c>
      <c r="E55" s="183" t="s">
        <v>1306</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1338</v>
      </c>
      <c r="C56" s="183" t="s">
        <v>1272</v>
      </c>
      <c r="D56" s="183" t="s">
        <v>1307</v>
      </c>
      <c r="E56" s="183" t="s">
        <v>1306</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1337</v>
      </c>
      <c r="C57" s="183" t="s">
        <v>1272</v>
      </c>
      <c r="D57" s="183" t="s">
        <v>1307</v>
      </c>
      <c r="E57" s="183" t="s">
        <v>1306</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1336</v>
      </c>
      <c r="C58" s="183" t="s">
        <v>1272</v>
      </c>
      <c r="D58" s="183" t="s">
        <v>1307</v>
      </c>
      <c r="E58" s="183" t="s">
        <v>1306</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1335</v>
      </c>
      <c r="C59" s="183" t="s">
        <v>1272</v>
      </c>
      <c r="D59" s="183" t="s">
        <v>1307</v>
      </c>
      <c r="E59" s="183" t="s">
        <v>1306</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1334</v>
      </c>
      <c r="B60" s="183" t="s">
        <v>1333</v>
      </c>
      <c r="C60" s="183" t="s">
        <v>1272</v>
      </c>
      <c r="D60" s="183" t="s">
        <v>1307</v>
      </c>
      <c r="E60" s="183" t="s">
        <v>1306</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1332</v>
      </c>
      <c r="B61" s="183" t="s">
        <v>1331</v>
      </c>
      <c r="C61" s="183" t="s">
        <v>1272</v>
      </c>
      <c r="D61" s="183" t="s">
        <v>1307</v>
      </c>
      <c r="E61" s="183" t="s">
        <v>1306</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1330</v>
      </c>
      <c r="C62" s="183" t="s">
        <v>1272</v>
      </c>
      <c r="D62" s="183" t="s">
        <v>1307</v>
      </c>
      <c r="E62" s="183" t="s">
        <v>1306</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1329</v>
      </c>
      <c r="C63" s="183" t="s">
        <v>1272</v>
      </c>
      <c r="D63" s="183" t="s">
        <v>1307</v>
      </c>
      <c r="E63" s="183" t="s">
        <v>1306</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1328</v>
      </c>
      <c r="C64" s="183" t="s">
        <v>1272</v>
      </c>
      <c r="D64" s="183" t="s">
        <v>1307</v>
      </c>
      <c r="E64" s="183" t="s">
        <v>1306</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1327</v>
      </c>
      <c r="C65" s="183" t="s">
        <v>1272</v>
      </c>
      <c r="D65" s="183" t="s">
        <v>1307</v>
      </c>
      <c r="E65" s="183" t="s">
        <v>1306</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1326</v>
      </c>
      <c r="C66" s="183" t="s">
        <v>1272</v>
      </c>
      <c r="D66" s="183" t="s">
        <v>1307</v>
      </c>
      <c r="E66" s="183" t="s">
        <v>1306</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1325</v>
      </c>
      <c r="C67" s="183" t="s">
        <v>1272</v>
      </c>
      <c r="D67" s="183" t="s">
        <v>1307</v>
      </c>
      <c r="E67" s="183" t="s">
        <v>1306</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1324</v>
      </c>
      <c r="C68" s="183" t="s">
        <v>1272</v>
      </c>
      <c r="D68" s="183" t="s">
        <v>1307</v>
      </c>
      <c r="E68" s="183" t="s">
        <v>1306</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1323</v>
      </c>
      <c r="C69" s="183" t="s">
        <v>1272</v>
      </c>
      <c r="D69" s="183" t="s">
        <v>1307</v>
      </c>
      <c r="E69" s="183" t="s">
        <v>1306</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1322</v>
      </c>
      <c r="C70" s="183" t="s">
        <v>1272</v>
      </c>
      <c r="D70" s="183" t="s">
        <v>1307</v>
      </c>
      <c r="E70" s="183" t="s">
        <v>1306</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1321</v>
      </c>
      <c r="B71" s="183" t="s">
        <v>276</v>
      </c>
      <c r="C71" s="183" t="s">
        <v>1272</v>
      </c>
      <c r="D71" s="183" t="s">
        <v>1307</v>
      </c>
      <c r="E71" s="183" t="s">
        <v>1310</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1320</v>
      </c>
      <c r="B72" s="183" t="s">
        <v>1319</v>
      </c>
      <c r="C72" s="183" t="s">
        <v>1272</v>
      </c>
      <c r="D72" s="183" t="s">
        <v>1307</v>
      </c>
      <c r="E72" s="183" t="s">
        <v>1310</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1318</v>
      </c>
      <c r="C73" s="183" t="s">
        <v>1272</v>
      </c>
      <c r="D73" s="183" t="s">
        <v>1307</v>
      </c>
      <c r="E73" s="183" t="s">
        <v>1306</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1317</v>
      </c>
      <c r="C74" s="183" t="s">
        <v>1272</v>
      </c>
      <c r="D74" s="183" t="s">
        <v>1307</v>
      </c>
      <c r="E74" s="183" t="s">
        <v>1306</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1316</v>
      </c>
      <c r="B75" s="183" t="s">
        <v>1315</v>
      </c>
      <c r="C75" s="183" t="s">
        <v>1272</v>
      </c>
      <c r="D75" s="183" t="s">
        <v>1307</v>
      </c>
      <c r="E75" s="183" t="s">
        <v>1306</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1314</v>
      </c>
      <c r="B76" s="183" t="s">
        <v>1313</v>
      </c>
      <c r="C76" s="183" t="s">
        <v>1272</v>
      </c>
      <c r="D76" s="183" t="s">
        <v>1307</v>
      </c>
      <c r="E76" s="183" t="s">
        <v>1306</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1312</v>
      </c>
      <c r="B77" s="183" t="s">
        <v>1311</v>
      </c>
      <c r="C77" s="183" t="s">
        <v>1272</v>
      </c>
      <c r="D77" s="183" t="s">
        <v>1307</v>
      </c>
      <c r="E77" s="183" t="s">
        <v>1310</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1309</v>
      </c>
      <c r="B78" s="183" t="s">
        <v>274</v>
      </c>
      <c r="C78" s="183" t="s">
        <v>1272</v>
      </c>
      <c r="D78" s="183" t="s">
        <v>1307</v>
      </c>
      <c r="E78" s="183" t="s">
        <v>1306</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1308</v>
      </c>
      <c r="C79" s="183" t="s">
        <v>1272</v>
      </c>
      <c r="D79" s="183" t="s">
        <v>1307</v>
      </c>
      <c r="E79" s="183" t="s">
        <v>1306</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1305</v>
      </c>
      <c r="B80" s="183" t="s">
        <v>1304</v>
      </c>
      <c r="C80" s="183" t="s">
        <v>1272</v>
      </c>
      <c r="D80" s="183" t="s">
        <v>1284</v>
      </c>
      <c r="E80" s="183" t="s">
        <v>1284</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1303</v>
      </c>
      <c r="B81" s="183" t="s">
        <v>1302</v>
      </c>
      <c r="C81" s="183" t="s">
        <v>1272</v>
      </c>
      <c r="D81" s="183" t="s">
        <v>1284</v>
      </c>
      <c r="E81" s="183" t="s">
        <v>1284</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1301</v>
      </c>
      <c r="B82" s="183" t="s">
        <v>1300</v>
      </c>
      <c r="C82" s="183" t="s">
        <v>1272</v>
      </c>
      <c r="D82" s="183" t="s">
        <v>1287</v>
      </c>
      <c r="E82" s="183" t="s">
        <v>1287</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1299</v>
      </c>
      <c r="B83" s="183" t="s">
        <v>1298</v>
      </c>
      <c r="C83" s="183" t="s">
        <v>1272</v>
      </c>
      <c r="D83" s="183" t="s">
        <v>1287</v>
      </c>
      <c r="E83" s="183" t="s">
        <v>1287</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1297</v>
      </c>
      <c r="B84" s="183" t="s">
        <v>1296</v>
      </c>
      <c r="C84" s="183" t="s">
        <v>1272</v>
      </c>
      <c r="D84" s="183" t="s">
        <v>1287</v>
      </c>
      <c r="E84" s="183" t="s">
        <v>1287</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1295</v>
      </c>
      <c r="C85" s="183" t="s">
        <v>1272</v>
      </c>
      <c r="D85" s="183" t="s">
        <v>1287</v>
      </c>
      <c r="E85" s="183" t="s">
        <v>1287</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1294</v>
      </c>
      <c r="C86" s="183" t="s">
        <v>1272</v>
      </c>
      <c r="D86" s="183" t="s">
        <v>1287</v>
      </c>
      <c r="E86" s="183" t="s">
        <v>1287</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1293</v>
      </c>
      <c r="B87" s="183" t="s">
        <v>1292</v>
      </c>
      <c r="C87" s="183" t="s">
        <v>1272</v>
      </c>
      <c r="D87" s="183" t="s">
        <v>1287</v>
      </c>
      <c r="E87" s="183" t="s">
        <v>1287</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1291</v>
      </c>
      <c r="B88" s="183" t="s">
        <v>1290</v>
      </c>
      <c r="C88" s="183" t="s">
        <v>1272</v>
      </c>
      <c r="D88" s="183" t="s">
        <v>1287</v>
      </c>
      <c r="E88" s="183" t="s">
        <v>1287</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1289</v>
      </c>
      <c r="B89" s="183" t="s">
        <v>1288</v>
      </c>
      <c r="C89" s="183" t="s">
        <v>1272</v>
      </c>
      <c r="D89" s="183" t="s">
        <v>1287</v>
      </c>
      <c r="E89" s="183" t="s">
        <v>1287</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1286</v>
      </c>
      <c r="B90" s="183" t="s">
        <v>1285</v>
      </c>
      <c r="C90" s="183" t="s">
        <v>1272</v>
      </c>
      <c r="D90" s="183" t="s">
        <v>1284</v>
      </c>
      <c r="E90" s="183" t="s">
        <v>1284</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1283</v>
      </c>
      <c r="C91" s="183" t="s">
        <v>1272</v>
      </c>
      <c r="D91" s="183" t="s">
        <v>1281</v>
      </c>
      <c r="E91" s="183" t="s">
        <v>1281</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1282</v>
      </c>
      <c r="C92" s="183" t="s">
        <v>1272</v>
      </c>
      <c r="D92" s="183" t="s">
        <v>1281</v>
      </c>
      <c r="E92" s="183" t="s">
        <v>1281</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1280</v>
      </c>
      <c r="C93" s="183" t="s">
        <v>1272</v>
      </c>
      <c r="D93" s="183" t="s">
        <v>1278</v>
      </c>
      <c r="E93" s="183" t="s">
        <v>1278</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1279</v>
      </c>
      <c r="C94" s="183" t="s">
        <v>1272</v>
      </c>
      <c r="D94" s="183" t="s">
        <v>1278</v>
      </c>
      <c r="E94" s="183" t="s">
        <v>1278</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1272</v>
      </c>
      <c r="D95" s="183" t="s">
        <v>1277</v>
      </c>
      <c r="E95" s="183" t="s">
        <v>1277</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1272</v>
      </c>
      <c r="D96" s="183" t="s">
        <v>1271</v>
      </c>
      <c r="E96" s="183" t="s">
        <v>1276</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1272</v>
      </c>
      <c r="D97" s="183" t="s">
        <v>1271</v>
      </c>
      <c r="E97" s="183" t="s">
        <v>1275</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1272</v>
      </c>
      <c r="D98" s="183" t="s">
        <v>1271</v>
      </c>
      <c r="E98" s="183" t="s">
        <v>1270</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1272</v>
      </c>
      <c r="D99" s="183" t="s">
        <v>1271</v>
      </c>
      <c r="E99" s="183" t="s">
        <v>1270</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1272</v>
      </c>
      <c r="D100" s="183" t="s">
        <v>1271</v>
      </c>
      <c r="E100" s="183" t="s">
        <v>1270</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1272</v>
      </c>
      <c r="D101" s="183" t="s">
        <v>1271</v>
      </c>
      <c r="E101" s="183" t="s">
        <v>1270</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1272</v>
      </c>
      <c r="D102" s="183" t="s">
        <v>1271</v>
      </c>
      <c r="E102" s="183" t="s">
        <v>1270</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1272</v>
      </c>
      <c r="D103" s="183" t="s">
        <v>1271</v>
      </c>
      <c r="E103" s="183" t="s">
        <v>1270</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1272</v>
      </c>
      <c r="D104" s="183" t="s">
        <v>1271</v>
      </c>
      <c r="E104" s="183" t="s">
        <v>1270</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1272</v>
      </c>
      <c r="D105" s="183" t="s">
        <v>1271</v>
      </c>
      <c r="E105" s="183" t="s">
        <v>1270</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1272</v>
      </c>
      <c r="D106" s="183" t="s">
        <v>1271</v>
      </c>
      <c r="E106" s="183" t="s">
        <v>1270</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1272</v>
      </c>
      <c r="D107" s="183" t="s">
        <v>1271</v>
      </c>
      <c r="E107" s="183" t="s">
        <v>1274</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1272</v>
      </c>
      <c r="D108" s="183" t="s">
        <v>1271</v>
      </c>
      <c r="E108" s="183" t="s">
        <v>1273</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1272</v>
      </c>
      <c r="D109" s="183" t="s">
        <v>1271</v>
      </c>
      <c r="E109" s="183" t="s">
        <v>1270</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1566</v>
      </c>
      <c r="H1" s="183" t="s">
        <v>166</v>
      </c>
      <c r="I1" s="183">
        <f t="array" ref="I1:L1">TRANSPOSE('From SAM'!Q28:Q31)*1000</f>
        <v>110.01900000000001</v>
      </c>
      <c r="J1" s="183">
        <v>112.75</v>
      </c>
      <c r="K1" s="183">
        <v>173.19399999999999</v>
      </c>
      <c r="L1" s="183">
        <v>395.77199999999999</v>
      </c>
    </row>
    <row r="2" spans="1:16" x14ac:dyDescent="0.25">
      <c r="A2" s="183" t="s">
        <v>1446</v>
      </c>
      <c r="B2" s="183" t="s">
        <v>1504</v>
      </c>
      <c r="C2" s="183" t="s">
        <v>1503</v>
      </c>
      <c r="D2" s="183" t="s">
        <v>1502</v>
      </c>
      <c r="E2" s="183" t="s">
        <v>1501</v>
      </c>
      <c r="F2" s="183" t="s">
        <v>116</v>
      </c>
      <c r="G2" s="183" t="s">
        <v>765</v>
      </c>
      <c r="H2" s="183" t="s">
        <v>116</v>
      </c>
      <c r="I2" s="183" t="str">
        <f>B2</f>
        <v>flab-p</v>
      </c>
      <c r="J2" s="183" t="str">
        <f>C2</f>
        <v>flab-m</v>
      </c>
      <c r="K2" s="183" t="str">
        <f>D2</f>
        <v>flab-s</v>
      </c>
      <c r="L2" s="183" t="str">
        <f>E2</f>
        <v>flab-t</v>
      </c>
      <c r="M2" s="183" t="s">
        <v>1565</v>
      </c>
      <c r="N2" s="183" t="s">
        <v>1564</v>
      </c>
      <c r="O2" s="183" t="s">
        <v>1563</v>
      </c>
      <c r="P2" s="183" t="s">
        <v>1562</v>
      </c>
    </row>
    <row r="3" spans="1:16" x14ac:dyDescent="0.25">
      <c r="A3" s="183" t="s">
        <v>1561</v>
      </c>
      <c r="B3" s="183">
        <f t="array" ref="B3:E3">TRANSPOSE('From SAM'!G28:G31)</f>
        <v>5.1587548519758449E-2</v>
      </c>
      <c r="C3" s="183">
        <v>5.8710463397399472E-2</v>
      </c>
      <c r="D3" s="183">
        <v>0.19425465215810078</v>
      </c>
      <c r="E3" s="183">
        <v>0.69544733592474128</v>
      </c>
      <c r="F3" s="284" t="s">
        <v>1471</v>
      </c>
      <c r="G3" s="183" t="s">
        <v>157</v>
      </c>
      <c r="H3" s="284" t="s">
        <v>1560</v>
      </c>
    </row>
    <row r="4" spans="1:16" x14ac:dyDescent="0.25">
      <c r="A4" s="183" t="s">
        <v>1438</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1435</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1431</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1284</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1413</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1396</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1394</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1391</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1371</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1367</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1364</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1347</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1344</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1341</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1306</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1310</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1287</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1281</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1278</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1551</v>
      </c>
      <c r="F23" s="301"/>
      <c r="G23" s="301">
        <f>SUM(G4:G22)-G7</f>
        <v>43.910000000000004</v>
      </c>
      <c r="H23" s="301">
        <f>SUM(H4:H22)</f>
        <v>15.221333333333332</v>
      </c>
      <c r="M23" s="300">
        <f>SUM(M4:M22)</f>
        <v>4888.6915931110007</v>
      </c>
      <c r="O23" s="277">
        <f t="shared" si="8"/>
        <v>0</v>
      </c>
    </row>
    <row r="24" spans="1:19" x14ac:dyDescent="0.25">
      <c r="A24" s="183" t="s">
        <v>1559</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1558</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1274</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1276</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1270</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1275</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1273</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1557</v>
      </c>
      <c r="H32" s="285">
        <f>H88</f>
        <v>72.316029999999998</v>
      </c>
      <c r="M32" s="288">
        <f>'From SAM'!V32*1000</f>
        <v>23198</v>
      </c>
      <c r="R32" s="277"/>
      <c r="S32" s="277"/>
    </row>
    <row r="35" spans="1:19" x14ac:dyDescent="0.25">
      <c r="I35" s="183" t="s">
        <v>1556</v>
      </c>
    </row>
    <row r="36" spans="1:19" x14ac:dyDescent="0.25">
      <c r="P36" s="183" t="s">
        <v>1555</v>
      </c>
      <c r="R36" s="288"/>
      <c r="S36" s="288"/>
    </row>
    <row r="37" spans="1:19" x14ac:dyDescent="0.25">
      <c r="Q37" s="183" t="s">
        <v>1554</v>
      </c>
      <c r="R37" s="183" t="s">
        <v>1553</v>
      </c>
      <c r="S37" s="183" t="s">
        <v>1552</v>
      </c>
    </row>
    <row r="38" spans="1:19" x14ac:dyDescent="0.25">
      <c r="P38" s="280" t="s">
        <v>1551</v>
      </c>
      <c r="Q38" s="298">
        <f>H23</f>
        <v>15.221333333333332</v>
      </c>
      <c r="R38" s="298">
        <f>G23</f>
        <v>43.910000000000004</v>
      </c>
      <c r="S38" s="299">
        <f t="shared" ref="S38:S46" si="11">Q38/R38</f>
        <v>0.34664844758217561</v>
      </c>
    </row>
    <row r="39" spans="1:19" x14ac:dyDescent="0.25">
      <c r="A39" s="183" t="s">
        <v>1550</v>
      </c>
      <c r="B39" s="183" t="s">
        <v>1549</v>
      </c>
      <c r="P39" s="183" t="s">
        <v>968</v>
      </c>
      <c r="Q39" s="285">
        <f>Z73/1000</f>
        <v>1.2</v>
      </c>
      <c r="R39" s="285">
        <f>G21</f>
        <v>1.86</v>
      </c>
      <c r="S39" s="277">
        <f t="shared" si="11"/>
        <v>0.64516129032258063</v>
      </c>
    </row>
    <row r="40" spans="1:19" x14ac:dyDescent="0.25">
      <c r="A40" s="183" t="s">
        <v>1306</v>
      </c>
      <c r="B40" s="183">
        <v>33.200000000000003</v>
      </c>
      <c r="P40" s="183" t="s">
        <v>1548</v>
      </c>
      <c r="Q40" s="285">
        <f>Q38-Q39</f>
        <v>14.021333333333333</v>
      </c>
      <c r="R40" s="285">
        <f>R38-R39</f>
        <v>42.050000000000004</v>
      </c>
      <c r="S40" s="277">
        <f t="shared" si="11"/>
        <v>0.33344431232659527</v>
      </c>
    </row>
    <row r="41" spans="1:19" x14ac:dyDescent="0.25">
      <c r="A41" s="183" t="s">
        <v>1310</v>
      </c>
      <c r="B41" s="183">
        <v>3.72</v>
      </c>
      <c r="P41" s="280" t="s">
        <v>1547</v>
      </c>
      <c r="Q41" s="298">
        <f>H24</f>
        <v>9.7730300000000057</v>
      </c>
      <c r="R41" s="298">
        <f>G24</f>
        <v>34.200000000000003</v>
      </c>
      <c r="S41" s="299">
        <f t="shared" si="11"/>
        <v>0.28576111111111124</v>
      </c>
    </row>
    <row r="42" spans="1:19" x14ac:dyDescent="0.25">
      <c r="A42" s="183" t="s">
        <v>1287</v>
      </c>
      <c r="B42" s="183">
        <v>0.42</v>
      </c>
      <c r="P42" s="280" t="s">
        <v>1546</v>
      </c>
      <c r="Q42" s="298">
        <f>H25</f>
        <v>47.281333333333336</v>
      </c>
      <c r="R42" s="298">
        <f>SUM(G26:G30)</f>
        <v>36.882199999999997</v>
      </c>
      <c r="S42" s="299">
        <f t="shared" si="11"/>
        <v>1.281955342504876</v>
      </c>
    </row>
    <row r="43" spans="1:19" x14ac:dyDescent="0.25">
      <c r="A43" s="183" t="s">
        <v>1431</v>
      </c>
      <c r="B43" s="183">
        <v>0.67</v>
      </c>
      <c r="P43" s="183" t="s">
        <v>1545</v>
      </c>
      <c r="Q43" s="285">
        <f>H26</f>
        <v>33.411477030841922</v>
      </c>
      <c r="R43" s="285">
        <f>G26</f>
        <v>10.6821</v>
      </c>
      <c r="S43" s="277">
        <f t="shared" si="11"/>
        <v>3.1278004353864803</v>
      </c>
    </row>
    <row r="44" spans="1:19" x14ac:dyDescent="0.25">
      <c r="A44" s="183" t="s">
        <v>1284</v>
      </c>
      <c r="B44" s="183">
        <v>1.5</v>
      </c>
      <c r="P44" s="183" t="s">
        <v>1544</v>
      </c>
      <c r="Q44" s="285">
        <f>H29</f>
        <v>3.4038739804816984</v>
      </c>
      <c r="R44" s="285">
        <f>G29</f>
        <v>6.0609000000000002</v>
      </c>
      <c r="S44" s="277">
        <f t="shared" si="11"/>
        <v>0.5616119685990032</v>
      </c>
    </row>
    <row r="45" spans="1:19" x14ac:dyDescent="0.25">
      <c r="A45" s="183" t="s">
        <v>1281</v>
      </c>
      <c r="B45" s="183">
        <v>1.86</v>
      </c>
      <c r="P45" s="183" t="s">
        <v>1543</v>
      </c>
      <c r="Q45" s="285">
        <f>H28</f>
        <v>9.6688605019654048</v>
      </c>
      <c r="R45" s="285">
        <f>G28</f>
        <v>18.776499999999999</v>
      </c>
      <c r="S45" s="277">
        <f t="shared" si="11"/>
        <v>0.51494477149444284</v>
      </c>
    </row>
    <row r="46" spans="1:19" x14ac:dyDescent="0.25">
      <c r="A46" s="183" t="s">
        <v>1278</v>
      </c>
      <c r="B46" s="183">
        <v>2.46</v>
      </c>
      <c r="P46" s="183" t="s">
        <v>1542</v>
      </c>
      <c r="Q46" s="285">
        <f>Q42-SUM(Q43:Q45)</f>
        <v>0.79712182004431043</v>
      </c>
      <c r="R46" s="285">
        <f>R42-SUM(R43:R45)</f>
        <v>1.3626999999999967</v>
      </c>
      <c r="S46" s="277">
        <f t="shared" si="11"/>
        <v>0.58495767230080897</v>
      </c>
    </row>
    <row r="47" spans="1:19" x14ac:dyDescent="0.25">
      <c r="A47" s="183" t="s">
        <v>1438</v>
      </c>
      <c r="B47" s="183">
        <v>1.58</v>
      </c>
      <c r="L47" s="285"/>
      <c r="M47" s="292"/>
      <c r="O47" s="288"/>
      <c r="P47" s="280" t="s">
        <v>1541</v>
      </c>
      <c r="Q47" s="298">
        <f>Q38+Q41+Q42</f>
        <v>72.275696666666676</v>
      </c>
      <c r="R47" s="298"/>
      <c r="S47" s="277"/>
    </row>
    <row r="48" spans="1:19" x14ac:dyDescent="0.25">
      <c r="L48" s="285"/>
      <c r="M48" s="292"/>
      <c r="O48" s="288"/>
    </row>
    <row r="49" spans="6:31" ht="45" x14ac:dyDescent="0.25">
      <c r="F49" s="279" t="s">
        <v>1540</v>
      </c>
      <c r="G49" s="279" t="s">
        <v>1539</v>
      </c>
      <c r="H49" s="279" t="s">
        <v>1538</v>
      </c>
      <c r="I49" s="279" t="s">
        <v>124</v>
      </c>
      <c r="J49" s="279" t="s">
        <v>1537</v>
      </c>
      <c r="K49" s="279" t="s">
        <v>163</v>
      </c>
      <c r="L49" s="279" t="s">
        <v>1536</v>
      </c>
      <c r="M49" s="279" t="s">
        <v>160</v>
      </c>
      <c r="N49" s="279" t="s">
        <v>1535</v>
      </c>
      <c r="O49" s="279" t="s">
        <v>1534</v>
      </c>
      <c r="P49" s="279" t="s">
        <v>1533</v>
      </c>
      <c r="Q49" s="279" t="s">
        <v>1532</v>
      </c>
      <c r="W49" s="279" t="s">
        <v>1531</v>
      </c>
      <c r="X49" s="279" t="s">
        <v>1530</v>
      </c>
      <c r="Y49" s="279" t="s">
        <v>124</v>
      </c>
      <c r="Z49" s="279" t="str">
        <f>L49</f>
        <v>Annual O&amp;M Jobs/GW</v>
      </c>
      <c r="AA49" s="279" t="s">
        <v>160</v>
      </c>
      <c r="AB49" s="279" t="s">
        <v>139</v>
      </c>
      <c r="AC49" s="279" t="s">
        <v>1529</v>
      </c>
      <c r="AD49" s="279" t="s">
        <v>1528</v>
      </c>
    </row>
    <row r="50" spans="6:31" x14ac:dyDescent="0.25">
      <c r="F50" s="183">
        <v>1</v>
      </c>
      <c r="G50" s="183" t="s">
        <v>1521</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458</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1521</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1521</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514</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508</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1228</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447</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1228</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1228</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451</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1527</v>
      </c>
      <c r="J60" s="293">
        <f>AVERAGE(J50:J51)</f>
        <v>9406.5450171508364</v>
      </c>
      <c r="L60" s="295">
        <f>AVERAGE(L50:L51)</f>
        <v>376.26180068603344</v>
      </c>
      <c r="O60" s="288">
        <f>AVERAGE(O50:O51)</f>
        <v>153.40092982959615</v>
      </c>
      <c r="S60" s="183">
        <f t="shared" si="23"/>
        <v>6</v>
      </c>
      <c r="T60" s="183" t="s">
        <v>497</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1526</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1525</v>
      </c>
      <c r="J62" s="293">
        <f>AVERAGE(J56:J58)</f>
        <v>13821.111111111109</v>
      </c>
      <c r="L62" s="294">
        <f>AVERAGE(L56:L58)</f>
        <v>460.7037037037037</v>
      </c>
      <c r="O62" s="293">
        <f>AVERAGE(O56:O58)</f>
        <v>131.47936749534924</v>
      </c>
      <c r="S62" s="183">
        <f t="shared" si="23"/>
        <v>7</v>
      </c>
      <c r="T62" s="183" t="s">
        <v>448</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1524</v>
      </c>
      <c r="Z63" s="288">
        <f>SUM(X50:X62)/SUM(Y50:Y62)*1000</f>
        <v>205.56483027267669</v>
      </c>
      <c r="AC63" s="288">
        <f>SUM(X50:X62)/SUM(AB50:AB62)</f>
        <v>31.288406434197366</v>
      </c>
    </row>
    <row r="64" spans="6:31" x14ac:dyDescent="0.25">
      <c r="F64" s="280" t="s">
        <v>158</v>
      </c>
      <c r="S64" s="183">
        <f t="shared" si="23"/>
        <v>8</v>
      </c>
      <c r="T64" s="183" t="s">
        <v>452</v>
      </c>
      <c r="AE64" s="291" t="s">
        <v>1523</v>
      </c>
    </row>
    <row r="65" spans="5:31" x14ac:dyDescent="0.25">
      <c r="G65" s="379" t="s">
        <v>1513</v>
      </c>
      <c r="H65" s="379"/>
      <c r="I65" s="379"/>
      <c r="J65" s="379"/>
      <c r="K65" s="379" t="s">
        <v>1522</v>
      </c>
      <c r="L65" s="379"/>
      <c r="M65" s="379"/>
      <c r="N65" s="379"/>
      <c r="S65" s="183">
        <f t="shared" si="23"/>
        <v>8</v>
      </c>
      <c r="T65" s="183">
        <v>701</v>
      </c>
      <c r="W65" s="183" t="s">
        <v>586</v>
      </c>
      <c r="X65" s="183">
        <v>1200</v>
      </c>
      <c r="Y65" s="183">
        <v>1860</v>
      </c>
      <c r="Z65" s="288">
        <f>X65/Y65*1000</f>
        <v>645.16129032258061</v>
      </c>
      <c r="AA65" s="292">
        <v>0.8</v>
      </c>
      <c r="AB65" s="285">
        <f>Y65*8.76*AA65/1000</f>
        <v>13.034880000000001</v>
      </c>
      <c r="AC65" s="285">
        <f>X65/AB65</f>
        <v>92.060686404477821</v>
      </c>
    </row>
    <row r="66" spans="5:31" x14ac:dyDescent="0.25">
      <c r="G66" s="183" t="s">
        <v>1521</v>
      </c>
      <c r="H66" s="183" t="s">
        <v>253</v>
      </c>
      <c r="I66" s="183" t="s">
        <v>146</v>
      </c>
      <c r="J66" s="183" t="s">
        <v>968</v>
      </c>
      <c r="K66" s="183" t="s">
        <v>1521</v>
      </c>
      <c r="L66" s="183" t="s">
        <v>253</v>
      </c>
      <c r="M66" s="183" t="s">
        <v>146</v>
      </c>
      <c r="N66" s="183" t="s">
        <v>968</v>
      </c>
      <c r="S66" s="183">
        <f t="shared" si="23"/>
        <v>9</v>
      </c>
      <c r="T66" s="183" t="s">
        <v>559</v>
      </c>
    </row>
    <row r="67" spans="5:31" x14ac:dyDescent="0.25">
      <c r="F67" s="183" t="s">
        <v>1520</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1519</v>
      </c>
      <c r="G68" s="288">
        <f>Q52</f>
        <v>281.65793163431329</v>
      </c>
      <c r="H68" s="288">
        <f>Q55</f>
        <v>169.61850971363529</v>
      </c>
      <c r="K68" s="288">
        <f>L52</f>
        <v>690.85057471264361</v>
      </c>
      <c r="L68" s="288">
        <f>L55</f>
        <v>540.4066073697586</v>
      </c>
      <c r="S68" s="183">
        <f t="shared" si="23"/>
        <v>10</v>
      </c>
      <c r="T68" s="183" t="s">
        <v>483</v>
      </c>
      <c r="AE68" s="291" t="s">
        <v>1518</v>
      </c>
    </row>
    <row r="69" spans="5:31" x14ac:dyDescent="0.25">
      <c r="F69" s="183" t="s">
        <v>1517</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1516</v>
      </c>
      <c r="G70" s="288">
        <f>K70*G67/K67</f>
        <v>43.793038821952514</v>
      </c>
      <c r="H70" s="288">
        <f>L70*H67/L67</f>
        <v>21.522496903298855</v>
      </c>
      <c r="J70" s="288"/>
      <c r="K70" s="288">
        <v>107.41556562248512</v>
      </c>
      <c r="L70" s="288">
        <v>68.570933403872985</v>
      </c>
      <c r="S70" s="183">
        <f t="shared" si="23"/>
        <v>11</v>
      </c>
      <c r="T70" s="183" t="s">
        <v>449</v>
      </c>
      <c r="Y70" s="183" t="s">
        <v>157</v>
      </c>
      <c r="Z70" s="183" t="s">
        <v>1515</v>
      </c>
      <c r="AA70" s="183" t="s">
        <v>1514</v>
      </c>
      <c r="AC70" s="183" t="s">
        <v>1513</v>
      </c>
    </row>
    <row r="71" spans="5:31" x14ac:dyDescent="0.25">
      <c r="F71" s="183" t="s">
        <v>530</v>
      </c>
      <c r="I71" s="285">
        <f>AVERAGE(AC50:AC62)</f>
        <v>35.685755914469944</v>
      </c>
      <c r="J71" s="285">
        <f>AC65</f>
        <v>92.060686404477821</v>
      </c>
      <c r="M71" s="288">
        <f>Z63</f>
        <v>205.56483027267669</v>
      </c>
      <c r="N71" s="288">
        <f>AA73</f>
        <v>645.16129032258061</v>
      </c>
      <c r="S71" s="183">
        <f t="shared" si="23"/>
        <v>11</v>
      </c>
      <c r="T71" s="183">
        <v>508</v>
      </c>
      <c r="W71" s="183" t="s">
        <v>1512</v>
      </c>
      <c r="Y71" s="183">
        <v>35.840000000000003</v>
      </c>
      <c r="Z71" s="183">
        <f>SUM(X50:X62)</f>
        <v>7388</v>
      </c>
      <c r="AA71" s="288">
        <f>Z71/Y71</f>
        <v>206.13839285714283</v>
      </c>
      <c r="AB71" s="183" t="s">
        <v>1511</v>
      </c>
    </row>
    <row r="72" spans="5:31" x14ac:dyDescent="0.25">
      <c r="F72" s="183" t="s">
        <v>1475</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476</v>
      </c>
      <c r="W72" s="183" t="s">
        <v>1431</v>
      </c>
      <c r="Y72" s="183">
        <v>0.67</v>
      </c>
      <c r="AA72" s="288">
        <f>Z72/Y72</f>
        <v>0</v>
      </c>
    </row>
    <row r="73" spans="5:31" x14ac:dyDescent="0.25">
      <c r="S73" s="183">
        <f t="shared" si="23"/>
        <v>12</v>
      </c>
      <c r="T73" s="183">
        <v>476</v>
      </c>
      <c r="W73" s="183" t="s">
        <v>1281</v>
      </c>
      <c r="Y73" s="183">
        <v>1.86</v>
      </c>
      <c r="Z73" s="183">
        <f>X65</f>
        <v>1200</v>
      </c>
      <c r="AA73" s="290">
        <f>Z73/Y73</f>
        <v>645.16129032258061</v>
      </c>
    </row>
    <row r="74" spans="5:31" x14ac:dyDescent="0.25">
      <c r="S74" s="183">
        <f t="shared" si="23"/>
        <v>13</v>
      </c>
      <c r="T74" s="183" t="s">
        <v>455</v>
      </c>
      <c r="W74" s="183" t="s">
        <v>1278</v>
      </c>
      <c r="Y74" s="183">
        <v>2.46</v>
      </c>
      <c r="AA74" s="288">
        <f>Z74/Y74</f>
        <v>0</v>
      </c>
    </row>
    <row r="75" spans="5:31" x14ac:dyDescent="0.25">
      <c r="S75" s="183">
        <f t="shared" si="23"/>
        <v>13</v>
      </c>
      <c r="T75" s="183">
        <v>659</v>
      </c>
      <c r="W75" s="183" t="s">
        <v>1438</v>
      </c>
      <c r="Y75" s="183">
        <v>1.58</v>
      </c>
      <c r="AA75" s="288">
        <f>Z75/Y75</f>
        <v>0</v>
      </c>
    </row>
    <row r="76" spans="5:31" x14ac:dyDescent="0.25">
      <c r="S76" s="183">
        <f t="shared" si="23"/>
        <v>14</v>
      </c>
      <c r="T76" s="183" t="s">
        <v>468</v>
      </c>
      <c r="Y76" s="183">
        <f>SUM(Y71:Y75)</f>
        <v>42.410000000000004</v>
      </c>
      <c r="AA76" s="288"/>
    </row>
    <row r="77" spans="5:31" x14ac:dyDescent="0.25">
      <c r="S77" s="183">
        <f t="shared" si="23"/>
        <v>14</v>
      </c>
      <c r="T77" s="183">
        <v>293</v>
      </c>
      <c r="Y77" s="183" t="s">
        <v>157</v>
      </c>
      <c r="Z77" s="183" t="s">
        <v>1510</v>
      </c>
    </row>
    <row r="78" spans="5:31" x14ac:dyDescent="0.25">
      <c r="S78" s="183">
        <f t="shared" si="23"/>
        <v>15</v>
      </c>
      <c r="T78" s="183" t="s">
        <v>460</v>
      </c>
      <c r="W78" s="183" t="s">
        <v>1509</v>
      </c>
      <c r="Y78" s="275">
        <f>G23</f>
        <v>43.910000000000004</v>
      </c>
      <c r="Z78" s="183">
        <f>F104*1000</f>
        <v>15221.333333333334</v>
      </c>
      <c r="AA78" s="288"/>
    </row>
    <row r="79" spans="5:31" x14ac:dyDescent="0.25">
      <c r="S79" s="183">
        <f t="shared" si="23"/>
        <v>15</v>
      </c>
      <c r="T79" s="183">
        <v>649</v>
      </c>
      <c r="W79" s="183" t="s">
        <v>1508</v>
      </c>
      <c r="Y79" s="275">
        <f>Y78-Y73</f>
        <v>42.050000000000004</v>
      </c>
      <c r="Z79" s="183">
        <f>Z78-Z73</f>
        <v>14021.333333333334</v>
      </c>
      <c r="AA79" s="290">
        <f>Z79/Y79</f>
        <v>333.44431232659531</v>
      </c>
      <c r="AB79" s="183" t="s">
        <v>1507</v>
      </c>
      <c r="AC79" s="183">
        <f>AC63/Z63*AA79</f>
        <v>50.752558953819687</v>
      </c>
    </row>
    <row r="80" spans="5:31" x14ac:dyDescent="0.25">
      <c r="E80" s="183" t="s">
        <v>1506</v>
      </c>
    </row>
    <row r="81" spans="5:20" x14ac:dyDescent="0.25">
      <c r="E81" s="183" t="s">
        <v>1505</v>
      </c>
      <c r="S81" s="282" t="s">
        <v>322</v>
      </c>
      <c r="T81" s="287">
        <v>1520</v>
      </c>
    </row>
    <row r="82" spans="5:20" x14ac:dyDescent="0.25">
      <c r="H82" s="183">
        <v>2012</v>
      </c>
      <c r="S82" s="282" t="s">
        <v>320</v>
      </c>
      <c r="T82" s="287">
        <v>360</v>
      </c>
    </row>
    <row r="83" spans="5:20" x14ac:dyDescent="0.25">
      <c r="E83" s="183" t="s">
        <v>1504</v>
      </c>
      <c r="F83" s="183" t="s">
        <v>1500</v>
      </c>
      <c r="G83" s="183" t="s">
        <v>1499</v>
      </c>
      <c r="H83" s="183">
        <v>3.730645</v>
      </c>
      <c r="S83" s="282" t="s">
        <v>318</v>
      </c>
      <c r="T83" s="287">
        <v>200</v>
      </c>
    </row>
    <row r="84" spans="5:20" x14ac:dyDescent="0.25">
      <c r="E84" s="183" t="s">
        <v>1503</v>
      </c>
      <c r="F84" s="183" t="s">
        <v>1500</v>
      </c>
      <c r="G84" s="183" t="s">
        <v>1499</v>
      </c>
      <c r="H84" s="183">
        <v>4.2457479999999999</v>
      </c>
      <c r="S84" s="282" t="s">
        <v>316</v>
      </c>
      <c r="T84" s="287">
        <v>2220</v>
      </c>
    </row>
    <row r="85" spans="5:20" x14ac:dyDescent="0.25">
      <c r="E85" s="183" t="s">
        <v>1502</v>
      </c>
      <c r="F85" s="183" t="s">
        <v>1500</v>
      </c>
      <c r="G85" s="183" t="s">
        <v>1499</v>
      </c>
      <c r="H85" s="183">
        <v>14.047689</v>
      </c>
      <c r="S85" s="282" t="s">
        <v>314</v>
      </c>
      <c r="T85" s="287">
        <v>3480</v>
      </c>
    </row>
    <row r="86" spans="5:20" x14ac:dyDescent="0.25">
      <c r="E86" s="183" t="s">
        <v>1501</v>
      </c>
      <c r="F86" s="183" t="s">
        <v>1500</v>
      </c>
      <c r="G86" s="183" t="s">
        <v>1499</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1498</v>
      </c>
      <c r="H89" s="183">
        <v>44</v>
      </c>
      <c r="S89" s="282" t="s">
        <v>306</v>
      </c>
      <c r="T89" s="287">
        <v>3540</v>
      </c>
    </row>
    <row r="90" spans="5:20" x14ac:dyDescent="0.25">
      <c r="E90" s="183" t="s">
        <v>1497</v>
      </c>
      <c r="H90" s="288">
        <f>H88-H89</f>
        <v>28.316029999999998</v>
      </c>
      <c r="S90" s="282" t="s">
        <v>304</v>
      </c>
      <c r="T90" s="287">
        <v>1830</v>
      </c>
    </row>
    <row r="91" spans="5:20" x14ac:dyDescent="0.25">
      <c r="E91" s="183" t="s">
        <v>1496</v>
      </c>
      <c r="H91" s="288">
        <f>H90</f>
        <v>28.316029999999998</v>
      </c>
      <c r="S91" s="282" t="s">
        <v>302</v>
      </c>
      <c r="T91" s="287">
        <v>2010</v>
      </c>
    </row>
    <row r="92" spans="5:20" x14ac:dyDescent="0.25">
      <c r="S92" s="282" t="s">
        <v>300</v>
      </c>
      <c r="T92" s="289">
        <v>3720</v>
      </c>
    </row>
    <row r="93" spans="5:20" x14ac:dyDescent="0.25">
      <c r="E93" s="183" t="s">
        <v>1495</v>
      </c>
      <c r="H93" s="288">
        <f>H89-H91</f>
        <v>15.683970000000002</v>
      </c>
      <c r="S93" s="282" t="s">
        <v>298</v>
      </c>
      <c r="T93" s="287">
        <v>3480</v>
      </c>
    </row>
    <row r="94" spans="5:20" x14ac:dyDescent="0.25">
      <c r="E94" s="183" t="s">
        <v>1488</v>
      </c>
      <c r="H94" s="285">
        <f>SUM(X50:X65)/1000</f>
        <v>8.5879999999999992</v>
      </c>
      <c r="S94" s="282" t="s">
        <v>296</v>
      </c>
      <c r="T94" s="289">
        <v>3540</v>
      </c>
    </row>
    <row r="95" spans="5:20" x14ac:dyDescent="0.25">
      <c r="E95" s="183" t="s">
        <v>1494</v>
      </c>
      <c r="H95" s="288">
        <f>H93-H94</f>
        <v>7.095970000000003</v>
      </c>
      <c r="S95" s="282" t="s">
        <v>1493</v>
      </c>
      <c r="T95" s="287">
        <v>50</v>
      </c>
    </row>
    <row r="96" spans="5:20" x14ac:dyDescent="0.25">
      <c r="S96" s="282" t="s">
        <v>294</v>
      </c>
      <c r="T96" s="287">
        <v>160</v>
      </c>
    </row>
    <row r="97" spans="5:20" x14ac:dyDescent="0.25">
      <c r="S97" s="282" t="s">
        <v>1492</v>
      </c>
      <c r="T97" s="287">
        <v>90</v>
      </c>
    </row>
    <row r="98" spans="5:20" x14ac:dyDescent="0.25">
      <c r="E98" s="183" t="s">
        <v>1491</v>
      </c>
      <c r="I98" s="183" t="s">
        <v>1490</v>
      </c>
      <c r="S98" s="282" t="s">
        <v>1489</v>
      </c>
      <c r="T98" s="287">
        <v>180</v>
      </c>
    </row>
    <row r="99" spans="5:20" x14ac:dyDescent="0.25">
      <c r="F99" s="183" t="s">
        <v>1488</v>
      </c>
      <c r="G99" s="183" t="s">
        <v>129</v>
      </c>
      <c r="H99" s="183" t="s">
        <v>1487</v>
      </c>
      <c r="I99" s="183" t="s">
        <v>1486</v>
      </c>
      <c r="J99" s="183" t="s">
        <v>1485</v>
      </c>
      <c r="K99" s="183" t="s">
        <v>1484</v>
      </c>
      <c r="L99" s="183" t="s">
        <v>1483</v>
      </c>
      <c r="M99" s="183" t="s">
        <v>1482</v>
      </c>
      <c r="N99" s="183" t="s">
        <v>116</v>
      </c>
      <c r="S99" s="282" t="s">
        <v>1481</v>
      </c>
      <c r="T99" s="287">
        <v>150</v>
      </c>
    </row>
    <row r="100" spans="5:20" x14ac:dyDescent="0.25">
      <c r="E100" s="183" t="s">
        <v>1480</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1479</v>
      </c>
      <c r="T100" s="287">
        <v>500</v>
      </c>
    </row>
    <row r="101" spans="5:20" x14ac:dyDescent="0.25">
      <c r="E101" s="183" t="s">
        <v>1478</v>
      </c>
      <c r="F101" s="183">
        <v>12.42</v>
      </c>
      <c r="G101" s="183">
        <v>1.67</v>
      </c>
      <c r="I101" s="183">
        <f>44-F101-G101-M101</f>
        <v>7.8299999999999983</v>
      </c>
      <c r="M101" s="183">
        <v>22.08</v>
      </c>
      <c r="N101" s="183">
        <f>SUM(F101:M101)</f>
        <v>44</v>
      </c>
      <c r="S101" s="282" t="s">
        <v>292</v>
      </c>
      <c r="T101" s="282">
        <v>180</v>
      </c>
    </row>
    <row r="102" spans="5:20" x14ac:dyDescent="0.25">
      <c r="E102" s="183" t="s">
        <v>1477</v>
      </c>
      <c r="F102" s="183">
        <v>1.08</v>
      </c>
      <c r="I102" s="285">
        <f>H88-68.6</f>
        <v>3.7160300000000035</v>
      </c>
      <c r="M102" s="183">
        <v>23.48</v>
      </c>
      <c r="N102" s="183">
        <f>SUM(F102:M102)</f>
        <v>28.276030000000006</v>
      </c>
      <c r="S102" s="282" t="s">
        <v>292</v>
      </c>
      <c r="T102" s="282">
        <v>1350</v>
      </c>
    </row>
    <row r="103" spans="5:20" x14ac:dyDescent="0.25">
      <c r="E103" s="183" t="s">
        <v>1476</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1475</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1474</v>
      </c>
      <c r="F106" s="278"/>
      <c r="G106" s="278"/>
      <c r="H106" s="285">
        <v>40.991365439999996</v>
      </c>
      <c r="S106" s="282"/>
      <c r="T106" s="282"/>
    </row>
    <row r="107" spans="5:20" x14ac:dyDescent="0.25">
      <c r="F107" s="278"/>
      <c r="G107" s="278"/>
      <c r="H107" s="278"/>
      <c r="S107" s="282"/>
      <c r="T107" s="282"/>
    </row>
    <row r="108" spans="5:20" x14ac:dyDescent="0.25">
      <c r="E108" s="183" t="s">
        <v>1473</v>
      </c>
      <c r="G108" s="183" t="s">
        <v>157</v>
      </c>
      <c r="H108" s="183">
        <f>ElecBY!F77</f>
        <v>34.200000000000003</v>
      </c>
      <c r="S108" s="282" t="s">
        <v>1469</v>
      </c>
      <c r="T108" s="282">
        <v>65</v>
      </c>
    </row>
    <row r="109" spans="5:20" x14ac:dyDescent="0.25">
      <c r="E109" s="183" t="s">
        <v>1472</v>
      </c>
      <c r="G109" s="284" t="s">
        <v>1471</v>
      </c>
      <c r="H109" s="183">
        <f>G103/H108</f>
        <v>4.8830409356725141E-2</v>
      </c>
      <c r="S109" s="282" t="s">
        <v>1469</v>
      </c>
      <c r="T109" s="282">
        <v>360</v>
      </c>
    </row>
    <row r="110" spans="5:20" x14ac:dyDescent="0.25">
      <c r="E110" s="183" t="s">
        <v>1470</v>
      </c>
      <c r="H110" s="283">
        <f>H104/H108</f>
        <v>0.28576111111111124</v>
      </c>
      <c r="S110" s="282" t="s">
        <v>1469</v>
      </c>
      <c r="T110" s="282">
        <v>240</v>
      </c>
    </row>
    <row r="111" spans="5:20" x14ac:dyDescent="0.25">
      <c r="S111" s="282" t="s">
        <v>286</v>
      </c>
      <c r="T111" s="281">
        <v>1860</v>
      </c>
    </row>
    <row r="113" spans="5:14" x14ac:dyDescent="0.25">
      <c r="E113" s="183" t="s">
        <v>1468</v>
      </c>
    </row>
    <row r="115" spans="5:14" x14ac:dyDescent="0.25">
      <c r="E115" s="280" t="s">
        <v>1467</v>
      </c>
      <c r="F115" s="183" t="s">
        <v>1466</v>
      </c>
    </row>
    <row r="116" spans="5:14" x14ac:dyDescent="0.25">
      <c r="E116" s="183" t="s">
        <v>744</v>
      </c>
      <c r="F116" s="183">
        <v>31.005621000000001</v>
      </c>
    </row>
    <row r="117" spans="5:14" x14ac:dyDescent="0.25">
      <c r="E117" s="183" t="s">
        <v>1465</v>
      </c>
      <c r="F117" s="183">
        <v>0.108553</v>
      </c>
    </row>
    <row r="118" spans="5:14" x14ac:dyDescent="0.25">
      <c r="E118" s="183" t="s">
        <v>1464</v>
      </c>
      <c r="F118" s="183">
        <v>1.1249999999999999E-3</v>
      </c>
    </row>
    <row r="119" spans="5:14" x14ac:dyDescent="0.25">
      <c r="E119" s="183" t="s">
        <v>1463</v>
      </c>
      <c r="F119" s="183">
        <v>3.1538999999999998E-2</v>
      </c>
    </row>
    <row r="120" spans="5:14" x14ac:dyDescent="0.25">
      <c r="E120" s="183" t="s">
        <v>1166</v>
      </c>
      <c r="F120" s="183">
        <v>0.32746700000000001</v>
      </c>
    </row>
    <row r="121" spans="5:14" x14ac:dyDescent="0.25">
      <c r="E121" s="183" t="s">
        <v>1462</v>
      </c>
      <c r="F121" s="183">
        <v>6.1600000000000001E-4</v>
      </c>
    </row>
    <row r="122" spans="5:14" x14ac:dyDescent="0.25">
      <c r="E122" s="183" t="s">
        <v>1461</v>
      </c>
      <c r="F122" s="183">
        <v>1.2408000000000001E-2</v>
      </c>
    </row>
    <row r="123" spans="5:14" x14ac:dyDescent="0.25">
      <c r="E123" s="183" t="s">
        <v>1460</v>
      </c>
      <c r="F123" s="183">
        <v>1.0300000000000001E-3</v>
      </c>
    </row>
    <row r="124" spans="5:14" x14ac:dyDescent="0.25">
      <c r="E124" s="183" t="s">
        <v>116</v>
      </c>
      <c r="F124" s="183">
        <f>SUM(F116:F123)</f>
        <v>31.488358999999999</v>
      </c>
    </row>
    <row r="126" spans="5:14" x14ac:dyDescent="0.25">
      <c r="F126" s="183" t="s">
        <v>1459</v>
      </c>
      <c r="G126" s="183">
        <v>0.6</v>
      </c>
      <c r="I126" s="183">
        <f>1-G126</f>
        <v>0.4</v>
      </c>
    </row>
    <row r="127" spans="5:14" ht="30" customHeight="1" x14ac:dyDescent="0.25">
      <c r="E127" s="279" t="s">
        <v>1458</v>
      </c>
      <c r="F127" s="279" t="s">
        <v>1457</v>
      </c>
      <c r="G127" s="279" t="s">
        <v>1455</v>
      </c>
      <c r="H127" s="279" t="s">
        <v>1456</v>
      </c>
      <c r="I127" s="279" t="s">
        <v>1455</v>
      </c>
      <c r="J127" s="279" t="s">
        <v>1454</v>
      </c>
      <c r="K127" s="279" t="s">
        <v>1453</v>
      </c>
      <c r="L127" s="279" t="s">
        <v>1452</v>
      </c>
      <c r="M127" s="279" t="s">
        <v>1451</v>
      </c>
    </row>
    <row r="128" spans="5:14" x14ac:dyDescent="0.25">
      <c r="E128" s="183" t="s">
        <v>1274</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1276</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1270</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1275</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1273</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1703</v>
      </c>
      <c r="C7" s="305" t="s">
        <v>1702</v>
      </c>
      <c r="D7" s="305" t="s">
        <v>1701</v>
      </c>
      <c r="E7" s="305" t="s">
        <v>1700</v>
      </c>
      <c r="F7" s="305" t="s">
        <v>1699</v>
      </c>
      <c r="G7" s="305" t="s">
        <v>1698</v>
      </c>
      <c r="H7" s="305" t="s">
        <v>1697</v>
      </c>
      <c r="I7" s="305" t="s">
        <v>1696</v>
      </c>
      <c r="J7" s="305" t="s">
        <v>1695</v>
      </c>
      <c r="K7" s="305" t="s">
        <v>1694</v>
      </c>
      <c r="L7" s="305" t="s">
        <v>1693</v>
      </c>
      <c r="M7" s="305" t="s">
        <v>1692</v>
      </c>
      <c r="N7" s="305" t="s">
        <v>1691</v>
      </c>
      <c r="O7" s="305" t="s">
        <v>1690</v>
      </c>
      <c r="P7" s="305" t="s">
        <v>1689</v>
      </c>
      <c r="Q7" s="305" t="s">
        <v>1688</v>
      </c>
      <c r="R7" s="305" t="s">
        <v>1687</v>
      </c>
      <c r="S7" s="305" t="s">
        <v>1686</v>
      </c>
      <c r="T7" s="305" t="s">
        <v>1685</v>
      </c>
      <c r="U7" s="305" t="s">
        <v>1684</v>
      </c>
      <c r="V7" s="305" t="s">
        <v>1683</v>
      </c>
      <c r="W7" s="305" t="s">
        <v>1682</v>
      </c>
      <c r="X7" s="305" t="s">
        <v>1681</v>
      </c>
      <c r="Y7" s="305" t="s">
        <v>1680</v>
      </c>
      <c r="Z7" s="305" t="s">
        <v>1679</v>
      </c>
      <c r="AA7" s="305" t="s">
        <v>1678</v>
      </c>
      <c r="AB7" s="305" t="s">
        <v>1677</v>
      </c>
      <c r="AC7" s="305" t="s">
        <v>1676</v>
      </c>
      <c r="AD7" s="305" t="s">
        <v>1675</v>
      </c>
      <c r="AE7" s="305" t="s">
        <v>1674</v>
      </c>
      <c r="AF7" s="305" t="s">
        <v>1673</v>
      </c>
      <c r="AG7" s="305" t="s">
        <v>1672</v>
      </c>
      <c r="AH7" s="305" t="s">
        <v>1671</v>
      </c>
      <c r="AI7" s="305" t="s">
        <v>1670</v>
      </c>
      <c r="AJ7" s="305" t="s">
        <v>1669</v>
      </c>
      <c r="AK7" s="305" t="s">
        <v>1668</v>
      </c>
      <c r="AL7" s="305" t="s">
        <v>1667</v>
      </c>
      <c r="AM7" s="305" t="s">
        <v>1666</v>
      </c>
      <c r="AN7" s="305" t="s">
        <v>1665</v>
      </c>
      <c r="AO7" s="305" t="s">
        <v>1664</v>
      </c>
      <c r="AP7" s="305" t="s">
        <v>1663</v>
      </c>
      <c r="AQ7" s="305" t="s">
        <v>1662</v>
      </c>
      <c r="AR7" s="305" t="s">
        <v>1661</v>
      </c>
      <c r="AS7" s="305" t="s">
        <v>1660</v>
      </c>
      <c r="AT7" s="305" t="s">
        <v>1659</v>
      </c>
      <c r="AU7" s="305" t="s">
        <v>1658</v>
      </c>
      <c r="AV7" s="305" t="s">
        <v>1657</v>
      </c>
      <c r="AW7" s="305" t="s">
        <v>1656</v>
      </c>
      <c r="AX7" s="305" t="s">
        <v>1655</v>
      </c>
      <c r="AY7" s="305" t="s">
        <v>1654</v>
      </c>
      <c r="AZ7" s="305" t="s">
        <v>1653</v>
      </c>
      <c r="BA7" s="305" t="s">
        <v>1652</v>
      </c>
      <c r="BB7" s="305" t="s">
        <v>1651</v>
      </c>
      <c r="BC7" s="305" t="s">
        <v>1650</v>
      </c>
      <c r="BD7" s="305" t="s">
        <v>1649</v>
      </c>
      <c r="BE7" s="305" t="s">
        <v>1648</v>
      </c>
      <c r="BF7" s="305" t="s">
        <v>1647</v>
      </c>
      <c r="BG7" s="305" t="s">
        <v>1646</v>
      </c>
      <c r="BH7" s="305" t="s">
        <v>1645</v>
      </c>
      <c r="BI7" s="305" t="s">
        <v>1644</v>
      </c>
      <c r="BJ7" s="305" t="s">
        <v>1643</v>
      </c>
      <c r="BK7" s="305" t="s">
        <v>1642</v>
      </c>
      <c r="BL7" s="305" t="s">
        <v>1641</v>
      </c>
      <c r="BM7" s="305" t="s">
        <v>1640</v>
      </c>
      <c r="BN7" s="305" t="s">
        <v>1639</v>
      </c>
      <c r="BO7" s="305" t="s">
        <v>1638</v>
      </c>
      <c r="BP7" s="305" t="s">
        <v>1637</v>
      </c>
      <c r="BQ7" s="305" t="s">
        <v>1636</v>
      </c>
      <c r="BR7" s="305" t="s">
        <v>1635</v>
      </c>
      <c r="BS7" s="305" t="s">
        <v>1634</v>
      </c>
      <c r="BT7" s="305" t="s">
        <v>1633</v>
      </c>
      <c r="BU7" s="305" t="s">
        <v>1632</v>
      </c>
      <c r="BV7" s="305" t="s">
        <v>1631</v>
      </c>
      <c r="BW7" s="305" t="s">
        <v>1630</v>
      </c>
      <c r="BX7" s="305" t="s">
        <v>1629</v>
      </c>
      <c r="BY7" s="305" t="s">
        <v>1628</v>
      </c>
      <c r="BZ7" s="305" t="s">
        <v>1627</v>
      </c>
      <c r="CA7" s="305" t="s">
        <v>1626</v>
      </c>
      <c r="CB7" s="305" t="s">
        <v>1625</v>
      </c>
      <c r="CC7" s="305" t="s">
        <v>1624</v>
      </c>
      <c r="CD7" s="305" t="s">
        <v>1623</v>
      </c>
      <c r="CE7" s="305" t="s">
        <v>1622</v>
      </c>
      <c r="CF7" s="305" t="s">
        <v>1621</v>
      </c>
      <c r="CG7" s="305" t="s">
        <v>1620</v>
      </c>
      <c r="CH7" s="305" t="s">
        <v>1619</v>
      </c>
      <c r="CI7" s="305" t="s">
        <v>1618</v>
      </c>
      <c r="CJ7" s="305" t="s">
        <v>1617</v>
      </c>
      <c r="CK7" s="305" t="s">
        <v>1616</v>
      </c>
      <c r="CL7" s="305" t="s">
        <v>1615</v>
      </c>
      <c r="CM7" s="305" t="s">
        <v>1614</v>
      </c>
      <c r="CN7" s="305" t="s">
        <v>1613</v>
      </c>
      <c r="CO7" s="305" t="s">
        <v>1612</v>
      </c>
      <c r="CP7" s="305" t="s">
        <v>1611</v>
      </c>
      <c r="CQ7" s="305" t="s">
        <v>1610</v>
      </c>
      <c r="CR7" s="305" t="s">
        <v>1609</v>
      </c>
      <c r="CS7" s="305" t="s">
        <v>1608</v>
      </c>
      <c r="CT7" s="305" t="s">
        <v>1607</v>
      </c>
      <c r="CU7" s="305" t="s">
        <v>1606</v>
      </c>
      <c r="CV7" s="305" t="s">
        <v>1605</v>
      </c>
      <c r="CW7" s="305" t="s">
        <v>1604</v>
      </c>
      <c r="CX7" s="305" t="s">
        <v>1603</v>
      </c>
      <c r="CY7" s="305" t="s">
        <v>1602</v>
      </c>
      <c r="CZ7" s="305" t="s">
        <v>1601</v>
      </c>
      <c r="DA7" s="305" t="s">
        <v>1600</v>
      </c>
      <c r="DB7" s="305" t="s">
        <v>1599</v>
      </c>
      <c r="DC7" s="305" t="s">
        <v>1598</v>
      </c>
      <c r="DD7" s="305" t="s">
        <v>1504</v>
      </c>
      <c r="DE7" s="305" t="s">
        <v>1503</v>
      </c>
      <c r="DF7" s="305" t="s">
        <v>1502</v>
      </c>
      <c r="DG7" s="305" t="s">
        <v>1501</v>
      </c>
      <c r="DH7" s="305" t="s">
        <v>1597</v>
      </c>
      <c r="DI7" s="305" t="s">
        <v>1596</v>
      </c>
      <c r="DJ7" s="305" t="s">
        <v>1595</v>
      </c>
      <c r="DK7" s="305" t="s">
        <v>1594</v>
      </c>
      <c r="DL7" s="305" t="s">
        <v>1593</v>
      </c>
      <c r="DM7" s="305" t="s">
        <v>1592</v>
      </c>
      <c r="DN7" s="305" t="s">
        <v>1591</v>
      </c>
      <c r="DO7" s="305" t="s">
        <v>1590</v>
      </c>
      <c r="DP7" s="305" t="s">
        <v>1589</v>
      </c>
      <c r="DQ7" s="305" t="s">
        <v>1588</v>
      </c>
      <c r="DR7" s="305" t="s">
        <v>1587</v>
      </c>
      <c r="DS7" s="305" t="s">
        <v>1586</v>
      </c>
      <c r="DT7" s="305" t="s">
        <v>1585</v>
      </c>
      <c r="DU7" s="305" t="s">
        <v>1584</v>
      </c>
      <c r="DV7" s="305" t="s">
        <v>1583</v>
      </c>
      <c r="DW7" s="305" t="s">
        <v>1582</v>
      </c>
      <c r="DX7" s="305" t="s">
        <v>1581</v>
      </c>
      <c r="DY7" s="305" t="s">
        <v>1580</v>
      </c>
      <c r="DZ7" s="305" t="s">
        <v>1579</v>
      </c>
      <c r="EA7" s="305" t="s">
        <v>1578</v>
      </c>
      <c r="EB7" s="305" t="s">
        <v>1577</v>
      </c>
      <c r="EC7" s="305" t="s">
        <v>1576</v>
      </c>
      <c r="ED7" s="305" t="s">
        <v>1575</v>
      </c>
      <c r="EE7" s="305" t="s">
        <v>1574</v>
      </c>
      <c r="EF7" s="305" t="s">
        <v>1573</v>
      </c>
      <c r="EG7" s="305" t="s">
        <v>1572</v>
      </c>
      <c r="EH7" s="305" t="s">
        <v>1571</v>
      </c>
      <c r="EI7" s="305" t="s">
        <v>1570</v>
      </c>
      <c r="EJ7" s="305" t="s">
        <v>1569</v>
      </c>
      <c r="EK7" s="305" t="s">
        <v>1568</v>
      </c>
      <c r="EL7" s="305" t="s">
        <v>1567</v>
      </c>
    </row>
    <row r="8" spans="1:142" x14ac:dyDescent="0.25">
      <c r="A8" s="305" t="s">
        <v>1703</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1702</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1701</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1700</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1699</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1698</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1697</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1696</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1695</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1694</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1693</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1692</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1691</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1690</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1689</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1688</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1687</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1686</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1685</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1684</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1683</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1682</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1681</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1680</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1679</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1678</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1677</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1676</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1675</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1674</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1673</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1672</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1670</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1669</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1668</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1667</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1666</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1665</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1664</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1663</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1662</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1661</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1660</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1659</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1658</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1657</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1656</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1655</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1654</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1653</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1652</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1651</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1650</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1649</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1648</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1647</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1646</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1645</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1644</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1643</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1642</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1641</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1640</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1639</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1638</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1637</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1636</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1635</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1634</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1633</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1632</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1631</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1630</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1629</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1628</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1627</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1626</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1625</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1624</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1623</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1622</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1621</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1620</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1619</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1618</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1617</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1616</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1615</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1614</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1613</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1612</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1611</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1610</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1609</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1608</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1607</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1606</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1605</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1604</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1603</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1602</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1601</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1600</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1599</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1598</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1504</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1503</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1502</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1501</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1597</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1596</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1595</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1594</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1593</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1592</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1591</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1590</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1589</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1588</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1587</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1586</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1585</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1584</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1583</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1582</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1581</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1580</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1579</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1578</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1577</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1576</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1575</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1574</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1573</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1572</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1571</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1570</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1569</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1568</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1567</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1703</v>
      </c>
      <c r="B155" s="282">
        <f t="shared" ref="B155:B186" si="0">MATCH(A155,$A$8:$A$148,0)</f>
        <v>1</v>
      </c>
    </row>
    <row r="156" spans="1:142" x14ac:dyDescent="0.25">
      <c r="A156" s="305" t="s">
        <v>1702</v>
      </c>
      <c r="B156" s="282">
        <f t="shared" si="0"/>
        <v>2</v>
      </c>
    </row>
    <row r="157" spans="1:142" x14ac:dyDescent="0.25">
      <c r="A157" s="305" t="s">
        <v>1701</v>
      </c>
      <c r="B157" s="282">
        <f t="shared" si="0"/>
        <v>3</v>
      </c>
    </row>
    <row r="158" spans="1:142" x14ac:dyDescent="0.25">
      <c r="A158" s="305" t="s">
        <v>1700</v>
      </c>
      <c r="B158" s="282">
        <f t="shared" si="0"/>
        <v>4</v>
      </c>
    </row>
    <row r="159" spans="1:142" x14ac:dyDescent="0.25">
      <c r="A159" s="305" t="s">
        <v>1699</v>
      </c>
      <c r="B159" s="282">
        <f t="shared" si="0"/>
        <v>5</v>
      </c>
    </row>
    <row r="160" spans="1:142" x14ac:dyDescent="0.25">
      <c r="A160" s="305" t="s">
        <v>1698</v>
      </c>
      <c r="B160" s="282">
        <f t="shared" si="0"/>
        <v>6</v>
      </c>
    </row>
    <row r="161" spans="1:2" x14ac:dyDescent="0.25">
      <c r="A161" s="305" t="s">
        <v>1697</v>
      </c>
      <c r="B161" s="282">
        <f t="shared" si="0"/>
        <v>7</v>
      </c>
    </row>
    <row r="162" spans="1:2" x14ac:dyDescent="0.25">
      <c r="A162" s="305" t="s">
        <v>1696</v>
      </c>
      <c r="B162" s="282">
        <f t="shared" si="0"/>
        <v>8</v>
      </c>
    </row>
    <row r="163" spans="1:2" x14ac:dyDescent="0.25">
      <c r="A163" s="305" t="s">
        <v>1695</v>
      </c>
      <c r="B163" s="282">
        <f t="shared" si="0"/>
        <v>9</v>
      </c>
    </row>
    <row r="164" spans="1:2" x14ac:dyDescent="0.25">
      <c r="A164" s="305" t="s">
        <v>1694</v>
      </c>
      <c r="B164" s="282">
        <f t="shared" si="0"/>
        <v>10</v>
      </c>
    </row>
    <row r="165" spans="1:2" x14ac:dyDescent="0.25">
      <c r="A165" s="305" t="s">
        <v>1693</v>
      </c>
      <c r="B165" s="282">
        <f t="shared" si="0"/>
        <v>11</v>
      </c>
    </row>
    <row r="166" spans="1:2" x14ac:dyDescent="0.25">
      <c r="A166" s="305" t="s">
        <v>1692</v>
      </c>
      <c r="B166" s="282">
        <f t="shared" si="0"/>
        <v>12</v>
      </c>
    </row>
    <row r="167" spans="1:2" x14ac:dyDescent="0.25">
      <c r="A167" s="305" t="s">
        <v>1691</v>
      </c>
      <c r="B167" s="282">
        <f t="shared" si="0"/>
        <v>13</v>
      </c>
    </row>
    <row r="168" spans="1:2" x14ac:dyDescent="0.25">
      <c r="A168" s="305" t="s">
        <v>1690</v>
      </c>
      <c r="B168" s="282">
        <f t="shared" si="0"/>
        <v>14</v>
      </c>
    </row>
    <row r="169" spans="1:2" x14ac:dyDescent="0.25">
      <c r="A169" s="305" t="s">
        <v>1689</v>
      </c>
      <c r="B169" s="282">
        <f t="shared" si="0"/>
        <v>15</v>
      </c>
    </row>
    <row r="170" spans="1:2" x14ac:dyDescent="0.25">
      <c r="A170" s="305" t="s">
        <v>1688</v>
      </c>
      <c r="B170" s="282">
        <f t="shared" si="0"/>
        <v>16</v>
      </c>
    </row>
    <row r="171" spans="1:2" x14ac:dyDescent="0.25">
      <c r="A171" s="305" t="s">
        <v>1687</v>
      </c>
      <c r="B171" s="282">
        <f t="shared" si="0"/>
        <v>17</v>
      </c>
    </row>
    <row r="172" spans="1:2" x14ac:dyDescent="0.25">
      <c r="A172" s="305" t="s">
        <v>1686</v>
      </c>
      <c r="B172" s="282">
        <f t="shared" si="0"/>
        <v>18</v>
      </c>
    </row>
    <row r="173" spans="1:2" x14ac:dyDescent="0.25">
      <c r="A173" s="305" t="s">
        <v>1685</v>
      </c>
      <c r="B173" s="282">
        <f t="shared" si="0"/>
        <v>19</v>
      </c>
    </row>
    <row r="174" spans="1:2" x14ac:dyDescent="0.25">
      <c r="A174" s="305" t="s">
        <v>1684</v>
      </c>
      <c r="B174" s="282">
        <f t="shared" si="0"/>
        <v>20</v>
      </c>
    </row>
    <row r="175" spans="1:2" x14ac:dyDescent="0.25">
      <c r="A175" s="305" t="s">
        <v>1683</v>
      </c>
      <c r="B175" s="282">
        <f t="shared" si="0"/>
        <v>21</v>
      </c>
    </row>
    <row r="176" spans="1:2" x14ac:dyDescent="0.25">
      <c r="A176" s="305" t="s">
        <v>1682</v>
      </c>
      <c r="B176" s="282">
        <f t="shared" si="0"/>
        <v>22</v>
      </c>
    </row>
    <row r="177" spans="1:2" x14ac:dyDescent="0.25">
      <c r="A177" s="305" t="s">
        <v>1681</v>
      </c>
      <c r="B177" s="282">
        <f t="shared" si="0"/>
        <v>23</v>
      </c>
    </row>
    <row r="178" spans="1:2" x14ac:dyDescent="0.25">
      <c r="A178" s="305" t="s">
        <v>1680</v>
      </c>
      <c r="B178" s="282">
        <f t="shared" si="0"/>
        <v>24</v>
      </c>
    </row>
    <row r="179" spans="1:2" x14ac:dyDescent="0.25">
      <c r="A179" s="305" t="s">
        <v>1679</v>
      </c>
      <c r="B179" s="282">
        <f t="shared" si="0"/>
        <v>25</v>
      </c>
    </row>
    <row r="180" spans="1:2" x14ac:dyDescent="0.25">
      <c r="A180" s="305" t="s">
        <v>1678</v>
      </c>
      <c r="B180" s="282">
        <f t="shared" si="0"/>
        <v>26</v>
      </c>
    </row>
    <row r="181" spans="1:2" x14ac:dyDescent="0.25">
      <c r="A181" s="305" t="s">
        <v>1677</v>
      </c>
      <c r="B181" s="282">
        <f t="shared" si="0"/>
        <v>27</v>
      </c>
    </row>
    <row r="182" spans="1:2" x14ac:dyDescent="0.25">
      <c r="A182" s="305" t="s">
        <v>1676</v>
      </c>
      <c r="B182" s="282">
        <f t="shared" si="0"/>
        <v>28</v>
      </c>
    </row>
    <row r="183" spans="1:2" x14ac:dyDescent="0.25">
      <c r="A183" s="305" t="s">
        <v>1675</v>
      </c>
      <c r="B183" s="282">
        <f t="shared" si="0"/>
        <v>29</v>
      </c>
    </row>
    <row r="184" spans="1:2" x14ac:dyDescent="0.25">
      <c r="A184" s="305" t="s">
        <v>1674</v>
      </c>
      <c r="B184" s="282">
        <f t="shared" si="0"/>
        <v>30</v>
      </c>
    </row>
    <row r="185" spans="1:2" x14ac:dyDescent="0.25">
      <c r="A185" s="305" t="s">
        <v>1673</v>
      </c>
      <c r="B185" s="282">
        <f t="shared" si="0"/>
        <v>31</v>
      </c>
    </row>
    <row r="186" spans="1:2" x14ac:dyDescent="0.25">
      <c r="A186" s="305" t="s">
        <v>1672</v>
      </c>
      <c r="B186" s="282">
        <f t="shared" si="0"/>
        <v>32</v>
      </c>
    </row>
    <row r="187" spans="1:2" x14ac:dyDescent="0.25">
      <c r="A187" s="305" t="s">
        <v>1671</v>
      </c>
      <c r="B187" s="282">
        <f t="shared" ref="B187:B218" si="1">MATCH(A187,$A$8:$A$148,0)</f>
        <v>33</v>
      </c>
    </row>
    <row r="188" spans="1:2" x14ac:dyDescent="0.25">
      <c r="A188" s="305" t="s">
        <v>1670</v>
      </c>
      <c r="B188" s="282">
        <f t="shared" si="1"/>
        <v>34</v>
      </c>
    </row>
    <row r="189" spans="1:2" x14ac:dyDescent="0.25">
      <c r="A189" s="305" t="s">
        <v>1669</v>
      </c>
      <c r="B189" s="282">
        <f t="shared" si="1"/>
        <v>35</v>
      </c>
    </row>
    <row r="190" spans="1:2" x14ac:dyDescent="0.25">
      <c r="A190" s="305" t="s">
        <v>1668</v>
      </c>
      <c r="B190" s="282">
        <f t="shared" si="1"/>
        <v>36</v>
      </c>
    </row>
    <row r="191" spans="1:2" x14ac:dyDescent="0.25">
      <c r="A191" s="305" t="s">
        <v>1667</v>
      </c>
      <c r="B191" s="282">
        <f t="shared" si="1"/>
        <v>37</v>
      </c>
    </row>
    <row r="192" spans="1:2" x14ac:dyDescent="0.25">
      <c r="A192" s="305" t="s">
        <v>1666</v>
      </c>
      <c r="B192" s="282">
        <f t="shared" si="1"/>
        <v>38</v>
      </c>
    </row>
    <row r="193" spans="1:2" x14ac:dyDescent="0.25">
      <c r="A193" s="305" t="s">
        <v>1665</v>
      </c>
      <c r="B193" s="282">
        <f t="shared" si="1"/>
        <v>39</v>
      </c>
    </row>
    <row r="194" spans="1:2" x14ac:dyDescent="0.25">
      <c r="A194" s="305" t="s">
        <v>1664</v>
      </c>
      <c r="B194" s="282">
        <f t="shared" si="1"/>
        <v>40</v>
      </c>
    </row>
    <row r="195" spans="1:2" x14ac:dyDescent="0.25">
      <c r="A195" s="305" t="s">
        <v>1663</v>
      </c>
      <c r="B195" s="282">
        <f t="shared" si="1"/>
        <v>41</v>
      </c>
    </row>
    <row r="196" spans="1:2" x14ac:dyDescent="0.25">
      <c r="A196" s="305" t="s">
        <v>1662</v>
      </c>
      <c r="B196" s="282">
        <f t="shared" si="1"/>
        <v>42</v>
      </c>
    </row>
    <row r="197" spans="1:2" x14ac:dyDescent="0.25">
      <c r="A197" s="305" t="s">
        <v>1661</v>
      </c>
      <c r="B197" s="282">
        <f t="shared" si="1"/>
        <v>43</v>
      </c>
    </row>
    <row r="198" spans="1:2" x14ac:dyDescent="0.25">
      <c r="A198" s="305" t="s">
        <v>1660</v>
      </c>
      <c r="B198" s="282">
        <f t="shared" si="1"/>
        <v>44</v>
      </c>
    </row>
    <row r="199" spans="1:2" x14ac:dyDescent="0.25">
      <c r="A199" s="305" t="s">
        <v>1659</v>
      </c>
      <c r="B199" s="282">
        <f t="shared" si="1"/>
        <v>45</v>
      </c>
    </row>
    <row r="200" spans="1:2" x14ac:dyDescent="0.25">
      <c r="A200" s="305" t="s">
        <v>1658</v>
      </c>
      <c r="B200" s="282">
        <f t="shared" si="1"/>
        <v>46</v>
      </c>
    </row>
    <row r="201" spans="1:2" x14ac:dyDescent="0.25">
      <c r="A201" s="305" t="s">
        <v>1657</v>
      </c>
      <c r="B201" s="282">
        <f t="shared" si="1"/>
        <v>47</v>
      </c>
    </row>
    <row r="202" spans="1:2" x14ac:dyDescent="0.25">
      <c r="A202" s="305" t="s">
        <v>1656</v>
      </c>
      <c r="B202" s="282">
        <f t="shared" si="1"/>
        <v>48</v>
      </c>
    </row>
    <row r="203" spans="1:2" x14ac:dyDescent="0.25">
      <c r="A203" s="305" t="s">
        <v>1655</v>
      </c>
      <c r="B203" s="282">
        <f t="shared" si="1"/>
        <v>49</v>
      </c>
    </row>
    <row r="204" spans="1:2" x14ac:dyDescent="0.25">
      <c r="A204" s="305" t="s">
        <v>1654</v>
      </c>
      <c r="B204" s="282">
        <f t="shared" si="1"/>
        <v>50</v>
      </c>
    </row>
    <row r="205" spans="1:2" x14ac:dyDescent="0.25">
      <c r="A205" s="305" t="s">
        <v>1653</v>
      </c>
      <c r="B205" s="282">
        <f t="shared" si="1"/>
        <v>51</v>
      </c>
    </row>
    <row r="206" spans="1:2" x14ac:dyDescent="0.25">
      <c r="A206" s="305" t="s">
        <v>1652</v>
      </c>
      <c r="B206" s="282">
        <f t="shared" si="1"/>
        <v>52</v>
      </c>
    </row>
    <row r="207" spans="1:2" x14ac:dyDescent="0.25">
      <c r="A207" s="305" t="s">
        <v>1651</v>
      </c>
      <c r="B207" s="282">
        <f t="shared" si="1"/>
        <v>53</v>
      </c>
    </row>
    <row r="208" spans="1:2" x14ac:dyDescent="0.25">
      <c r="A208" s="305" t="s">
        <v>1650</v>
      </c>
      <c r="B208" s="282">
        <f t="shared" si="1"/>
        <v>54</v>
      </c>
    </row>
    <row r="209" spans="1:2" x14ac:dyDescent="0.25">
      <c r="A209" s="305" t="s">
        <v>1649</v>
      </c>
      <c r="B209" s="282">
        <f t="shared" si="1"/>
        <v>55</v>
      </c>
    </row>
    <row r="210" spans="1:2" x14ac:dyDescent="0.25">
      <c r="A210" s="305" t="s">
        <v>1648</v>
      </c>
      <c r="B210" s="282">
        <f t="shared" si="1"/>
        <v>56</v>
      </c>
    </row>
    <row r="211" spans="1:2" x14ac:dyDescent="0.25">
      <c r="A211" s="305" t="s">
        <v>1647</v>
      </c>
      <c r="B211" s="282">
        <f t="shared" si="1"/>
        <v>57</v>
      </c>
    </row>
    <row r="212" spans="1:2" x14ac:dyDescent="0.25">
      <c r="A212" s="305" t="s">
        <v>1646</v>
      </c>
      <c r="B212" s="282">
        <f t="shared" si="1"/>
        <v>58</v>
      </c>
    </row>
    <row r="213" spans="1:2" x14ac:dyDescent="0.25">
      <c r="A213" s="305" t="s">
        <v>1645</v>
      </c>
      <c r="B213" s="282">
        <f t="shared" si="1"/>
        <v>59</v>
      </c>
    </row>
    <row r="214" spans="1:2" x14ac:dyDescent="0.25">
      <c r="A214" s="305" t="s">
        <v>1644</v>
      </c>
      <c r="B214" s="282">
        <f t="shared" si="1"/>
        <v>60</v>
      </c>
    </row>
    <row r="215" spans="1:2" x14ac:dyDescent="0.25">
      <c r="A215" s="305" t="s">
        <v>1643</v>
      </c>
      <c r="B215" s="282">
        <f t="shared" si="1"/>
        <v>61</v>
      </c>
    </row>
    <row r="216" spans="1:2" x14ac:dyDescent="0.25">
      <c r="A216" s="305" t="s">
        <v>1642</v>
      </c>
      <c r="B216" s="282">
        <f t="shared" si="1"/>
        <v>62</v>
      </c>
    </row>
    <row r="217" spans="1:2" x14ac:dyDescent="0.25">
      <c r="A217" s="305" t="s">
        <v>1641</v>
      </c>
      <c r="B217" s="282">
        <f t="shared" si="1"/>
        <v>63</v>
      </c>
    </row>
    <row r="218" spans="1:2" x14ac:dyDescent="0.25">
      <c r="A218" s="305" t="s">
        <v>1640</v>
      </c>
      <c r="B218" s="282">
        <f t="shared" si="1"/>
        <v>64</v>
      </c>
    </row>
    <row r="219" spans="1:2" x14ac:dyDescent="0.25">
      <c r="A219" s="305" t="s">
        <v>1639</v>
      </c>
      <c r="B219" s="282">
        <f t="shared" ref="B219:B250" si="2">MATCH(A219,$A$8:$A$148,0)</f>
        <v>65</v>
      </c>
    </row>
    <row r="220" spans="1:2" x14ac:dyDescent="0.25">
      <c r="A220" s="305" t="s">
        <v>1638</v>
      </c>
      <c r="B220" s="282">
        <f t="shared" si="2"/>
        <v>66</v>
      </c>
    </row>
    <row r="221" spans="1:2" x14ac:dyDescent="0.25">
      <c r="A221" s="305" t="s">
        <v>1637</v>
      </c>
      <c r="B221" s="282">
        <f t="shared" si="2"/>
        <v>67</v>
      </c>
    </row>
    <row r="222" spans="1:2" x14ac:dyDescent="0.25">
      <c r="A222" s="305" t="s">
        <v>1636</v>
      </c>
      <c r="B222" s="282">
        <f t="shared" si="2"/>
        <v>68</v>
      </c>
    </row>
    <row r="223" spans="1:2" x14ac:dyDescent="0.25">
      <c r="A223" s="305" t="s">
        <v>1635</v>
      </c>
      <c r="B223" s="282">
        <f t="shared" si="2"/>
        <v>69</v>
      </c>
    </row>
    <row r="224" spans="1:2" x14ac:dyDescent="0.25">
      <c r="A224" s="305" t="s">
        <v>1634</v>
      </c>
      <c r="B224" s="282">
        <f t="shared" si="2"/>
        <v>70</v>
      </c>
    </row>
    <row r="225" spans="1:2" x14ac:dyDescent="0.25">
      <c r="A225" s="305" t="s">
        <v>1633</v>
      </c>
      <c r="B225" s="282">
        <f t="shared" si="2"/>
        <v>71</v>
      </c>
    </row>
    <row r="226" spans="1:2" x14ac:dyDescent="0.25">
      <c r="A226" s="305" t="s">
        <v>1632</v>
      </c>
      <c r="B226" s="282">
        <f t="shared" si="2"/>
        <v>72</v>
      </c>
    </row>
    <row r="227" spans="1:2" x14ac:dyDescent="0.25">
      <c r="A227" s="305" t="s">
        <v>1631</v>
      </c>
      <c r="B227" s="282">
        <f t="shared" si="2"/>
        <v>73</v>
      </c>
    </row>
    <row r="228" spans="1:2" x14ac:dyDescent="0.25">
      <c r="A228" s="305" t="s">
        <v>1630</v>
      </c>
      <c r="B228" s="282">
        <f t="shared" si="2"/>
        <v>74</v>
      </c>
    </row>
    <row r="229" spans="1:2" x14ac:dyDescent="0.25">
      <c r="A229" s="305" t="s">
        <v>1629</v>
      </c>
      <c r="B229" s="282">
        <f t="shared" si="2"/>
        <v>75</v>
      </c>
    </row>
    <row r="230" spans="1:2" x14ac:dyDescent="0.25">
      <c r="A230" s="305" t="s">
        <v>1628</v>
      </c>
      <c r="B230" s="282">
        <f t="shared" si="2"/>
        <v>76</v>
      </c>
    </row>
    <row r="231" spans="1:2" x14ac:dyDescent="0.25">
      <c r="A231" s="305" t="s">
        <v>1627</v>
      </c>
      <c r="B231" s="282">
        <f t="shared" si="2"/>
        <v>77</v>
      </c>
    </row>
    <row r="232" spans="1:2" x14ac:dyDescent="0.25">
      <c r="A232" s="305" t="s">
        <v>1626</v>
      </c>
      <c r="B232" s="282">
        <f t="shared" si="2"/>
        <v>78</v>
      </c>
    </row>
    <row r="233" spans="1:2" x14ac:dyDescent="0.25">
      <c r="A233" s="305" t="s">
        <v>1625</v>
      </c>
      <c r="B233" s="282">
        <f t="shared" si="2"/>
        <v>79</v>
      </c>
    </row>
    <row r="234" spans="1:2" x14ac:dyDescent="0.25">
      <c r="A234" s="305" t="s">
        <v>1624</v>
      </c>
      <c r="B234" s="282">
        <f t="shared" si="2"/>
        <v>80</v>
      </c>
    </row>
    <row r="235" spans="1:2" x14ac:dyDescent="0.25">
      <c r="A235" s="305" t="s">
        <v>1623</v>
      </c>
      <c r="B235" s="282">
        <f t="shared" si="2"/>
        <v>81</v>
      </c>
    </row>
    <row r="236" spans="1:2" x14ac:dyDescent="0.25">
      <c r="A236" s="305" t="s">
        <v>1622</v>
      </c>
      <c r="B236" s="282">
        <f t="shared" si="2"/>
        <v>82</v>
      </c>
    </row>
    <row r="237" spans="1:2" x14ac:dyDescent="0.25">
      <c r="A237" s="305" t="s">
        <v>1621</v>
      </c>
      <c r="B237" s="282">
        <f t="shared" si="2"/>
        <v>83</v>
      </c>
    </row>
    <row r="238" spans="1:2" x14ac:dyDescent="0.25">
      <c r="A238" s="305" t="s">
        <v>1620</v>
      </c>
      <c r="B238" s="282">
        <f t="shared" si="2"/>
        <v>84</v>
      </c>
    </row>
    <row r="239" spans="1:2" x14ac:dyDescent="0.25">
      <c r="A239" s="305" t="s">
        <v>1619</v>
      </c>
      <c r="B239" s="282">
        <f t="shared" si="2"/>
        <v>85</v>
      </c>
    </row>
    <row r="240" spans="1:2" x14ac:dyDescent="0.25">
      <c r="A240" s="305" t="s">
        <v>1618</v>
      </c>
      <c r="B240" s="282">
        <f t="shared" si="2"/>
        <v>86</v>
      </c>
    </row>
    <row r="241" spans="1:2" x14ac:dyDescent="0.25">
      <c r="A241" s="305" t="s">
        <v>1617</v>
      </c>
      <c r="B241" s="282">
        <f t="shared" si="2"/>
        <v>87</v>
      </c>
    </row>
    <row r="242" spans="1:2" x14ac:dyDescent="0.25">
      <c r="A242" s="305" t="s">
        <v>1616</v>
      </c>
      <c r="B242" s="282">
        <f t="shared" si="2"/>
        <v>88</v>
      </c>
    </row>
    <row r="243" spans="1:2" x14ac:dyDescent="0.25">
      <c r="A243" s="305" t="s">
        <v>1615</v>
      </c>
      <c r="B243" s="282">
        <f t="shared" si="2"/>
        <v>89</v>
      </c>
    </row>
    <row r="244" spans="1:2" x14ac:dyDescent="0.25">
      <c r="A244" s="305" t="s">
        <v>1614</v>
      </c>
      <c r="B244" s="282">
        <f t="shared" si="2"/>
        <v>90</v>
      </c>
    </row>
    <row r="245" spans="1:2" x14ac:dyDescent="0.25">
      <c r="A245" s="305" t="s">
        <v>1613</v>
      </c>
      <c r="B245" s="282">
        <f t="shared" si="2"/>
        <v>91</v>
      </c>
    </row>
    <row r="246" spans="1:2" x14ac:dyDescent="0.25">
      <c r="A246" s="305" t="s">
        <v>1612</v>
      </c>
      <c r="B246" s="282">
        <f t="shared" si="2"/>
        <v>92</v>
      </c>
    </row>
    <row r="247" spans="1:2" x14ac:dyDescent="0.25">
      <c r="A247" s="305" t="s">
        <v>1611</v>
      </c>
      <c r="B247" s="282">
        <f t="shared" si="2"/>
        <v>93</v>
      </c>
    </row>
    <row r="248" spans="1:2" x14ac:dyDescent="0.25">
      <c r="A248" s="305" t="s">
        <v>1610</v>
      </c>
      <c r="B248" s="282">
        <f t="shared" si="2"/>
        <v>94</v>
      </c>
    </row>
    <row r="249" spans="1:2" x14ac:dyDescent="0.25">
      <c r="A249" s="305" t="s">
        <v>1609</v>
      </c>
      <c r="B249" s="282">
        <f t="shared" si="2"/>
        <v>95</v>
      </c>
    </row>
    <row r="250" spans="1:2" x14ac:dyDescent="0.25">
      <c r="A250" s="305" t="s">
        <v>1608</v>
      </c>
      <c r="B250" s="282">
        <f t="shared" si="2"/>
        <v>96</v>
      </c>
    </row>
    <row r="251" spans="1:2" x14ac:dyDescent="0.25">
      <c r="A251" s="305" t="s">
        <v>1607</v>
      </c>
      <c r="B251" s="282">
        <f t="shared" ref="B251:B282" si="3">MATCH(A251,$A$8:$A$148,0)</f>
        <v>97</v>
      </c>
    </row>
    <row r="252" spans="1:2" x14ac:dyDescent="0.25">
      <c r="A252" s="305" t="s">
        <v>1606</v>
      </c>
      <c r="B252" s="282">
        <f t="shared" si="3"/>
        <v>98</v>
      </c>
    </row>
    <row r="253" spans="1:2" x14ac:dyDescent="0.25">
      <c r="A253" s="305" t="s">
        <v>1605</v>
      </c>
      <c r="B253" s="282">
        <f t="shared" si="3"/>
        <v>99</v>
      </c>
    </row>
    <row r="254" spans="1:2" x14ac:dyDescent="0.25">
      <c r="A254" s="305" t="s">
        <v>1604</v>
      </c>
      <c r="B254" s="282">
        <f t="shared" si="3"/>
        <v>100</v>
      </c>
    </row>
    <row r="255" spans="1:2" x14ac:dyDescent="0.25">
      <c r="A255" s="305" t="s">
        <v>1603</v>
      </c>
      <c r="B255" s="282">
        <f t="shared" si="3"/>
        <v>101</v>
      </c>
    </row>
    <row r="256" spans="1:2" x14ac:dyDescent="0.25">
      <c r="A256" s="305" t="s">
        <v>1602</v>
      </c>
      <c r="B256" s="282">
        <f t="shared" si="3"/>
        <v>102</v>
      </c>
    </row>
    <row r="257" spans="1:2" x14ac:dyDescent="0.25">
      <c r="A257" s="305" t="s">
        <v>1601</v>
      </c>
      <c r="B257" s="282">
        <f t="shared" si="3"/>
        <v>103</v>
      </c>
    </row>
    <row r="258" spans="1:2" x14ac:dyDescent="0.25">
      <c r="A258" s="305" t="s">
        <v>1600</v>
      </c>
      <c r="B258" s="282">
        <f t="shared" si="3"/>
        <v>104</v>
      </c>
    </row>
    <row r="259" spans="1:2" x14ac:dyDescent="0.25">
      <c r="A259" s="305" t="s">
        <v>1599</v>
      </c>
      <c r="B259" s="282">
        <f t="shared" si="3"/>
        <v>105</v>
      </c>
    </row>
    <row r="260" spans="1:2" x14ac:dyDescent="0.25">
      <c r="A260" s="305" t="s">
        <v>1598</v>
      </c>
      <c r="B260" s="282">
        <f t="shared" si="3"/>
        <v>106</v>
      </c>
    </row>
    <row r="261" spans="1:2" x14ac:dyDescent="0.25">
      <c r="A261" s="305" t="s">
        <v>1504</v>
      </c>
      <c r="B261" s="282">
        <f t="shared" si="3"/>
        <v>107</v>
      </c>
    </row>
    <row r="262" spans="1:2" x14ac:dyDescent="0.25">
      <c r="A262" s="305" t="s">
        <v>1503</v>
      </c>
      <c r="B262" s="282">
        <f t="shared" si="3"/>
        <v>108</v>
      </c>
    </row>
    <row r="263" spans="1:2" x14ac:dyDescent="0.25">
      <c r="A263" s="305" t="s">
        <v>1502</v>
      </c>
      <c r="B263" s="282">
        <f t="shared" si="3"/>
        <v>109</v>
      </c>
    </row>
    <row r="264" spans="1:2" x14ac:dyDescent="0.25">
      <c r="A264" s="305" t="s">
        <v>1501</v>
      </c>
      <c r="B264" s="282">
        <f t="shared" si="3"/>
        <v>110</v>
      </c>
    </row>
    <row r="265" spans="1:2" x14ac:dyDescent="0.25">
      <c r="A265" s="305" t="s">
        <v>1597</v>
      </c>
      <c r="B265" s="282">
        <f t="shared" si="3"/>
        <v>111</v>
      </c>
    </row>
    <row r="266" spans="1:2" x14ac:dyDescent="0.25">
      <c r="A266" s="305" t="s">
        <v>1596</v>
      </c>
      <c r="B266" s="282">
        <f t="shared" si="3"/>
        <v>112</v>
      </c>
    </row>
    <row r="267" spans="1:2" x14ac:dyDescent="0.25">
      <c r="A267" s="305" t="s">
        <v>1595</v>
      </c>
      <c r="B267" s="282">
        <f t="shared" si="3"/>
        <v>113</v>
      </c>
    </row>
    <row r="268" spans="1:2" x14ac:dyDescent="0.25">
      <c r="A268" s="305" t="s">
        <v>1594</v>
      </c>
      <c r="B268" s="282">
        <f t="shared" si="3"/>
        <v>114</v>
      </c>
    </row>
    <row r="269" spans="1:2" x14ac:dyDescent="0.25">
      <c r="A269" s="305" t="s">
        <v>1593</v>
      </c>
      <c r="B269" s="282">
        <f t="shared" si="3"/>
        <v>115</v>
      </c>
    </row>
    <row r="270" spans="1:2" x14ac:dyDescent="0.25">
      <c r="A270" s="305" t="s">
        <v>1592</v>
      </c>
      <c r="B270" s="282">
        <f t="shared" si="3"/>
        <v>116</v>
      </c>
    </row>
    <row r="271" spans="1:2" x14ac:dyDescent="0.25">
      <c r="A271" s="305" t="s">
        <v>1591</v>
      </c>
      <c r="B271" s="282">
        <f t="shared" si="3"/>
        <v>117</v>
      </c>
    </row>
    <row r="272" spans="1:2" x14ac:dyDescent="0.25">
      <c r="A272" s="305" t="s">
        <v>1590</v>
      </c>
      <c r="B272" s="282">
        <f t="shared" si="3"/>
        <v>118</v>
      </c>
    </row>
    <row r="273" spans="1:2" x14ac:dyDescent="0.25">
      <c r="A273" s="305" t="s">
        <v>1589</v>
      </c>
      <c r="B273" s="282">
        <f t="shared" si="3"/>
        <v>119</v>
      </c>
    </row>
    <row r="274" spans="1:2" x14ac:dyDescent="0.25">
      <c r="A274" s="305" t="s">
        <v>1588</v>
      </c>
      <c r="B274" s="282">
        <f t="shared" si="3"/>
        <v>120</v>
      </c>
    </row>
    <row r="275" spans="1:2" x14ac:dyDescent="0.25">
      <c r="A275" s="305" t="s">
        <v>1587</v>
      </c>
      <c r="B275" s="282">
        <f t="shared" si="3"/>
        <v>121</v>
      </c>
    </row>
    <row r="276" spans="1:2" x14ac:dyDescent="0.25">
      <c r="A276" s="305" t="s">
        <v>1586</v>
      </c>
      <c r="B276" s="282">
        <f t="shared" si="3"/>
        <v>122</v>
      </c>
    </row>
    <row r="277" spans="1:2" x14ac:dyDescent="0.25">
      <c r="A277" s="305" t="s">
        <v>1585</v>
      </c>
      <c r="B277" s="282">
        <f t="shared" si="3"/>
        <v>123</v>
      </c>
    </row>
    <row r="278" spans="1:2" x14ac:dyDescent="0.25">
      <c r="A278" s="305" t="s">
        <v>1584</v>
      </c>
      <c r="B278" s="282">
        <f t="shared" si="3"/>
        <v>124</v>
      </c>
    </row>
    <row r="279" spans="1:2" x14ac:dyDescent="0.25">
      <c r="A279" s="305" t="s">
        <v>1583</v>
      </c>
      <c r="B279" s="282">
        <f t="shared" si="3"/>
        <v>125</v>
      </c>
    </row>
    <row r="280" spans="1:2" x14ac:dyDescent="0.25">
      <c r="A280" s="305" t="s">
        <v>1582</v>
      </c>
      <c r="B280" s="282">
        <f t="shared" si="3"/>
        <v>126</v>
      </c>
    </row>
    <row r="281" spans="1:2" x14ac:dyDescent="0.25">
      <c r="A281" s="305" t="s">
        <v>1581</v>
      </c>
      <c r="B281" s="282">
        <f t="shared" si="3"/>
        <v>127</v>
      </c>
    </row>
    <row r="282" spans="1:2" x14ac:dyDescent="0.25">
      <c r="A282" s="305" t="s">
        <v>1580</v>
      </c>
      <c r="B282" s="282">
        <f t="shared" si="3"/>
        <v>128</v>
      </c>
    </row>
    <row r="283" spans="1:2" x14ac:dyDescent="0.25">
      <c r="A283" s="305" t="s">
        <v>1579</v>
      </c>
      <c r="B283" s="282">
        <f t="shared" ref="B283:B295" si="4">MATCH(A283,$A$8:$A$148,0)</f>
        <v>129</v>
      </c>
    </row>
    <row r="284" spans="1:2" x14ac:dyDescent="0.25">
      <c r="A284" s="305" t="s">
        <v>1578</v>
      </c>
      <c r="B284" s="282">
        <f t="shared" si="4"/>
        <v>130</v>
      </c>
    </row>
    <row r="285" spans="1:2" x14ac:dyDescent="0.25">
      <c r="A285" s="305" t="s">
        <v>1577</v>
      </c>
      <c r="B285" s="282">
        <f t="shared" si="4"/>
        <v>131</v>
      </c>
    </row>
    <row r="286" spans="1:2" x14ac:dyDescent="0.25">
      <c r="A286" s="305" t="s">
        <v>1576</v>
      </c>
      <c r="B286" s="282">
        <f t="shared" si="4"/>
        <v>132</v>
      </c>
    </row>
    <row r="287" spans="1:2" x14ac:dyDescent="0.25">
      <c r="A287" s="305" t="s">
        <v>1575</v>
      </c>
      <c r="B287" s="282">
        <f t="shared" si="4"/>
        <v>133</v>
      </c>
    </row>
    <row r="288" spans="1:2" x14ac:dyDescent="0.25">
      <c r="A288" s="305" t="s">
        <v>1574</v>
      </c>
      <c r="B288" s="282">
        <f t="shared" si="4"/>
        <v>134</v>
      </c>
    </row>
    <row r="289" spans="1:2" x14ac:dyDescent="0.25">
      <c r="A289" s="305" t="s">
        <v>1573</v>
      </c>
      <c r="B289" s="282">
        <f t="shared" si="4"/>
        <v>135</v>
      </c>
    </row>
    <row r="290" spans="1:2" x14ac:dyDescent="0.25">
      <c r="A290" s="305" t="s">
        <v>1572</v>
      </c>
      <c r="B290" s="282">
        <f t="shared" si="4"/>
        <v>136</v>
      </c>
    </row>
    <row r="291" spans="1:2" x14ac:dyDescent="0.25">
      <c r="A291" s="305" t="s">
        <v>1571</v>
      </c>
      <c r="B291" s="282">
        <f t="shared" si="4"/>
        <v>137</v>
      </c>
    </row>
    <row r="292" spans="1:2" x14ac:dyDescent="0.25">
      <c r="A292" s="305" t="s">
        <v>1570</v>
      </c>
      <c r="B292" s="282">
        <f t="shared" si="4"/>
        <v>138</v>
      </c>
    </row>
    <row r="293" spans="1:2" x14ac:dyDescent="0.25">
      <c r="A293" s="305" t="s">
        <v>1569</v>
      </c>
      <c r="B293" s="282">
        <f t="shared" si="4"/>
        <v>139</v>
      </c>
    </row>
    <row r="294" spans="1:2" x14ac:dyDescent="0.25">
      <c r="A294" s="305" t="s">
        <v>1568</v>
      </c>
      <c r="B294" s="282">
        <f t="shared" si="4"/>
        <v>140</v>
      </c>
    </row>
    <row r="295" spans="1:2" x14ac:dyDescent="0.25">
      <c r="A295" s="305" t="s">
        <v>1567</v>
      </c>
      <c r="B295" s="282">
        <f t="shared" si="4"/>
        <v>141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2"/>
  </cols>
  <sheetData>
    <row r="4" spans="3:29" x14ac:dyDescent="0.25">
      <c r="C4" s="315" t="s">
        <v>1731</v>
      </c>
      <c r="R4" s="315" t="s">
        <v>1730</v>
      </c>
    </row>
    <row r="5" spans="3:29" x14ac:dyDescent="0.25">
      <c r="D5" s="305" t="s">
        <v>1729</v>
      </c>
      <c r="E5" s="305" t="s">
        <v>1728</v>
      </c>
      <c r="F5" s="305" t="s">
        <v>1724</v>
      </c>
      <c r="G5" s="305" t="s">
        <v>1723</v>
      </c>
      <c r="H5" s="305" t="s">
        <v>1721</v>
      </c>
      <c r="I5" s="305" t="s">
        <v>1720</v>
      </c>
      <c r="J5" s="305" t="s">
        <v>1719</v>
      </c>
      <c r="K5" s="305" t="s">
        <v>1717</v>
      </c>
      <c r="L5" s="305" t="s">
        <v>1716</v>
      </c>
      <c r="M5" s="305" t="s">
        <v>1715</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1504</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1504</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1503</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1503</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1502</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1502</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1501</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1501</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1727</v>
      </c>
      <c r="R13" s="315" t="s">
        <v>1726</v>
      </c>
    </row>
    <row r="14" spans="3:29" x14ac:dyDescent="0.25">
      <c r="D14" s="313" t="s">
        <v>1725</v>
      </c>
      <c r="E14" s="313" t="s">
        <v>1724</v>
      </c>
      <c r="F14" s="313" t="s">
        <v>1723</v>
      </c>
      <c r="G14" s="313" t="s">
        <v>1722</v>
      </c>
      <c r="H14" s="314" t="s">
        <v>1721</v>
      </c>
      <c r="I14" s="314" t="s">
        <v>1720</v>
      </c>
      <c r="J14" s="313" t="s">
        <v>1719</v>
      </c>
      <c r="K14" s="313" t="s">
        <v>1718</v>
      </c>
      <c r="L14" s="313" t="s">
        <v>1717</v>
      </c>
      <c r="M14" s="313" t="s">
        <v>1716</v>
      </c>
      <c r="N14" s="313" t="s">
        <v>1715</v>
      </c>
      <c r="Q14" s="315"/>
      <c r="S14" s="313" t="s">
        <v>1725</v>
      </c>
      <c r="T14" s="313" t="s">
        <v>1724</v>
      </c>
      <c r="U14" s="313" t="s">
        <v>1723</v>
      </c>
      <c r="V14" s="313" t="s">
        <v>1722</v>
      </c>
      <c r="W14" s="314" t="s">
        <v>1721</v>
      </c>
      <c r="X14" s="314" t="s">
        <v>1720</v>
      </c>
      <c r="Y14" s="313" t="s">
        <v>1719</v>
      </c>
      <c r="Z14" s="313" t="s">
        <v>1718</v>
      </c>
      <c r="AA14" s="313" t="s">
        <v>1717</v>
      </c>
      <c r="AB14" s="313" t="s">
        <v>1716</v>
      </c>
      <c r="AC14" s="313" t="s">
        <v>1715</v>
      </c>
    </row>
    <row r="15" spans="3:29" x14ac:dyDescent="0.25">
      <c r="C15" s="313" t="s">
        <v>1504</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1504</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1503</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1503</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1502</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1502</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1501</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1501</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1714</v>
      </c>
    </row>
    <row r="26" spans="3:29" x14ac:dyDescent="0.25">
      <c r="C26" s="282" t="s">
        <v>1713</v>
      </c>
      <c r="I26" s="282" t="s">
        <v>1712</v>
      </c>
      <c r="M26" s="282" t="s">
        <v>1711</v>
      </c>
      <c r="Q26" s="282" t="s">
        <v>1710</v>
      </c>
      <c r="S26" s="282" t="s">
        <v>1709</v>
      </c>
      <c r="U26" s="282" t="s">
        <v>1708</v>
      </c>
    </row>
    <row r="27" spans="3:29" x14ac:dyDescent="0.25">
      <c r="F27" s="282">
        <v>2012</v>
      </c>
      <c r="G27" s="282" t="s">
        <v>1455</v>
      </c>
      <c r="J27" s="282">
        <v>2012</v>
      </c>
      <c r="N27" s="282">
        <v>2012</v>
      </c>
      <c r="V27" s="282" t="s">
        <v>1667</v>
      </c>
    </row>
    <row r="28" spans="3:29" x14ac:dyDescent="0.25">
      <c r="C28" s="282" t="s">
        <v>1504</v>
      </c>
      <c r="D28" s="282" t="s">
        <v>1500</v>
      </c>
      <c r="E28" s="282" t="s">
        <v>1499</v>
      </c>
      <c r="F28" s="282">
        <v>3.7305999999999999</v>
      </c>
      <c r="G28" s="282">
        <f>F28/$F$32</f>
        <v>5.1587548519758449E-2</v>
      </c>
      <c r="I28" s="282" t="s">
        <v>1504</v>
      </c>
      <c r="J28" s="282">
        <v>3.9E-2</v>
      </c>
      <c r="M28" s="282" t="s">
        <v>1504</v>
      </c>
      <c r="N28" s="282">
        <v>2.8210000000000002</v>
      </c>
      <c r="Q28" s="282">
        <f>J28*N28</f>
        <v>0.11001900000000001</v>
      </c>
      <c r="S28" s="311">
        <f>F28*J28*N28</f>
        <v>0.41043688140000001</v>
      </c>
      <c r="U28" s="282" t="s">
        <v>1504</v>
      </c>
      <c r="V28" s="282">
        <v>0.41</v>
      </c>
    </row>
    <row r="29" spans="3:29" x14ac:dyDescent="0.25">
      <c r="C29" s="282" t="s">
        <v>1503</v>
      </c>
      <c r="D29" s="282" t="s">
        <v>1500</v>
      </c>
      <c r="E29" s="282" t="s">
        <v>1499</v>
      </c>
      <c r="F29" s="282">
        <v>4.2457000000000003</v>
      </c>
      <c r="G29" s="282">
        <f>F29/$F$32</f>
        <v>5.8710463397399472E-2</v>
      </c>
      <c r="I29" s="282" t="s">
        <v>1503</v>
      </c>
      <c r="J29" s="282">
        <v>0.05</v>
      </c>
      <c r="M29" s="282" t="s">
        <v>1503</v>
      </c>
      <c r="N29" s="282">
        <v>2.2549999999999999</v>
      </c>
      <c r="Q29" s="282">
        <f>J29*N29</f>
        <v>0.11275</v>
      </c>
      <c r="S29" s="311">
        <f>F29*J29*N29</f>
        <v>0.47870267500000002</v>
      </c>
      <c r="U29" s="282" t="s">
        <v>1503</v>
      </c>
      <c r="V29" s="282">
        <v>0.48299999999999998</v>
      </c>
    </row>
    <row r="30" spans="3:29" x14ac:dyDescent="0.25">
      <c r="C30" s="282" t="s">
        <v>1502</v>
      </c>
      <c r="D30" s="282" t="s">
        <v>1500</v>
      </c>
      <c r="E30" s="282" t="s">
        <v>1499</v>
      </c>
      <c r="F30" s="282">
        <v>14.047700000000001</v>
      </c>
      <c r="G30" s="282">
        <f>F30/$F$32</f>
        <v>0.19425465215810078</v>
      </c>
      <c r="I30" s="282" t="s">
        <v>1502</v>
      </c>
      <c r="J30" s="282">
        <v>8.8999999999999996E-2</v>
      </c>
      <c r="M30" s="282" t="s">
        <v>1502</v>
      </c>
      <c r="N30" s="282">
        <v>1.946</v>
      </c>
      <c r="Q30" s="282">
        <f>J30*N30</f>
        <v>0.17319399999999999</v>
      </c>
      <c r="S30" s="311">
        <f>F30*J30*N30</f>
        <v>2.4329773538000001</v>
      </c>
      <c r="U30" s="282" t="s">
        <v>1502</v>
      </c>
      <c r="V30" s="282">
        <v>2.444</v>
      </c>
    </row>
    <row r="31" spans="3:29" x14ac:dyDescent="0.25">
      <c r="C31" s="282" t="s">
        <v>1501</v>
      </c>
      <c r="D31" s="282" t="s">
        <v>1500</v>
      </c>
      <c r="E31" s="282" t="s">
        <v>1499</v>
      </c>
      <c r="F31" s="282">
        <v>50.291899999999998</v>
      </c>
      <c r="G31" s="282">
        <f>F31/$F$32</f>
        <v>0.69544733592474128</v>
      </c>
      <c r="I31" s="282" t="s">
        <v>1501</v>
      </c>
      <c r="J31" s="282">
        <v>0.17699999999999999</v>
      </c>
      <c r="M31" s="282" t="s">
        <v>1501</v>
      </c>
      <c r="N31" s="282">
        <v>2.2360000000000002</v>
      </c>
      <c r="Q31" s="282">
        <f>J31*N31</f>
        <v>0.39577200000000001</v>
      </c>
      <c r="S31" s="311">
        <f>F31*J31*N31</f>
        <v>19.9041258468</v>
      </c>
      <c r="U31" s="282" t="s">
        <v>1501</v>
      </c>
      <c r="V31" s="282">
        <v>19.861000000000001</v>
      </c>
    </row>
    <row r="32" spans="3:29" x14ac:dyDescent="0.25">
      <c r="F32" s="282">
        <f>SUM(F28:F31)</f>
        <v>72.315899999999999</v>
      </c>
      <c r="V32" s="282">
        <f>SUM(V28:V31)</f>
        <v>23.198</v>
      </c>
    </row>
    <row r="33" spans="5:22" x14ac:dyDescent="0.25">
      <c r="U33" s="282" t="s">
        <v>1707</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1706</v>
      </c>
      <c r="K39" s="282" t="s">
        <v>1705</v>
      </c>
      <c r="N39" s="282" t="s">
        <v>1704</v>
      </c>
    </row>
    <row r="40" spans="5:22" x14ac:dyDescent="0.25">
      <c r="F40" s="282" t="s">
        <v>1504</v>
      </c>
      <c r="G40" s="282" t="s">
        <v>1503</v>
      </c>
      <c r="H40" s="282" t="s">
        <v>1502</v>
      </c>
      <c r="I40" s="282" t="s">
        <v>1501</v>
      </c>
      <c r="L40" s="282" t="s">
        <v>1667</v>
      </c>
      <c r="Q40" s="282">
        <v>2012</v>
      </c>
    </row>
    <row r="41" spans="5:22" x14ac:dyDescent="0.25">
      <c r="E41" s="282">
        <v>2012</v>
      </c>
      <c r="F41" s="282">
        <v>4.4299999999999999E-2</v>
      </c>
      <c r="G41" s="282">
        <v>5.04E-2</v>
      </c>
      <c r="H41" s="282">
        <v>0.16669999999999999</v>
      </c>
      <c r="I41" s="282">
        <v>0.59689999999999999</v>
      </c>
      <c r="K41" s="282">
        <v>2012</v>
      </c>
      <c r="L41" s="282">
        <v>0.11017</v>
      </c>
      <c r="N41" s="282" t="s">
        <v>1667</v>
      </c>
      <c r="O41" s="282" t="s">
        <v>1499</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1790</v>
      </c>
      <c r="F5" s="282" t="s">
        <v>135</v>
      </c>
      <c r="G5" s="308">
        <f>SAM!AL119</f>
        <v>61052.790993083603</v>
      </c>
      <c r="H5" s="282" t="s">
        <v>1783</v>
      </c>
      <c r="W5" s="278"/>
    </row>
    <row r="6" spans="4:23" x14ac:dyDescent="0.25">
      <c r="E6" s="315" t="s">
        <v>1789</v>
      </c>
      <c r="F6" s="282" t="s">
        <v>135</v>
      </c>
      <c r="G6" s="308">
        <f>G5*1.172</f>
        <v>71553.871043893974</v>
      </c>
      <c r="H6" s="282" t="s">
        <v>1781</v>
      </c>
      <c r="W6" s="278"/>
    </row>
    <row r="7" spans="4:23" x14ac:dyDescent="0.25">
      <c r="E7" s="315" t="s">
        <v>1757</v>
      </c>
      <c r="F7" s="282" t="s">
        <v>135</v>
      </c>
      <c r="G7" s="308">
        <f>H51*$G$6</f>
        <v>26551.502063613778</v>
      </c>
      <c r="W7" s="278"/>
    </row>
    <row r="8" spans="4:23" x14ac:dyDescent="0.25">
      <c r="E8" s="315" t="s">
        <v>1761</v>
      </c>
      <c r="F8" s="282" t="s">
        <v>135</v>
      </c>
      <c r="G8" s="308">
        <f>H52*$G$6</f>
        <v>10262.042713754645</v>
      </c>
      <c r="W8" s="278"/>
    </row>
    <row r="9" spans="4:23" x14ac:dyDescent="0.25">
      <c r="E9" s="315" t="s">
        <v>1785</v>
      </c>
      <c r="F9" s="282" t="s">
        <v>135</v>
      </c>
      <c r="G9" s="308">
        <f>H53*$G$6</f>
        <v>34740.326266525561</v>
      </c>
      <c r="W9" s="278"/>
    </row>
    <row r="10" spans="4:23" x14ac:dyDescent="0.25">
      <c r="E10" s="315" t="s">
        <v>1788</v>
      </c>
      <c r="F10" s="282" t="s">
        <v>135</v>
      </c>
      <c r="G10" s="308">
        <f>SUM(SAM!AL59:AL117)-SAM!AL79-SAM!AL62-SAM!AL65-SAM!AL67-SAM!AL103</f>
        <v>41635.018826606982</v>
      </c>
      <c r="W10" s="278"/>
    </row>
    <row r="11" spans="4:23" x14ac:dyDescent="0.25">
      <c r="E11" s="315" t="s">
        <v>1787</v>
      </c>
      <c r="F11" s="282" t="s">
        <v>135</v>
      </c>
      <c r="G11" s="308">
        <f>G10*1.172</f>
        <v>48796.242064783379</v>
      </c>
      <c r="H11" s="282" t="s">
        <v>1781</v>
      </c>
      <c r="W11" s="278"/>
    </row>
    <row r="12" spans="4:23" x14ac:dyDescent="0.25">
      <c r="E12" s="315" t="s">
        <v>1757</v>
      </c>
      <c r="F12" s="282" t="s">
        <v>135</v>
      </c>
      <c r="G12" s="308">
        <f>H51*$G$11</f>
        <v>18106.826408943169</v>
      </c>
      <c r="W12" s="278"/>
    </row>
    <row r="13" spans="4:23" x14ac:dyDescent="0.25">
      <c r="E13" s="315" t="s">
        <v>1786</v>
      </c>
      <c r="F13" s="282" t="s">
        <v>135</v>
      </c>
      <c r="G13" s="308">
        <f>H52*$G$11</f>
        <v>6998.2114598990574</v>
      </c>
      <c r="W13" s="278"/>
    </row>
    <row r="14" spans="4:23" x14ac:dyDescent="0.25">
      <c r="E14" s="315" t="s">
        <v>1785</v>
      </c>
      <c r="F14" s="282" t="s">
        <v>135</v>
      </c>
      <c r="G14" s="308">
        <f>H53*$G$11</f>
        <v>23691.204195941154</v>
      </c>
    </row>
    <row r="15" spans="4:23" x14ac:dyDescent="0.25">
      <c r="E15" s="315" t="s">
        <v>1784</v>
      </c>
      <c r="F15" s="282" t="s">
        <v>135</v>
      </c>
      <c r="G15" s="308">
        <f>SAM!AL62+SAM!AL79+SAM!AL103+SAM!AL142</f>
        <v>38479.313744107218</v>
      </c>
      <c r="H15" s="282" t="s">
        <v>1783</v>
      </c>
      <c r="J15" s="308"/>
    </row>
    <row r="16" spans="4:23" x14ac:dyDescent="0.25">
      <c r="E16" s="315" t="s">
        <v>1782</v>
      </c>
      <c r="F16" s="282" t="s">
        <v>135</v>
      </c>
      <c r="G16" s="308">
        <f>G15*1.172</f>
        <v>45097.755708093653</v>
      </c>
      <c r="H16" s="282" t="s">
        <v>1781</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1780</v>
      </c>
      <c r="F19" s="282" t="s">
        <v>162</v>
      </c>
      <c r="G19" s="311">
        <f>G17/G18/1000</f>
        <v>0.79542244623447611</v>
      </c>
      <c r="H19" s="311">
        <f>H17/H18/1000</f>
        <v>0.66518539899171736</v>
      </c>
      <c r="I19" s="282">
        <f>0.183*3.6</f>
        <v>0.65880000000000005</v>
      </c>
    </row>
    <row r="20" spans="5:9" x14ac:dyDescent="0.25">
      <c r="E20" s="315" t="s">
        <v>1779</v>
      </c>
      <c r="F20" s="282" t="s">
        <v>162</v>
      </c>
      <c r="G20" s="311">
        <f>G19/1.172</f>
        <v>0.67868809405672026</v>
      </c>
      <c r="H20" s="311"/>
    </row>
    <row r="21" spans="5:9" x14ac:dyDescent="0.25">
      <c r="E21" s="315" t="s">
        <v>530</v>
      </c>
      <c r="G21" s="282" t="s">
        <v>1778</v>
      </c>
      <c r="H21" s="282" t="s">
        <v>145</v>
      </c>
    </row>
    <row r="22" spans="5:9" x14ac:dyDescent="0.25">
      <c r="E22" s="315" t="s">
        <v>1488</v>
      </c>
      <c r="F22" s="282" t="s">
        <v>135</v>
      </c>
      <c r="G22" s="282">
        <v>9894</v>
      </c>
      <c r="H22" s="282" t="s">
        <v>1777</v>
      </c>
    </row>
    <row r="23" spans="5:9" x14ac:dyDescent="0.25">
      <c r="E23" s="315" t="s">
        <v>129</v>
      </c>
      <c r="F23" s="282" t="s">
        <v>135</v>
      </c>
      <c r="G23" s="282">
        <v>397</v>
      </c>
    </row>
    <row r="24" spans="5:9" x14ac:dyDescent="0.25">
      <c r="E24" s="315" t="s">
        <v>1482</v>
      </c>
      <c r="F24" s="282" t="s">
        <v>135</v>
      </c>
      <c r="G24" s="282">
        <v>8298</v>
      </c>
    </row>
    <row r="25" spans="5:9" x14ac:dyDescent="0.25">
      <c r="E25" s="315" t="s">
        <v>1776</v>
      </c>
      <c r="F25" s="282" t="s">
        <v>135</v>
      </c>
      <c r="G25" s="282">
        <v>211</v>
      </c>
    </row>
    <row r="26" spans="5:9" x14ac:dyDescent="0.25">
      <c r="E26" s="315" t="s">
        <v>1775</v>
      </c>
      <c r="F26" s="282" t="s">
        <v>135</v>
      </c>
      <c r="G26" s="282">
        <v>18801</v>
      </c>
    </row>
    <row r="27" spans="5:9" x14ac:dyDescent="0.25">
      <c r="E27" s="315" t="s">
        <v>1774</v>
      </c>
      <c r="F27" s="282" t="s">
        <v>135</v>
      </c>
      <c r="G27" s="282">
        <v>-5542</v>
      </c>
    </row>
    <row r="28" spans="5:9" x14ac:dyDescent="0.25">
      <c r="E28" s="315" t="s">
        <v>1773</v>
      </c>
      <c r="F28" s="282" t="s">
        <v>135</v>
      </c>
    </row>
    <row r="29" spans="5:9" x14ac:dyDescent="0.25">
      <c r="E29" s="315" t="s">
        <v>1772</v>
      </c>
      <c r="F29" s="282" t="s">
        <v>135</v>
      </c>
      <c r="G29" s="282">
        <v>-2815</v>
      </c>
    </row>
    <row r="30" spans="5:9" x14ac:dyDescent="0.25">
      <c r="E30" s="315" t="s">
        <v>1771</v>
      </c>
      <c r="F30" s="282" t="s">
        <v>135</v>
      </c>
      <c r="G30" s="282">
        <v>10443</v>
      </c>
    </row>
    <row r="31" spans="5:9" x14ac:dyDescent="0.25">
      <c r="E31" s="315"/>
    </row>
    <row r="32" spans="5:9" x14ac:dyDescent="0.25">
      <c r="E32" s="315"/>
    </row>
    <row r="33" spans="5:23" x14ac:dyDescent="0.25">
      <c r="E33" s="315" t="s">
        <v>1770</v>
      </c>
    </row>
    <row r="34" spans="5:23" x14ac:dyDescent="0.25">
      <c r="E34" s="315" t="s">
        <v>1769</v>
      </c>
      <c r="F34" s="282" t="s">
        <v>124</v>
      </c>
      <c r="G34" s="308">
        <v>784</v>
      </c>
      <c r="I34" s="282" t="s">
        <v>1768</v>
      </c>
    </row>
    <row r="35" spans="5:23" x14ac:dyDescent="0.25">
      <c r="E35" s="315" t="s">
        <v>530</v>
      </c>
      <c r="F35" s="282" t="s">
        <v>124</v>
      </c>
      <c r="G35" s="308">
        <v>40329</v>
      </c>
      <c r="I35" s="282" t="s">
        <v>1767</v>
      </c>
    </row>
    <row r="36" spans="5:23" x14ac:dyDescent="0.25">
      <c r="E36" s="315" t="s">
        <v>161</v>
      </c>
      <c r="F36" s="282" t="s">
        <v>124</v>
      </c>
      <c r="G36" s="308">
        <f>G35+G34</f>
        <v>41113</v>
      </c>
    </row>
    <row r="37" spans="5:23" x14ac:dyDescent="0.25">
      <c r="E37" s="315"/>
      <c r="G37" s="308"/>
    </row>
    <row r="38" spans="5:23" x14ac:dyDescent="0.25">
      <c r="E38" s="315" t="s">
        <v>1482</v>
      </c>
      <c r="G38" s="308"/>
    </row>
    <row r="39" spans="5:23" x14ac:dyDescent="0.25">
      <c r="E39" s="315" t="s">
        <v>530</v>
      </c>
      <c r="F39" s="282" t="s">
        <v>1138</v>
      </c>
      <c r="G39" s="308">
        <f>212107-92140-626</f>
        <v>119341</v>
      </c>
      <c r="I39" s="282" t="s">
        <v>1766</v>
      </c>
    </row>
    <row r="40" spans="5:23" x14ac:dyDescent="0.25">
      <c r="E40" s="315" t="s">
        <v>1765</v>
      </c>
      <c r="F40" s="282" t="s">
        <v>1138</v>
      </c>
      <c r="G40" s="308">
        <f>96537-2290</f>
        <v>94247</v>
      </c>
      <c r="I40" s="282" t="s">
        <v>1764</v>
      </c>
    </row>
    <row r="41" spans="5:23" x14ac:dyDescent="0.25">
      <c r="E41" s="315" t="s">
        <v>116</v>
      </c>
      <c r="F41" s="282" t="s">
        <v>1138</v>
      </c>
      <c r="G41" s="308">
        <f>G40+G39</f>
        <v>213588</v>
      </c>
    </row>
    <row r="42" spans="5:23" x14ac:dyDescent="0.25">
      <c r="E42" s="315"/>
      <c r="G42" s="308"/>
      <c r="W42" s="313"/>
    </row>
    <row r="43" spans="5:23" x14ac:dyDescent="0.25">
      <c r="E43" s="315"/>
      <c r="G43" s="308"/>
      <c r="W43" s="313"/>
    </row>
    <row r="44" spans="5:23" x14ac:dyDescent="0.25">
      <c r="E44" s="315" t="s">
        <v>1763</v>
      </c>
      <c r="G44" s="308"/>
    </row>
    <row r="45" spans="5:23" x14ac:dyDescent="0.25">
      <c r="E45" s="315" t="s">
        <v>1757</v>
      </c>
      <c r="G45" s="308">
        <f>G22*G36/G35</f>
        <v>10086.340400208286</v>
      </c>
      <c r="H45" s="282" t="s">
        <v>1762</v>
      </c>
    </row>
    <row r="46" spans="5:23" x14ac:dyDescent="0.25">
      <c r="E46" s="315" t="s">
        <v>1761</v>
      </c>
      <c r="G46" s="308">
        <f>G23+G25</f>
        <v>608</v>
      </c>
      <c r="H46" s="282" t="s">
        <v>1760</v>
      </c>
      <c r="W46" s="313"/>
    </row>
    <row r="47" spans="5:23" x14ac:dyDescent="0.25">
      <c r="E47" s="315" t="s">
        <v>1755</v>
      </c>
      <c r="G47" s="308">
        <f>G24*G41/G39</f>
        <v>14851.167863517148</v>
      </c>
      <c r="H47" s="282" t="s">
        <v>1759</v>
      </c>
      <c r="W47" s="313"/>
    </row>
    <row r="48" spans="5:23" x14ac:dyDescent="0.25">
      <c r="E48" s="315" t="s">
        <v>116</v>
      </c>
      <c r="G48" s="308">
        <f>SUM(G45:G47)</f>
        <v>25545.508263725435</v>
      </c>
    </row>
    <row r="49" spans="4:23" x14ac:dyDescent="0.25">
      <c r="E49" s="315" t="s">
        <v>1548</v>
      </c>
      <c r="G49" s="308">
        <f>G10-G48</f>
        <v>16089.510562881547</v>
      </c>
      <c r="W49" s="313"/>
    </row>
    <row r="50" spans="4:23" x14ac:dyDescent="0.25">
      <c r="E50" s="315" t="s">
        <v>1758</v>
      </c>
      <c r="G50" s="308"/>
      <c r="W50" s="313"/>
    </row>
    <row r="51" spans="4:23" x14ac:dyDescent="0.25">
      <c r="E51" s="315" t="s">
        <v>1757</v>
      </c>
      <c r="G51" s="308">
        <f>G$49/3+G45</f>
        <v>15449.51058783547</v>
      </c>
      <c r="H51" s="278">
        <f>G51/$G$10</f>
        <v>0.37107009972005617</v>
      </c>
      <c r="W51" s="313"/>
    </row>
    <row r="52" spans="4:23" x14ac:dyDescent="0.25">
      <c r="E52" s="315" t="s">
        <v>1756</v>
      </c>
      <c r="G52" s="308">
        <f>G$49/3+G46</f>
        <v>5971.1701876271827</v>
      </c>
      <c r="H52" s="278">
        <f>G52/$G$10</f>
        <v>0.14341701663435513</v>
      </c>
      <c r="W52" s="313"/>
    </row>
    <row r="53" spans="4:23" x14ac:dyDescent="0.25">
      <c r="E53" s="315" t="s">
        <v>1755</v>
      </c>
      <c r="G53" s="308">
        <f>G$49/3+G47</f>
        <v>20214.338051144332</v>
      </c>
      <c r="H53" s="278">
        <f>G53/$G$10</f>
        <v>0.48551288364558876</v>
      </c>
    </row>
    <row r="54" spans="4:23" x14ac:dyDescent="0.25">
      <c r="E54" s="315"/>
    </row>
    <row r="55" spans="4:23" x14ac:dyDescent="0.25">
      <c r="E55" s="315"/>
      <c r="J55" s="315" t="s">
        <v>163</v>
      </c>
      <c r="K55" s="282">
        <v>60</v>
      </c>
      <c r="L55" s="315" t="s">
        <v>1754</v>
      </c>
      <c r="M55" s="282">
        <f>M74/L73</f>
        <v>0.74295187856469103</v>
      </c>
    </row>
    <row r="56" spans="4:23" x14ac:dyDescent="0.25">
      <c r="E56" s="315" t="s">
        <v>1482</v>
      </c>
      <c r="J56" s="315" t="s">
        <v>1753</v>
      </c>
      <c r="K56" s="328">
        <v>8.2000000000000003E-2</v>
      </c>
      <c r="W56" s="313"/>
    </row>
    <row r="57" spans="4:23" s="324" customFormat="1" ht="60" x14ac:dyDescent="0.25">
      <c r="E57" s="325" t="s">
        <v>384</v>
      </c>
      <c r="F57" s="325" t="s">
        <v>1747</v>
      </c>
      <c r="G57" s="325" t="s">
        <v>1752</v>
      </c>
      <c r="H57" s="325" t="s">
        <v>1751</v>
      </c>
      <c r="I57" s="325" t="s">
        <v>166</v>
      </c>
      <c r="J57" s="327">
        <f>PMT(8.2%,60,-1,0,1)</f>
        <v>7.6461363904318166E-2</v>
      </c>
      <c r="K57" s="325" t="s">
        <v>1745</v>
      </c>
      <c r="L57" s="325" t="s">
        <v>1744</v>
      </c>
      <c r="M57" s="325" t="s">
        <v>1743</v>
      </c>
      <c r="N57" s="325" t="s">
        <v>1742</v>
      </c>
      <c r="O57" s="325" t="s">
        <v>166</v>
      </c>
      <c r="P57" s="325" t="s">
        <v>1739</v>
      </c>
      <c r="Q57" s="325" t="s">
        <v>1750</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558</v>
      </c>
      <c r="M74" s="308">
        <f>G9</f>
        <v>34740.326266525561</v>
      </c>
      <c r="P74" s="308">
        <f>G14</f>
        <v>23691.204195941154</v>
      </c>
    </row>
    <row r="76" spans="4:18" x14ac:dyDescent="0.25">
      <c r="E76" s="315" t="s">
        <v>129</v>
      </c>
      <c r="F76" s="315"/>
      <c r="G76" s="315"/>
      <c r="H76" s="315"/>
      <c r="I76" s="315"/>
      <c r="J76" s="315"/>
      <c r="K76" s="315"/>
      <c r="L76" s="315"/>
      <c r="M76" s="315">
        <v>2012</v>
      </c>
      <c r="N76" s="315" t="s">
        <v>1742</v>
      </c>
      <c r="O76" s="315"/>
      <c r="P76" s="315"/>
      <c r="Q76" s="315" t="s">
        <v>1749</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558</v>
      </c>
      <c r="M78" s="308">
        <f>G8</f>
        <v>10262.042713754645</v>
      </c>
      <c r="P78" s="308">
        <f>G13</f>
        <v>6998.2114598990574</v>
      </c>
    </row>
    <row r="80" spans="4:18" x14ac:dyDescent="0.25">
      <c r="E80" s="325" t="s">
        <v>1488</v>
      </c>
      <c r="F80" s="315"/>
      <c r="G80" s="315"/>
      <c r="H80" s="315"/>
      <c r="I80" s="315"/>
      <c r="J80" s="315"/>
      <c r="K80" s="315"/>
      <c r="L80" s="315"/>
      <c r="M80" s="315"/>
      <c r="N80" s="315"/>
      <c r="O80" s="315"/>
      <c r="P80" s="315"/>
      <c r="Q80" s="315"/>
      <c r="R80" s="315"/>
    </row>
    <row r="81" spans="4:27" s="324" customFormat="1" ht="60" x14ac:dyDescent="0.25">
      <c r="E81" s="325" t="s">
        <v>1748</v>
      </c>
      <c r="F81" s="325" t="s">
        <v>1747</v>
      </c>
      <c r="G81" s="325" t="s">
        <v>1746</v>
      </c>
      <c r="H81" s="325" t="s">
        <v>1745</v>
      </c>
      <c r="I81" s="325" t="s">
        <v>1744</v>
      </c>
      <c r="J81" s="325" t="s">
        <v>1743</v>
      </c>
      <c r="K81" s="325" t="s">
        <v>1742</v>
      </c>
      <c r="L81" s="325" t="s">
        <v>1741</v>
      </c>
      <c r="M81" s="325" t="s">
        <v>1740</v>
      </c>
      <c r="N81" s="325" t="s">
        <v>1739</v>
      </c>
      <c r="O81" s="325" t="s">
        <v>1738</v>
      </c>
      <c r="P81" s="324" t="s">
        <v>1737</v>
      </c>
      <c r="Q81" s="324" t="s">
        <v>1736</v>
      </c>
      <c r="R81" s="324" t="s">
        <v>120</v>
      </c>
      <c r="S81" s="324" t="s">
        <v>1735</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1334</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1332</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1314</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1309</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558</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1734</v>
      </c>
    </row>
    <row r="110" spans="4:27" x14ac:dyDescent="0.25">
      <c r="D110" s="282" t="s">
        <v>1299</v>
      </c>
      <c r="E110" s="282" t="s">
        <v>1147</v>
      </c>
      <c r="F110" s="282" t="s">
        <v>1147</v>
      </c>
      <c r="G110" s="282" t="s">
        <v>1147</v>
      </c>
      <c r="H110" s="282" t="s">
        <v>1147</v>
      </c>
      <c r="I110" s="282" t="s">
        <v>1147</v>
      </c>
      <c r="J110" s="282">
        <v>376.42410000000001</v>
      </c>
    </row>
    <row r="146" spans="5:12" x14ac:dyDescent="0.25">
      <c r="E146" s="282" t="s">
        <v>1430</v>
      </c>
      <c r="F146" s="282" t="s">
        <v>1147</v>
      </c>
      <c r="G146" s="282" t="s">
        <v>1147</v>
      </c>
      <c r="H146" s="282" t="s">
        <v>1147</v>
      </c>
      <c r="I146" s="282" t="s">
        <v>1147</v>
      </c>
      <c r="J146" s="282" t="s">
        <v>1147</v>
      </c>
      <c r="K146" s="282">
        <v>0</v>
      </c>
      <c r="L146" s="282">
        <v>4.4031000000000002</v>
      </c>
    </row>
    <row r="147" spans="5:12" x14ac:dyDescent="0.25">
      <c r="E147" s="282" t="s">
        <v>291</v>
      </c>
      <c r="F147" s="282" t="s">
        <v>1147</v>
      </c>
      <c r="G147" s="282" t="s">
        <v>1147</v>
      </c>
      <c r="H147" s="282" t="s">
        <v>1147</v>
      </c>
      <c r="I147" s="282" t="s">
        <v>1147</v>
      </c>
      <c r="J147" s="282" t="s">
        <v>1147</v>
      </c>
      <c r="K147" s="282">
        <v>0</v>
      </c>
      <c r="L147" s="282">
        <v>0</v>
      </c>
    </row>
    <row r="148" spans="5:12" x14ac:dyDescent="0.25">
      <c r="E148" s="282" t="s">
        <v>1428</v>
      </c>
      <c r="F148" s="282" t="s">
        <v>1147</v>
      </c>
      <c r="G148" s="282" t="s">
        <v>1147</v>
      </c>
      <c r="H148" s="282" t="s">
        <v>1147</v>
      </c>
      <c r="I148" s="282" t="s">
        <v>1147</v>
      </c>
      <c r="J148" s="282" t="s">
        <v>1147</v>
      </c>
      <c r="K148" s="282">
        <v>0</v>
      </c>
      <c r="L148" s="282">
        <v>4.4031000000000002</v>
      </c>
    </row>
    <row r="149" spans="5:12" x14ac:dyDescent="0.25">
      <c r="E149" s="282" t="s">
        <v>1426</v>
      </c>
      <c r="F149" s="282" t="s">
        <v>1147</v>
      </c>
      <c r="G149" s="282" t="s">
        <v>1147</v>
      </c>
      <c r="H149" s="282" t="s">
        <v>1147</v>
      </c>
      <c r="I149" s="282" t="s">
        <v>1147</v>
      </c>
      <c r="J149" s="282" t="s">
        <v>1147</v>
      </c>
      <c r="K149" s="282">
        <v>0</v>
      </c>
      <c r="L149" s="282">
        <v>0</v>
      </c>
    </row>
    <row r="150" spans="5:12" x14ac:dyDescent="0.25">
      <c r="E150" s="282" t="s">
        <v>252</v>
      </c>
      <c r="F150" s="282" t="s">
        <v>1147</v>
      </c>
      <c r="G150" s="282" t="s">
        <v>1147</v>
      </c>
      <c r="H150" s="282" t="s">
        <v>1147</v>
      </c>
      <c r="I150" s="282" t="s">
        <v>1147</v>
      </c>
      <c r="J150" s="282" t="s">
        <v>1147</v>
      </c>
      <c r="K150" s="282">
        <v>0</v>
      </c>
      <c r="L150" s="282">
        <v>0</v>
      </c>
    </row>
    <row r="151" spans="5:12" x14ac:dyDescent="0.25">
      <c r="E151" s="282" t="s">
        <v>1423</v>
      </c>
      <c r="F151" s="282" t="s">
        <v>1147</v>
      </c>
      <c r="G151" s="282" t="s">
        <v>1147</v>
      </c>
      <c r="H151" s="282" t="s">
        <v>1147</v>
      </c>
      <c r="I151" s="282" t="s">
        <v>1147</v>
      </c>
      <c r="J151" s="282" t="s">
        <v>1147</v>
      </c>
      <c r="K151" s="282">
        <v>0</v>
      </c>
      <c r="L151" s="282">
        <v>4.4031000000000002</v>
      </c>
    </row>
    <row r="152" spans="5:12" x14ac:dyDescent="0.25">
      <c r="E152" s="282" t="s">
        <v>289</v>
      </c>
      <c r="F152" s="282" t="s">
        <v>1147</v>
      </c>
      <c r="G152" s="282" t="s">
        <v>1147</v>
      </c>
      <c r="H152" s="282" t="s">
        <v>1147</v>
      </c>
      <c r="I152" s="282" t="s">
        <v>1147</v>
      </c>
      <c r="J152" s="282" t="s">
        <v>1147</v>
      </c>
      <c r="K152" s="282">
        <v>0</v>
      </c>
      <c r="L152" s="282">
        <v>0</v>
      </c>
    </row>
    <row r="153" spans="5:12" x14ac:dyDescent="0.25">
      <c r="E153" s="282" t="s">
        <v>1421</v>
      </c>
      <c r="F153" s="282" t="s">
        <v>1147</v>
      </c>
      <c r="G153" s="282" t="s">
        <v>1147</v>
      </c>
      <c r="H153" s="282" t="s">
        <v>1147</v>
      </c>
      <c r="I153" s="282" t="s">
        <v>1147</v>
      </c>
      <c r="J153" s="282" t="s">
        <v>1147</v>
      </c>
      <c r="K153" s="282">
        <v>0</v>
      </c>
      <c r="L153" s="282">
        <v>4.4031000000000002</v>
      </c>
    </row>
    <row r="154" spans="5:12" x14ac:dyDescent="0.25">
      <c r="E154" s="282" t="s">
        <v>1419</v>
      </c>
      <c r="F154" s="282" t="s">
        <v>1147</v>
      </c>
      <c r="G154" s="282" t="s">
        <v>1147</v>
      </c>
      <c r="H154" s="282" t="s">
        <v>1147</v>
      </c>
      <c r="I154" s="282" t="s">
        <v>1147</v>
      </c>
      <c r="J154" s="282" t="s">
        <v>1147</v>
      </c>
      <c r="K154" s="282">
        <v>0</v>
      </c>
      <c r="L154" s="282">
        <v>4.4031000000000002</v>
      </c>
    </row>
    <row r="155" spans="5:12" x14ac:dyDescent="0.25">
      <c r="E155" s="282" t="s">
        <v>1417</v>
      </c>
      <c r="F155" s="282" t="s">
        <v>1147</v>
      </c>
      <c r="G155" s="282" t="s">
        <v>1147</v>
      </c>
      <c r="H155" s="282" t="s">
        <v>1147</v>
      </c>
      <c r="I155" s="282" t="s">
        <v>1147</v>
      </c>
      <c r="J155" s="282" t="s">
        <v>1147</v>
      </c>
      <c r="K155" s="282">
        <v>0</v>
      </c>
      <c r="L155" s="282">
        <v>0</v>
      </c>
    </row>
    <row r="156" spans="5:12" x14ac:dyDescent="0.25">
      <c r="E156" s="282" t="s">
        <v>317</v>
      </c>
      <c r="F156" s="282" t="s">
        <v>1147</v>
      </c>
      <c r="G156" s="282" t="s">
        <v>1147</v>
      </c>
      <c r="H156" s="282" t="s">
        <v>1147</v>
      </c>
      <c r="I156" s="282" t="s">
        <v>1147</v>
      </c>
      <c r="J156" s="282" t="s">
        <v>1147</v>
      </c>
      <c r="K156" s="282">
        <v>0</v>
      </c>
      <c r="L156" s="282">
        <v>20.277799999999999</v>
      </c>
    </row>
    <row r="157" spans="5:12" x14ac:dyDescent="0.25">
      <c r="E157" s="282" t="s">
        <v>323</v>
      </c>
      <c r="F157" s="282" t="s">
        <v>1147</v>
      </c>
      <c r="G157" s="282" t="s">
        <v>1147</v>
      </c>
      <c r="H157" s="282" t="s">
        <v>1147</v>
      </c>
      <c r="I157" s="282" t="s">
        <v>1147</v>
      </c>
      <c r="J157" s="282" t="s">
        <v>1147</v>
      </c>
      <c r="K157" s="282">
        <v>0</v>
      </c>
      <c r="L157" s="282">
        <v>20.277799999999999</v>
      </c>
    </row>
    <row r="158" spans="5:12" x14ac:dyDescent="0.25">
      <c r="E158" s="282" t="s">
        <v>315</v>
      </c>
      <c r="F158" s="282" t="s">
        <v>1147</v>
      </c>
      <c r="G158" s="282" t="s">
        <v>1147</v>
      </c>
      <c r="H158" s="282" t="s">
        <v>1147</v>
      </c>
      <c r="I158" s="282" t="s">
        <v>1147</v>
      </c>
      <c r="J158" s="282" t="s">
        <v>1147</v>
      </c>
      <c r="K158" s="282">
        <v>0</v>
      </c>
      <c r="L158" s="282">
        <v>20.277799999999999</v>
      </c>
    </row>
    <row r="159" spans="5:12" x14ac:dyDescent="0.25">
      <c r="E159" s="282" t="s">
        <v>321</v>
      </c>
      <c r="F159" s="282" t="s">
        <v>1147</v>
      </c>
      <c r="G159" s="282" t="s">
        <v>1147</v>
      </c>
      <c r="H159" s="282" t="s">
        <v>1147</v>
      </c>
      <c r="I159" s="282" t="s">
        <v>1147</v>
      </c>
      <c r="J159" s="282" t="s">
        <v>1147</v>
      </c>
      <c r="K159" s="282">
        <v>0</v>
      </c>
      <c r="L159" s="282">
        <v>20.277799999999999</v>
      </c>
    </row>
    <row r="160" spans="5:12" x14ac:dyDescent="0.25">
      <c r="E160" s="282" t="s">
        <v>313</v>
      </c>
      <c r="F160" s="282" t="s">
        <v>1147</v>
      </c>
      <c r="G160" s="282" t="s">
        <v>1147</v>
      </c>
      <c r="H160" s="282" t="s">
        <v>1147</v>
      </c>
      <c r="I160" s="282" t="s">
        <v>1147</v>
      </c>
      <c r="J160" s="282" t="s">
        <v>1147</v>
      </c>
      <c r="K160" s="282">
        <v>0</v>
      </c>
      <c r="L160" s="282">
        <v>20.277799999999999</v>
      </c>
    </row>
    <row r="161" spans="5:12" x14ac:dyDescent="0.25">
      <c r="E161" s="282" t="s">
        <v>1332</v>
      </c>
      <c r="F161" s="282" t="s">
        <v>1147</v>
      </c>
      <c r="G161" s="282" t="s">
        <v>1147</v>
      </c>
      <c r="H161" s="282" t="s">
        <v>1147</v>
      </c>
      <c r="I161" s="282" t="s">
        <v>1147</v>
      </c>
      <c r="J161" s="282" t="s">
        <v>1147</v>
      </c>
      <c r="K161" s="282">
        <v>0</v>
      </c>
      <c r="L161" s="282">
        <v>20.277799999999999</v>
      </c>
    </row>
    <row r="162" spans="5:12" x14ac:dyDescent="0.25">
      <c r="E162" s="282" t="s">
        <v>295</v>
      </c>
      <c r="F162" s="282" t="s">
        <v>1147</v>
      </c>
      <c r="G162" s="282" t="s">
        <v>1147</v>
      </c>
      <c r="H162" s="282" t="s">
        <v>1147</v>
      </c>
      <c r="I162" s="282" t="s">
        <v>1147</v>
      </c>
      <c r="J162" s="282" t="s">
        <v>1147</v>
      </c>
      <c r="K162" s="282">
        <v>0</v>
      </c>
      <c r="L162" s="282">
        <v>20.277799999999999</v>
      </c>
    </row>
    <row r="163" spans="5:12" x14ac:dyDescent="0.25">
      <c r="E163" s="282" t="s">
        <v>311</v>
      </c>
      <c r="F163" s="282" t="s">
        <v>1147</v>
      </c>
      <c r="G163" s="282" t="s">
        <v>1147</v>
      </c>
      <c r="H163" s="282" t="s">
        <v>1147</v>
      </c>
      <c r="I163" s="282" t="s">
        <v>1147</v>
      </c>
      <c r="J163" s="282" t="s">
        <v>1147</v>
      </c>
      <c r="K163" s="282">
        <v>0</v>
      </c>
      <c r="L163" s="282">
        <v>20.277799999999999</v>
      </c>
    </row>
    <row r="164" spans="5:12" x14ac:dyDescent="0.25">
      <c r="E164" s="282" t="s">
        <v>319</v>
      </c>
      <c r="F164" s="282" t="s">
        <v>1147</v>
      </c>
      <c r="G164" s="282" t="s">
        <v>1147</v>
      </c>
      <c r="H164" s="282" t="s">
        <v>1147</v>
      </c>
      <c r="I164" s="282" t="s">
        <v>1147</v>
      </c>
      <c r="J164" s="282" t="s">
        <v>1147</v>
      </c>
      <c r="K164" s="282">
        <v>0</v>
      </c>
      <c r="L164" s="282">
        <v>20.277799999999999</v>
      </c>
    </row>
    <row r="165" spans="5:12" x14ac:dyDescent="0.25">
      <c r="E165" s="282" t="s">
        <v>309</v>
      </c>
      <c r="F165" s="282" t="s">
        <v>1147</v>
      </c>
      <c r="G165" s="282" t="s">
        <v>1147</v>
      </c>
      <c r="H165" s="282" t="s">
        <v>1147</v>
      </c>
      <c r="I165" s="282" t="s">
        <v>1147</v>
      </c>
      <c r="J165" s="282" t="s">
        <v>1147</v>
      </c>
      <c r="K165" s="282">
        <v>0</v>
      </c>
      <c r="L165" s="282">
        <v>20.277799999999999</v>
      </c>
    </row>
    <row r="166" spans="5:12" x14ac:dyDescent="0.25">
      <c r="E166" s="282" t="s">
        <v>307</v>
      </c>
      <c r="F166" s="282" t="s">
        <v>1147</v>
      </c>
      <c r="G166" s="282" t="s">
        <v>1147</v>
      </c>
      <c r="H166" s="282" t="s">
        <v>1147</v>
      </c>
      <c r="I166" s="282" t="s">
        <v>1147</v>
      </c>
      <c r="J166" s="282" t="s">
        <v>1147</v>
      </c>
      <c r="K166" s="282">
        <v>0</v>
      </c>
      <c r="L166" s="282">
        <v>20.277799999999999</v>
      </c>
    </row>
    <row r="167" spans="5:12" x14ac:dyDescent="0.25">
      <c r="E167" s="282" t="s">
        <v>305</v>
      </c>
      <c r="F167" s="282" t="s">
        <v>1147</v>
      </c>
      <c r="G167" s="282" t="s">
        <v>1147</v>
      </c>
      <c r="H167" s="282" t="s">
        <v>1147</v>
      </c>
      <c r="I167" s="282" t="s">
        <v>1147</v>
      </c>
      <c r="J167" s="282" t="s">
        <v>1147</v>
      </c>
      <c r="K167" s="282">
        <v>0</v>
      </c>
      <c r="L167" s="282">
        <v>20.277799999999999</v>
      </c>
    </row>
    <row r="168" spans="5:12" x14ac:dyDescent="0.25">
      <c r="E168" s="282" t="s">
        <v>303</v>
      </c>
      <c r="F168" s="282" t="s">
        <v>1147</v>
      </c>
      <c r="G168" s="282" t="s">
        <v>1147</v>
      </c>
      <c r="H168" s="282" t="s">
        <v>1147</v>
      </c>
      <c r="I168" s="282" t="s">
        <v>1147</v>
      </c>
      <c r="J168" s="282" t="s">
        <v>1147</v>
      </c>
      <c r="K168" s="282">
        <v>0</v>
      </c>
      <c r="L168" s="282">
        <v>20.277799999999999</v>
      </c>
    </row>
    <row r="169" spans="5:12" x14ac:dyDescent="0.25">
      <c r="E169" s="282" t="s">
        <v>301</v>
      </c>
      <c r="F169" s="282" t="s">
        <v>1147</v>
      </c>
      <c r="G169" s="282" t="s">
        <v>1147</v>
      </c>
      <c r="H169" s="282" t="s">
        <v>1147</v>
      </c>
      <c r="I169" s="282" t="s">
        <v>1147</v>
      </c>
      <c r="J169" s="282" t="s">
        <v>1147</v>
      </c>
      <c r="K169" s="282">
        <v>0</v>
      </c>
      <c r="L169" s="282">
        <v>20.277799999999999</v>
      </c>
    </row>
    <row r="170" spans="5:12" x14ac:dyDescent="0.25">
      <c r="E170" s="282" t="s">
        <v>299</v>
      </c>
      <c r="F170" s="282" t="s">
        <v>1147</v>
      </c>
      <c r="G170" s="282" t="s">
        <v>1147</v>
      </c>
      <c r="H170" s="282" t="s">
        <v>1147</v>
      </c>
      <c r="I170" s="282" t="s">
        <v>1147</v>
      </c>
      <c r="J170" s="282" t="s">
        <v>1147</v>
      </c>
      <c r="K170" s="282">
        <v>0</v>
      </c>
      <c r="L170" s="282">
        <v>20.277799999999999</v>
      </c>
    </row>
    <row r="171" spans="5:12" x14ac:dyDescent="0.25">
      <c r="E171" s="282" t="s">
        <v>280</v>
      </c>
      <c r="F171" s="282" t="s">
        <v>1147</v>
      </c>
      <c r="G171" s="282" t="s">
        <v>1147</v>
      </c>
      <c r="H171" s="282" t="s">
        <v>1147</v>
      </c>
      <c r="I171" s="282" t="s">
        <v>1147</v>
      </c>
      <c r="J171" s="282" t="s">
        <v>1147</v>
      </c>
      <c r="K171" s="282">
        <v>0</v>
      </c>
      <c r="L171" s="282">
        <v>20.277799999999999</v>
      </c>
    </row>
    <row r="172" spans="5:12" x14ac:dyDescent="0.25">
      <c r="E172" s="282" t="s">
        <v>282</v>
      </c>
      <c r="F172" s="282" t="s">
        <v>1147</v>
      </c>
      <c r="G172" s="282" t="s">
        <v>1147</v>
      </c>
      <c r="H172" s="282" t="s">
        <v>1147</v>
      </c>
      <c r="I172" s="282" t="s">
        <v>1147</v>
      </c>
      <c r="J172" s="282" t="s">
        <v>1147</v>
      </c>
      <c r="K172" s="282">
        <v>0</v>
      </c>
      <c r="L172" s="282">
        <v>20.277799999999999</v>
      </c>
    </row>
    <row r="173" spans="5:12" x14ac:dyDescent="0.25">
      <c r="E173" s="282" t="s">
        <v>1316</v>
      </c>
      <c r="F173" s="282" t="s">
        <v>1147</v>
      </c>
      <c r="G173" s="282" t="s">
        <v>1147</v>
      </c>
      <c r="H173" s="282" t="s">
        <v>1147</v>
      </c>
      <c r="I173" s="282" t="s">
        <v>1147</v>
      </c>
      <c r="J173" s="282" t="s">
        <v>1147</v>
      </c>
      <c r="K173" s="282">
        <v>0</v>
      </c>
      <c r="L173" s="282">
        <v>20.277799999999999</v>
      </c>
    </row>
    <row r="174" spans="5:12" x14ac:dyDescent="0.25">
      <c r="E174" s="282" t="s">
        <v>1314</v>
      </c>
      <c r="F174" s="282" t="s">
        <v>1147</v>
      </c>
      <c r="G174" s="282" t="s">
        <v>1147</v>
      </c>
      <c r="H174" s="282" t="s">
        <v>1147</v>
      </c>
      <c r="I174" s="282" t="s">
        <v>1147</v>
      </c>
      <c r="J174" s="282" t="s">
        <v>1147</v>
      </c>
      <c r="K174" s="282">
        <v>0</v>
      </c>
      <c r="L174" s="282">
        <v>20.277799999999999</v>
      </c>
    </row>
    <row r="175" spans="5:12" x14ac:dyDescent="0.25">
      <c r="E175" s="282" t="s">
        <v>297</v>
      </c>
      <c r="F175" s="282" t="s">
        <v>1147</v>
      </c>
      <c r="G175" s="282" t="s">
        <v>1147</v>
      </c>
      <c r="H175" s="282" t="s">
        <v>1147</v>
      </c>
      <c r="I175" s="282" t="s">
        <v>1147</v>
      </c>
      <c r="J175" s="282" t="s">
        <v>1147</v>
      </c>
      <c r="K175" s="282">
        <v>0</v>
      </c>
      <c r="L175" s="282">
        <v>20.277799999999999</v>
      </c>
    </row>
    <row r="176" spans="5:12" x14ac:dyDescent="0.25">
      <c r="E176" s="282" t="s">
        <v>1305</v>
      </c>
      <c r="F176" s="282" t="s">
        <v>1147</v>
      </c>
      <c r="G176" s="282" t="s">
        <v>1147</v>
      </c>
      <c r="H176" s="282" t="s">
        <v>1147</v>
      </c>
      <c r="I176" s="282" t="s">
        <v>1147</v>
      </c>
      <c r="J176" s="282" t="s">
        <v>1147</v>
      </c>
      <c r="K176" s="282">
        <v>0</v>
      </c>
      <c r="L176" s="282">
        <v>6.55</v>
      </c>
    </row>
    <row r="177" spans="5:17" x14ac:dyDescent="0.25">
      <c r="E177" s="282" t="s">
        <v>1303</v>
      </c>
      <c r="F177" s="282" t="s">
        <v>1147</v>
      </c>
      <c r="G177" s="282" t="s">
        <v>1147</v>
      </c>
      <c r="H177" s="282" t="s">
        <v>1147</v>
      </c>
      <c r="I177" s="282" t="s">
        <v>1147</v>
      </c>
      <c r="J177" s="282" t="s">
        <v>1147</v>
      </c>
      <c r="K177" s="282">
        <v>0</v>
      </c>
      <c r="L177" s="282">
        <v>2.8018999999999998</v>
      </c>
    </row>
    <row r="178" spans="5:17" x14ac:dyDescent="0.25">
      <c r="E178" s="282" t="s">
        <v>1286</v>
      </c>
      <c r="F178" s="282" t="s">
        <v>1147</v>
      </c>
      <c r="G178" s="282" t="s">
        <v>1147</v>
      </c>
      <c r="H178" s="282" t="s">
        <v>1147</v>
      </c>
      <c r="I178" s="282" t="s">
        <v>1147</v>
      </c>
      <c r="J178" s="282" t="s">
        <v>1147</v>
      </c>
      <c r="K178" s="282">
        <v>0</v>
      </c>
      <c r="L178" s="282">
        <v>0</v>
      </c>
    </row>
    <row r="179" spans="5:17" x14ac:dyDescent="0.25">
      <c r="E179" s="282" t="s">
        <v>287</v>
      </c>
      <c r="F179" s="282" t="s">
        <v>1147</v>
      </c>
      <c r="G179" s="282" t="s">
        <v>1147</v>
      </c>
      <c r="H179" s="282" t="s">
        <v>1147</v>
      </c>
      <c r="I179" s="282" t="s">
        <v>1147</v>
      </c>
      <c r="J179" s="282" t="s">
        <v>1147</v>
      </c>
      <c r="K179" s="282">
        <v>0</v>
      </c>
      <c r="L179" s="282">
        <v>0</v>
      </c>
    </row>
    <row r="180" spans="5:17" x14ac:dyDescent="0.25">
      <c r="E180" s="282" t="s">
        <v>293</v>
      </c>
      <c r="F180" s="282" t="s">
        <v>1147</v>
      </c>
      <c r="G180" s="282" t="s">
        <v>1147</v>
      </c>
      <c r="H180" s="282" t="s">
        <v>1147</v>
      </c>
      <c r="I180" s="282" t="s">
        <v>1147</v>
      </c>
      <c r="J180" s="282" t="s">
        <v>1147</v>
      </c>
      <c r="K180" s="282">
        <v>0</v>
      </c>
      <c r="L180" s="282">
        <v>0</v>
      </c>
    </row>
    <row r="182" spans="5:17" x14ac:dyDescent="0.25">
      <c r="Q182" s="282" t="s">
        <v>1733</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1332</v>
      </c>
      <c r="Q189" s="282" t="s">
        <v>1732</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1316</v>
      </c>
      <c r="Q201" s="282">
        <v>0.09</v>
      </c>
    </row>
    <row r="202" spans="15:17" x14ac:dyDescent="0.25">
      <c r="O202" s="282" t="s">
        <v>138</v>
      </c>
      <c r="P202" s="282" t="s">
        <v>1314</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1334</v>
      </c>
      <c r="Q217" s="282">
        <v>30</v>
      </c>
    </row>
    <row r="218" spans="15:17" x14ac:dyDescent="0.25">
      <c r="O218" s="282" t="s">
        <v>1332</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1316</v>
      </c>
      <c r="P229" s="282">
        <v>10</v>
      </c>
      <c r="Q229" s="282">
        <v>10</v>
      </c>
    </row>
    <row r="230" spans="15:17" x14ac:dyDescent="0.25">
      <c r="O230" s="282" t="s">
        <v>1314</v>
      </c>
      <c r="P230" s="282">
        <v>10</v>
      </c>
      <c r="Q230" s="282">
        <v>10</v>
      </c>
    </row>
    <row r="231" spans="15:17" x14ac:dyDescent="0.25">
      <c r="O231" s="282" t="s">
        <v>1309</v>
      </c>
      <c r="Q231" s="282">
        <v>50</v>
      </c>
    </row>
    <row r="232" spans="15:17" x14ac:dyDescent="0.25">
      <c r="O232" s="282" t="s">
        <v>297</v>
      </c>
      <c r="P232" s="282">
        <v>16</v>
      </c>
      <c r="Q232" s="282">
        <v>16</v>
      </c>
    </row>
    <row r="233" spans="15:17" x14ac:dyDescent="0.25">
      <c r="O233" s="282" t="s">
        <v>1321</v>
      </c>
      <c r="Q233" s="282">
        <v>50</v>
      </c>
    </row>
    <row r="234" spans="15:17" x14ac:dyDescent="0.25">
      <c r="O234" s="282" t="s">
        <v>1320</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1793</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1808</v>
      </c>
    </row>
    <row r="2" spans="1:27" ht="15.75" customHeight="1" x14ac:dyDescent="0.2">
      <c r="A2" s="331" t="s">
        <v>1792</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1795</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1807</v>
      </c>
    </row>
    <row r="6" spans="1:27" x14ac:dyDescent="0.2">
      <c r="A6" s="341" t="s">
        <v>1806</v>
      </c>
    </row>
    <row r="7" spans="1:27" x14ac:dyDescent="0.2">
      <c r="A7" s="48" t="s">
        <v>1805</v>
      </c>
    </row>
    <row r="9" spans="1:27" x14ac:dyDescent="0.2">
      <c r="A9" s="48" t="s">
        <v>1804</v>
      </c>
    </row>
    <row r="10" spans="1:27" ht="15" x14ac:dyDescent="0.25">
      <c r="B10" s="340">
        <v>2016</v>
      </c>
      <c r="C10" s="48" t="s">
        <v>1802</v>
      </c>
    </row>
    <row r="11" spans="1:27" x14ac:dyDescent="0.2">
      <c r="A11" s="48" t="s">
        <v>1803</v>
      </c>
    </row>
    <row r="12" spans="1:27" ht="15" x14ac:dyDescent="0.25">
      <c r="B12" s="339">
        <v>2015</v>
      </c>
      <c r="C12" s="48" t="s">
        <v>1802</v>
      </c>
    </row>
    <row r="13" spans="1:27" x14ac:dyDescent="0.2">
      <c r="A13" s="48" t="s">
        <v>1801</v>
      </c>
    </row>
    <row r="14" spans="1:27" ht="15" x14ac:dyDescent="0.25">
      <c r="A14" s="48" t="s">
        <v>1800</v>
      </c>
      <c r="B14" s="338">
        <f>1/B15</f>
        <v>0.94037478705281097</v>
      </c>
    </row>
    <row r="15" spans="1:27" ht="15" x14ac:dyDescent="0.25">
      <c r="A15" s="48" t="s">
        <v>1799</v>
      </c>
      <c r="B15" s="337">
        <f>SUMIF($B$1:$Y$1,B10,$B$3:$Y$3)</f>
        <v>1.0634057971014492</v>
      </c>
    </row>
    <row r="17" spans="1:21" x14ac:dyDescent="0.2">
      <c r="A17" s="48" t="s">
        <v>1798</v>
      </c>
    </row>
    <row r="18" spans="1:21" ht="15.75" customHeight="1" x14ac:dyDescent="0.2">
      <c r="A18" s="332" t="s">
        <v>1793</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1797</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1795</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1796</v>
      </c>
    </row>
    <row r="24" spans="1:21" ht="15.75" customHeight="1" x14ac:dyDescent="0.2">
      <c r="A24" s="332" t="s">
        <v>1793</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1792</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1795</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1794</v>
      </c>
    </row>
    <row r="30" spans="1:21" ht="15.75" customHeight="1" x14ac:dyDescent="0.2">
      <c r="A30" s="332" t="s">
        <v>1793</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1792</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1791</v>
      </c>
      <c r="F33" s="329">
        <v>7.4</v>
      </c>
    </row>
  </sheetData>
  <hyperlinks>
    <hyperlink ref="A6" r:id="rId1" xr:uid="{7182463A-1333-4CA2-A86A-2910760E481F}"/>
  </hyperlinks>
  <pageMargins left="0.75" right="0.75" top="1" bottom="1" header="0.5" footer="0.5"/>
  <pageSetup paperSize="9" orientation="portrait"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ANSv2-692-Home</vt:lpstr>
      <vt:lpstr>Index</vt:lpstr>
      <vt:lpstr>Processes</vt:lpstr>
      <vt:lpstr>ProcDataGenPre2012</vt:lpstr>
      <vt:lpstr>ProcDataGen2012On</vt:lpstr>
      <vt:lpstr>ProcDataIRP</vt:lpstr>
      <vt:lpstr>ProcDataRECostProfiles</vt:lpstr>
      <vt:lpstr>ProcDataTnD</vt:lpstr>
      <vt:lpstr>ProcDataExports</vt:lpstr>
      <vt:lpstr>ProcDataMines</vt:lpstr>
      <vt:lpstr>Commodities</vt:lpstr>
      <vt:lpstr>CommData</vt:lpstr>
      <vt:lpstr>ProcDataRM</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2020-07-31T04:24:30Z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