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1.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2.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threadedComments/threadedComment6.xml" ContentType="application/vnd.ms-excel.threadedcomments+xml"/>
  <Override PartName="/xl/drawings/drawing13.xml" ContentType="application/vnd.openxmlformats-officedocument.drawing+xml"/>
  <Override PartName="/xl/comments10.xml" ContentType="application/vnd.openxmlformats-officedocument.spreadsheetml.comments+xml"/>
  <Override PartName="/xl/threadedComments/threadedComment7.xml" ContentType="application/vnd.ms-excel.threadedcomments+xml"/>
  <Override PartName="/xl/comments11.xml" ContentType="application/vnd.openxmlformats-officedocument.spreadsheetml.comments+xml"/>
  <Override PartName="/xl/threadedComments/threadedComment8.xml" ContentType="application/vnd.ms-excel.threadedcomments+xml"/>
  <Override PartName="/xl/drawings/drawing14.xml" ContentType="application/vnd.openxmlformats-officedocument.drawing+xml"/>
  <Override PartName="/xl/comments12.xml" ContentType="application/vnd.openxmlformats-officedocument.spreadsheetml.comments+xml"/>
  <Override PartName="/xl/threadedComments/threadedComment9.xml" ContentType="application/vnd.ms-excel.threadedcomments+xml"/>
  <Override PartName="/xl/comments13.xml" ContentType="application/vnd.openxmlformats-officedocument.spreadsheetml.comments+xml"/>
  <Override PartName="/xl/threadedComments/threadedComment10.xml" ContentType="application/vnd.ms-excel.threadedcomments+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threadedComments/threadedComment11.xml" ContentType="application/vnd.ms-excel.threadedcomments+xml"/>
  <Override PartName="/xl/drawings/drawing16.xml" ContentType="application/vnd.openxmlformats-officedocument.drawing+xml"/>
  <Override PartName="/xl/comments16.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7.xml" ContentType="application/vnd.openxmlformats-officedocument.drawing+xml"/>
  <Override PartName="/xl/comments17.xml" ContentType="application/vnd.openxmlformats-officedocument.spreadsheetml.comments+xml"/>
  <Override PartName="/xl/threadedComments/threadedComment12.xml" ContentType="application/vnd.ms-excel.threadedcomments+xml"/>
  <Override PartName="/xl/drawings/drawing1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2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2.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2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18.xml" ContentType="application/vnd.openxmlformats-officedocument.spreadsheetml.comments+xml"/>
  <Override PartName="/xl/drawings/drawing2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comments19.xml" ContentType="application/vnd.openxmlformats-officedocument.spreadsheetml.comments+xml"/>
  <Override PartName="/xl/drawings/drawing25.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drawings/drawing26.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drawings/drawing27.xml" ContentType="application/vnd.openxmlformats-officedocument.drawing+xml"/>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28.xml" ContentType="application/vnd.openxmlformats-officedocument.drawing+xml"/>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drawings/drawing29.xml" ContentType="application/vnd.openxmlformats-officedocument.drawing+xml"/>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drawings/drawing30.xml" ContentType="application/vnd.openxmlformats-officedocument.drawing+xml"/>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drawings/drawing31.xml" ContentType="application/vnd.openxmlformats-officedocument.drawing+xml"/>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41BF973B-1A6E-4361-9E0D-48586937F2D3}" xr6:coauthVersionLast="45" xr6:coauthVersionMax="45" xr10:uidLastSave="{00000000-0000-0000-0000-000000000000}"/>
  <bookViews>
    <workbookView xWindow="-120" yWindow="-120" windowWidth="29040" windowHeight="15840" firstSheet="5" activeTab="12" xr2:uid="{1D185B9C-AA1D-4C56-BC4C-EE2F6C8DC541}"/>
    <workbookView xWindow="-120" yWindow="-120" windowWidth="29040" windowHeight="15840" firstSheet="1" activeTab="3" xr2:uid="{5D1188EC-6CF8-4070-8350-EE862CAD68AA}"/>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CostProfiles" sheetId="80" r:id="rId7"/>
    <sheet name="ProcDataTnD" sheetId="81" r:id="rId8"/>
    <sheet name="ProcDataExports" sheetId="100" r:id="rId9"/>
    <sheet name="ProcDataMines" sheetId="82" r:id="rId10"/>
    <sheet name="Commodities" sheetId="77" r:id="rId11"/>
    <sheet name="CommData" sheetId="83" r:id="rId12"/>
    <sheet name="ProcDataRM" sheetId="106" r:id="rId13"/>
    <sheet name="EskomCoalPrice2019" sheetId="84" r:id="rId14"/>
    <sheet name="eskom production 2009-YTD" sheetId="85" r:id="rId15"/>
    <sheet name="eskom fuel 2009-YTD" sheetId="86" r:id="rId16"/>
    <sheet name="HistoricalDispatch" sheetId="87" r:id="rId17"/>
    <sheet name="DecomSchedule" sheetId="88" r:id="rId18"/>
    <sheet name="NERSA2017" sheetId="89" r:id="rId19"/>
    <sheet name="NERSA2018" sheetId="90" r:id="rId20"/>
    <sheet name="EskomCoalNERSACombined" sheetId="91" r:id="rId21"/>
    <sheet name="REIPPP" sheetId="92" r:id="rId22"/>
    <sheet name="IRP Costs" sheetId="93" r:id="rId23"/>
    <sheet name="PWR_Lab" sheetId="94" r:id="rId24"/>
    <sheet name="Lab.Calcs.Assumptions" sheetId="95" r:id="rId25"/>
    <sheet name="SAM" sheetId="96" r:id="rId26"/>
    <sheet name="From SAM" sheetId="97" r:id="rId27"/>
    <sheet name="ElecBY" sheetId="98" r:id="rId28"/>
    <sheet name="Deflator" sheetId="99" r:id="rId29"/>
    <sheet name="ANSv2-692-REGIONS" sheetId="18" state="veryHidden" r:id="rId30"/>
    <sheet name="ANSv2-692-Commodities" sheetId="19" state="veryHidden" r:id="rId31"/>
    <sheet name="ANSv2-692-Processes" sheetId="20" state="veryHidden" r:id="rId32"/>
    <sheet name="ANSv2-692-Constraints" sheetId="23" state="veryHidden" r:id="rId33"/>
    <sheet name="ANSv2-692-CommData" sheetId="21" state="veryHidden" r:id="rId34"/>
    <sheet name="ANSv2-692-ProcData" sheetId="25" state="veryHidden" r:id="rId35"/>
    <sheet name="ANSv2-692-ConstrData" sheetId="24" state="veryHidden" r:id="rId36"/>
    <sheet name="ANSv2-692-ITEMS" sheetId="10" state="veryHidden" r:id="rId37"/>
    <sheet name="ANSv2-692-TS DATA" sheetId="12" state="veryHidden" r:id="rId38"/>
    <sheet name="ANSv2-692-TID DATA" sheetId="13" state="veryHidden" r:id="rId39"/>
    <sheet name="ANSv2-692-TS&amp;TID DATA" sheetId="14" state="veryHidden" r:id="rId40"/>
    <sheet name="ANSv2-692-TS TRADE" sheetId="15" state="veryHidden" r:id="rId41"/>
    <sheet name="ANSv2-692-TID TRADE" sheetId="16" state="veryHidden" r:id="rId42"/>
    <sheet name="ANSv2-692-TS&amp;TID TRADE" sheetId="17" state="veryHidden" r:id="rId43"/>
  </sheets>
  <functionGroups builtInGroupCount="19"/>
  <externalReferences>
    <externalReference r:id="rId44"/>
    <externalReference r:id="rId45"/>
    <externalReference r:id="rId46"/>
    <externalReference r:id="rId47"/>
    <externalReference r:id="rId48"/>
  </externalReferences>
  <definedNames>
    <definedName name="\I" localSheetId="28">#REF!</definedName>
    <definedName name="\I">#REF!</definedName>
    <definedName name="\P" localSheetId="28">#REF!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8" hidden="1">NERSA2017!$A$1:$O$131</definedName>
    <definedName name="_xlnm._FilterDatabase" localSheetId="19" hidden="1">NERSA2018!$A$1:$P$141</definedName>
    <definedName name="aa" localSheetId="28">'[1]Oil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28">#REF!</definedName>
    <definedName name="INIT">#REF!</definedName>
    <definedName name="InvConstraint">#REF!</definedName>
    <definedName name="LEAP" localSheetId="28">#REF!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2"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28">#REF!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28">#REF!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28"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107" i="89" l="1"/>
  <c r="I44" i="106" l="1"/>
  <c r="I43" i="106"/>
  <c r="I42" i="106"/>
  <c r="I41" i="106"/>
  <c r="I40" i="106"/>
  <c r="I39" i="106"/>
  <c r="I37" i="106"/>
  <c r="I34" i="106"/>
  <c r="I33" i="106"/>
  <c r="I32" i="106"/>
  <c r="I29" i="106"/>
  <c r="I28" i="106"/>
  <c r="I27" i="106"/>
  <c r="I25" i="106"/>
  <c r="I24" i="106"/>
  <c r="I23" i="106"/>
  <c r="I22" i="106"/>
  <c r="I21" i="106"/>
  <c r="I20" i="106"/>
  <c r="I19" i="106"/>
  <c r="I18" i="106"/>
  <c r="I17" i="106"/>
  <c r="I16" i="106"/>
  <c r="I15" i="106"/>
  <c r="I14" i="106"/>
  <c r="I13" i="106"/>
  <c r="I12" i="106"/>
  <c r="I11" i="106"/>
  <c r="I10" i="106"/>
  <c r="I9" i="106"/>
  <c r="J44" i="106"/>
  <c r="J43" i="106"/>
  <c r="J42" i="106"/>
  <c r="J41" i="106"/>
  <c r="J40" i="106"/>
  <c r="J39" i="106"/>
  <c r="J37" i="106"/>
  <c r="J34" i="106"/>
  <c r="J33" i="106"/>
  <c r="J32" i="106"/>
  <c r="J29" i="106"/>
  <c r="J28" i="106"/>
  <c r="J27" i="106"/>
  <c r="J25" i="106"/>
  <c r="J24" i="106"/>
  <c r="J23" i="106"/>
  <c r="J22" i="106"/>
  <c r="J21" i="106"/>
  <c r="J20" i="106"/>
  <c r="J19" i="106"/>
  <c r="J18" i="106"/>
  <c r="J17" i="106"/>
  <c r="J16" i="106"/>
  <c r="J15" i="106"/>
  <c r="J14" i="106"/>
  <c r="J13" i="106"/>
  <c r="J12" i="106"/>
  <c r="J11" i="106"/>
  <c r="J10" i="106"/>
  <c r="J9" i="106"/>
  <c r="M43" i="106" l="1"/>
  <c r="K43" i="106"/>
  <c r="L28" i="106"/>
  <c r="M28" i="106"/>
  <c r="L29" i="106"/>
  <c r="M34" i="106"/>
  <c r="M23" i="106"/>
  <c r="M22" i="106"/>
  <c r="M21" i="106"/>
  <c r="M20" i="106"/>
  <c r="M19" i="106"/>
  <c r="M18" i="106"/>
  <c r="M17" i="106"/>
  <c r="M16" i="106"/>
  <c r="M15" i="106"/>
  <c r="M14" i="106"/>
  <c r="M13" i="106"/>
  <c r="M12" i="106"/>
  <c r="M11" i="106"/>
  <c r="M10" i="106"/>
  <c r="M9" i="106"/>
  <c r="L34" i="106"/>
  <c r="L33" i="106"/>
  <c r="L32" i="106"/>
  <c r="L23" i="106"/>
  <c r="L22" i="106"/>
  <c r="L21" i="106"/>
  <c r="L20" i="106"/>
  <c r="L19" i="106"/>
  <c r="L18" i="106"/>
  <c r="L17" i="106"/>
  <c r="L16" i="106"/>
  <c r="L15" i="106"/>
  <c r="L14" i="106"/>
  <c r="L13" i="106"/>
  <c r="L12" i="106"/>
  <c r="L11" i="106"/>
  <c r="L10" i="106"/>
  <c r="L9" i="106"/>
  <c r="K44" i="106"/>
  <c r="K39" i="106"/>
  <c r="K37" i="106"/>
  <c r="K34" i="106"/>
  <c r="S30" i="106"/>
  <c r="F30" i="106"/>
  <c r="E30" i="106"/>
  <c r="D30" i="106"/>
  <c r="C30" i="106"/>
  <c r="B30" i="106"/>
  <c r="K41" i="106"/>
  <c r="K42" i="106"/>
  <c r="K40" i="106"/>
  <c r="S34" i="106"/>
  <c r="S35" i="106"/>
  <c r="S36" i="106"/>
  <c r="S37" i="106"/>
  <c r="S38" i="106"/>
  <c r="S39" i="106"/>
  <c r="S40" i="106"/>
  <c r="S41" i="106"/>
  <c r="S42" i="106"/>
  <c r="S43" i="106"/>
  <c r="K28" i="106"/>
  <c r="K29" i="106"/>
  <c r="K27" i="106"/>
  <c r="U35" i="106" l="1"/>
  <c r="T30" i="106"/>
  <c r="L37" i="106"/>
  <c r="L39" i="106"/>
  <c r="L27" i="106"/>
  <c r="L42" i="106"/>
  <c r="L44" i="106"/>
  <c r="M29" i="106"/>
  <c r="T42" i="106"/>
  <c r="L43" i="106"/>
  <c r="L41" i="106"/>
  <c r="T41" i="106"/>
  <c r="T40" i="106"/>
  <c r="T39" i="106"/>
  <c r="M33" i="106"/>
  <c r="U36" i="106"/>
  <c r="L40" i="106"/>
  <c r="T43" i="106"/>
  <c r="M32" i="106"/>
  <c r="T38" i="106"/>
  <c r="T37" i="106"/>
  <c r="T36" i="106"/>
  <c r="U42" i="106"/>
  <c r="U30" i="106"/>
  <c r="T35" i="106"/>
  <c r="U43" i="106"/>
  <c r="U41" i="106"/>
  <c r="U40" i="106"/>
  <c r="U37" i="106"/>
  <c r="U34" i="106"/>
  <c r="T34" i="106"/>
  <c r="U39" i="106"/>
  <c r="U38" i="106"/>
  <c r="S33" i="106"/>
  <c r="K33" i="106"/>
  <c r="K32" i="106"/>
  <c r="S32" i="106"/>
  <c r="S25" i="106"/>
  <c r="S26" i="106"/>
  <c r="S27" i="106"/>
  <c r="S28" i="106"/>
  <c r="S29" i="106"/>
  <c r="S24" i="106"/>
  <c r="S10" i="106"/>
  <c r="S11" i="106"/>
  <c r="S12" i="106"/>
  <c r="S13" i="106"/>
  <c r="S14" i="106"/>
  <c r="S15" i="106"/>
  <c r="S16" i="106"/>
  <c r="S17" i="106"/>
  <c r="S18" i="106"/>
  <c r="S19" i="106"/>
  <c r="S20" i="106"/>
  <c r="S21" i="106"/>
  <c r="S22" i="106"/>
  <c r="S23" i="106"/>
  <c r="S9" i="106"/>
  <c r="P23" i="106"/>
  <c r="P24" i="106"/>
  <c r="P25" i="106"/>
  <c r="K25" i="106"/>
  <c r="K23" i="106"/>
  <c r="K10" i="106"/>
  <c r="K11" i="106"/>
  <c r="K12" i="106"/>
  <c r="K13" i="106"/>
  <c r="K14" i="106"/>
  <c r="K15" i="106"/>
  <c r="K16" i="106"/>
  <c r="K17" i="106"/>
  <c r="K18" i="106"/>
  <c r="K19" i="106"/>
  <c r="K20" i="106"/>
  <c r="K21" i="106"/>
  <c r="K22" i="106"/>
  <c r="K9" i="106"/>
  <c r="C32" i="106"/>
  <c r="D32" i="106"/>
  <c r="E32" i="106"/>
  <c r="F32" i="106"/>
  <c r="C33" i="106"/>
  <c r="D33" i="106"/>
  <c r="E33" i="106"/>
  <c r="F33" i="106"/>
  <c r="C34" i="106"/>
  <c r="D34" i="106"/>
  <c r="E34" i="106"/>
  <c r="F34" i="106"/>
  <c r="C35" i="106"/>
  <c r="D35" i="106"/>
  <c r="E35" i="106"/>
  <c r="F35" i="106"/>
  <c r="C36" i="106"/>
  <c r="D36" i="106"/>
  <c r="E36" i="106"/>
  <c r="F36" i="106"/>
  <c r="C37" i="106"/>
  <c r="D37" i="106"/>
  <c r="E37" i="106"/>
  <c r="F37" i="106"/>
  <c r="C38" i="106"/>
  <c r="D38" i="106"/>
  <c r="E38" i="106"/>
  <c r="F38" i="106"/>
  <c r="C39" i="106"/>
  <c r="D39" i="106"/>
  <c r="E39" i="106"/>
  <c r="F39" i="106"/>
  <c r="C40" i="106"/>
  <c r="D40" i="106"/>
  <c r="E40" i="106"/>
  <c r="F40" i="106"/>
  <c r="C41" i="106"/>
  <c r="D41" i="106"/>
  <c r="E41" i="106"/>
  <c r="F41" i="106"/>
  <c r="C42" i="106"/>
  <c r="D42" i="106"/>
  <c r="E42" i="106"/>
  <c r="F42" i="106"/>
  <c r="C43" i="106"/>
  <c r="D43" i="106"/>
  <c r="E43" i="106"/>
  <c r="F43" i="106"/>
  <c r="C44" i="106"/>
  <c r="D44" i="106"/>
  <c r="F44" i="106"/>
  <c r="C45" i="106"/>
  <c r="D45" i="106"/>
  <c r="E45" i="106"/>
  <c r="F45" i="106"/>
  <c r="C46" i="106"/>
  <c r="D46" i="106"/>
  <c r="E46" i="106"/>
  <c r="F46" i="106"/>
  <c r="C47" i="106"/>
  <c r="D47" i="106"/>
  <c r="E47" i="106"/>
  <c r="F47" i="106"/>
  <c r="C48" i="106"/>
  <c r="D48" i="106"/>
  <c r="E48" i="106"/>
  <c r="F48" i="106"/>
  <c r="C49" i="106"/>
  <c r="D49" i="106"/>
  <c r="E49" i="106"/>
  <c r="F49" i="106"/>
  <c r="C50" i="106"/>
  <c r="D50" i="106"/>
  <c r="E50" i="106"/>
  <c r="F50" i="106"/>
  <c r="C52" i="106"/>
  <c r="D52" i="106"/>
  <c r="E52" i="106"/>
  <c r="F52" i="106"/>
  <c r="C53" i="106"/>
  <c r="D53" i="106"/>
  <c r="E53" i="106"/>
  <c r="F53" i="106"/>
  <c r="C54" i="106"/>
  <c r="D54" i="106"/>
  <c r="E54" i="106"/>
  <c r="F54" i="106"/>
  <c r="C55" i="106"/>
  <c r="D55" i="106"/>
  <c r="E55" i="106"/>
  <c r="F55" i="106"/>
  <c r="C56" i="106"/>
  <c r="D56" i="106"/>
  <c r="E56" i="106"/>
  <c r="F56" i="106"/>
  <c r="A51" i="106"/>
  <c r="B33" i="106"/>
  <c r="B34" i="106"/>
  <c r="B35" i="106"/>
  <c r="B36" i="106"/>
  <c r="B37" i="106"/>
  <c r="B38" i="106"/>
  <c r="B39" i="106"/>
  <c r="B40" i="106"/>
  <c r="B41" i="106"/>
  <c r="B42" i="106"/>
  <c r="B43" i="106"/>
  <c r="B44" i="106"/>
  <c r="B45" i="106"/>
  <c r="B46" i="106"/>
  <c r="B47" i="106"/>
  <c r="B48" i="106"/>
  <c r="B49" i="106"/>
  <c r="B50" i="106"/>
  <c r="B52" i="106"/>
  <c r="B53" i="106"/>
  <c r="B54" i="106"/>
  <c r="B55" i="106"/>
  <c r="B56" i="106"/>
  <c r="B32" i="106"/>
  <c r="A31" i="106"/>
  <c r="B28" i="106"/>
  <c r="C28" i="106"/>
  <c r="D28" i="106"/>
  <c r="F28" i="106"/>
  <c r="B29" i="106"/>
  <c r="C29" i="106"/>
  <c r="D29" i="106"/>
  <c r="E29" i="106"/>
  <c r="F29" i="106"/>
  <c r="B10" i="106"/>
  <c r="C10" i="106"/>
  <c r="D10" i="106"/>
  <c r="E10" i="106"/>
  <c r="F10" i="106"/>
  <c r="B11" i="106"/>
  <c r="C11" i="106"/>
  <c r="D11" i="106"/>
  <c r="E11" i="106"/>
  <c r="F11" i="106"/>
  <c r="B12" i="106"/>
  <c r="C12" i="106"/>
  <c r="D12" i="106"/>
  <c r="E12" i="106"/>
  <c r="F12" i="106"/>
  <c r="B13" i="106"/>
  <c r="C13" i="106"/>
  <c r="D13" i="106"/>
  <c r="E13" i="106"/>
  <c r="F13" i="106"/>
  <c r="B14" i="106"/>
  <c r="C14" i="106"/>
  <c r="D14" i="106"/>
  <c r="E14" i="106"/>
  <c r="F14" i="106"/>
  <c r="B15" i="106"/>
  <c r="C15" i="106"/>
  <c r="D15" i="106"/>
  <c r="E15" i="106"/>
  <c r="F15" i="106"/>
  <c r="B16" i="106"/>
  <c r="C16" i="106"/>
  <c r="D16" i="106"/>
  <c r="E16" i="106"/>
  <c r="F16" i="106"/>
  <c r="B17" i="106"/>
  <c r="C17" i="106"/>
  <c r="D17" i="106"/>
  <c r="E17" i="106"/>
  <c r="F17" i="106"/>
  <c r="B18" i="106"/>
  <c r="C18" i="106"/>
  <c r="D18" i="106"/>
  <c r="E18" i="106"/>
  <c r="F18" i="106"/>
  <c r="B19" i="106"/>
  <c r="C19" i="106"/>
  <c r="D19" i="106"/>
  <c r="E19" i="106"/>
  <c r="F19" i="106"/>
  <c r="B20" i="106"/>
  <c r="C20" i="106"/>
  <c r="D20" i="106"/>
  <c r="E20" i="106"/>
  <c r="F20" i="106"/>
  <c r="B21" i="106"/>
  <c r="C21" i="106"/>
  <c r="D21" i="106"/>
  <c r="E21" i="106"/>
  <c r="F21" i="106"/>
  <c r="B22" i="106"/>
  <c r="C22" i="106"/>
  <c r="D22" i="106"/>
  <c r="E22" i="106"/>
  <c r="F22" i="106"/>
  <c r="B23" i="106"/>
  <c r="C23" i="106"/>
  <c r="D23" i="106"/>
  <c r="E23" i="106"/>
  <c r="F23" i="106"/>
  <c r="B24" i="106"/>
  <c r="C24" i="106"/>
  <c r="D24" i="106"/>
  <c r="E24" i="106"/>
  <c r="F24" i="106"/>
  <c r="B25" i="106"/>
  <c r="C25" i="106"/>
  <c r="D25" i="106"/>
  <c r="E25" i="106"/>
  <c r="F25" i="106"/>
  <c r="B26" i="106"/>
  <c r="C26" i="106"/>
  <c r="D26" i="106"/>
  <c r="E26" i="106"/>
  <c r="F26" i="106"/>
  <c r="B27" i="106"/>
  <c r="C27" i="106"/>
  <c r="D27" i="106"/>
  <c r="E27" i="106"/>
  <c r="F27" i="106"/>
  <c r="C9" i="106"/>
  <c r="D9" i="106"/>
  <c r="E9" i="106"/>
  <c r="F9" i="106"/>
  <c r="B9" i="106"/>
  <c r="A8" i="106"/>
  <c r="A2" i="106"/>
  <c r="B19" i="102" s="1"/>
  <c r="M44" i="106" l="1"/>
  <c r="M27" i="106"/>
  <c r="H15" i="106"/>
  <c r="M40" i="106"/>
  <c r="M41" i="106"/>
  <c r="H9" i="106"/>
  <c r="H11" i="106"/>
  <c r="H10" i="106"/>
  <c r="U29" i="106"/>
  <c r="M39" i="106"/>
  <c r="H17" i="106"/>
  <c r="T28" i="106"/>
  <c r="H18" i="106"/>
  <c r="H13" i="106"/>
  <c r="H22" i="106"/>
  <c r="H12" i="106"/>
  <c r="U27" i="106"/>
  <c r="M37" i="106"/>
  <c r="H33" i="106"/>
  <c r="H20" i="106"/>
  <c r="H19" i="106"/>
  <c r="U26" i="106"/>
  <c r="H14" i="106"/>
  <c r="T25" i="106"/>
  <c r="H21" i="106"/>
  <c r="H32" i="106"/>
  <c r="M42" i="106"/>
  <c r="H16" i="106"/>
  <c r="L25" i="106"/>
  <c r="U20" i="106"/>
  <c r="U19" i="106"/>
  <c r="T23" i="106"/>
  <c r="T29" i="106"/>
  <c r="T24" i="106"/>
  <c r="U22" i="106"/>
  <c r="U10" i="106"/>
  <c r="U18" i="106"/>
  <c r="U28" i="106"/>
  <c r="U13" i="106"/>
  <c r="U16" i="106"/>
  <c r="U15" i="106"/>
  <c r="U32" i="106"/>
  <c r="U14" i="106"/>
  <c r="U33" i="106"/>
  <c r="U12" i="106"/>
  <c r="U9" i="106"/>
  <c r="U11" i="106"/>
  <c r="U21" i="106"/>
  <c r="U23" i="106"/>
  <c r="T27" i="106"/>
  <c r="U25" i="106"/>
  <c r="T26" i="106"/>
  <c r="U17" i="106"/>
  <c r="P17" i="106" l="1"/>
  <c r="P9" i="106"/>
  <c r="P12" i="106"/>
  <c r="P16" i="106"/>
  <c r="P19" i="106"/>
  <c r="P15" i="106"/>
  <c r="P22" i="106"/>
  <c r="P20" i="106"/>
  <c r="P10" i="106"/>
  <c r="M25" i="106"/>
  <c r="P32" i="106"/>
  <c r="P13" i="106"/>
  <c r="P14" i="106"/>
  <c r="P21" i="106"/>
  <c r="P33" i="106"/>
  <c r="P18" i="106"/>
  <c r="P11" i="106"/>
  <c r="T11" i="106" l="1"/>
  <c r="T19" i="106"/>
  <c r="T18" i="106"/>
  <c r="T10" i="106"/>
  <c r="T13" i="106"/>
  <c r="T15" i="106"/>
  <c r="T32" i="106"/>
  <c r="T33" i="106"/>
  <c r="T12" i="106"/>
  <c r="T21" i="106"/>
  <c r="T20" i="106"/>
  <c r="T17" i="106"/>
  <c r="T16" i="106"/>
  <c r="T14" i="106"/>
  <c r="T22" i="106"/>
  <c r="T9" i="106"/>
  <c r="T7" i="106" l="1"/>
  <c r="C12" i="102" l="1"/>
  <c r="C7" i="102"/>
  <c r="C17" i="102" s="1"/>
  <c r="L26" i="101" l="1"/>
  <c r="O75" i="92"/>
  <c r="L25" i="101" s="1"/>
  <c r="P75" i="92"/>
  <c r="Q75" i="92"/>
  <c r="R75" i="92"/>
  <c r="O25" i="101" s="1"/>
  <c r="S75" i="92"/>
  <c r="P25" i="101" s="1"/>
  <c r="O76" i="92"/>
  <c r="P76" i="92"/>
  <c r="M26" i="101" s="1"/>
  <c r="Q76" i="92"/>
  <c r="N26" i="101" s="1"/>
  <c r="R76" i="92"/>
  <c r="O26" i="101" s="1"/>
  <c r="S76" i="92"/>
  <c r="P26" i="101" s="1"/>
  <c r="O77" i="92"/>
  <c r="L27" i="101" s="1"/>
  <c r="P77" i="92"/>
  <c r="M27" i="101" s="1"/>
  <c r="O71" i="92"/>
  <c r="O82" i="92" s="1"/>
  <c r="O88" i="92" s="1"/>
  <c r="P71" i="92"/>
  <c r="Q71" i="92"/>
  <c r="Q77" i="92" s="1"/>
  <c r="N27" i="101" s="1"/>
  <c r="R71" i="92"/>
  <c r="R77" i="92" s="1"/>
  <c r="O27" i="101" s="1"/>
  <c r="S71" i="92"/>
  <c r="S77" i="92" s="1"/>
  <c r="P27" i="101" s="1"/>
  <c r="O68" i="92"/>
  <c r="O81" i="92" s="1"/>
  <c r="O87" i="92" s="1"/>
  <c r="A2" i="83"/>
  <c r="B18" i="102" s="1"/>
  <c r="A2" i="77"/>
  <c r="B17" i="102" s="1"/>
  <c r="C18" i="102"/>
  <c r="A2" i="82"/>
  <c r="B16" i="102" s="1"/>
  <c r="A2" i="100"/>
  <c r="B15" i="102" s="1"/>
  <c r="C11" i="102"/>
  <c r="C13" i="102"/>
  <c r="C14" i="102"/>
  <c r="C15" i="102"/>
  <c r="C16" i="102"/>
  <c r="C10" i="102"/>
  <c r="A2" i="81"/>
  <c r="B14" i="102" s="1"/>
  <c r="A2" i="80"/>
  <c r="B13" i="102" s="1"/>
  <c r="A2" i="101"/>
  <c r="B12" i="102" s="1"/>
  <c r="A2" i="79"/>
  <c r="B11" i="102" s="1"/>
  <c r="A2" i="78"/>
  <c r="A2" i="76"/>
  <c r="B9" i="102" s="1"/>
  <c r="P82" i="92" l="1"/>
  <c r="P88" i="92" s="1"/>
  <c r="P68" i="92"/>
  <c r="N25" i="101"/>
  <c r="M25" i="101"/>
  <c r="O85" i="92"/>
  <c r="B10" i="102"/>
  <c r="A1" i="101" s="1"/>
  <c r="A1" i="76"/>
  <c r="A1" i="106" l="1"/>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X26" i="78"/>
  <c r="Q110" i="90" l="1"/>
  <c r="Q109" i="90"/>
  <c r="P109" i="89"/>
  <c r="U32" i="79" s="1"/>
  <c r="P108" i="89"/>
  <c r="U33" i="79" s="1"/>
  <c r="S24" i="78"/>
  <c r="K24" i="106" s="1"/>
  <c r="P106" i="89"/>
  <c r="S25" i="78" s="1"/>
  <c r="Q108" i="90"/>
  <c r="Q107" i="90"/>
  <c r="L24" i="106" l="1"/>
  <c r="U24" i="106"/>
  <c r="F9" i="100"/>
  <c r="U7" i="106" l="1"/>
  <c r="M24" i="106"/>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Q20" i="79" s="1"/>
  <c r="H8" i="92"/>
  <c r="I8" i="92"/>
  <c r="J8" i="92"/>
  <c r="D9" i="92"/>
  <c r="E9" i="92"/>
  <c r="F9" i="92"/>
  <c r="G9" i="92"/>
  <c r="H9" i="92"/>
  <c r="I9" i="92"/>
  <c r="J9" i="92"/>
  <c r="D10" i="92"/>
  <c r="E10" i="92"/>
  <c r="F10" i="92"/>
  <c r="G10" i="92"/>
  <c r="H10" i="92"/>
  <c r="I10" i="92"/>
  <c r="J10" i="92"/>
  <c r="D45" i="92"/>
  <c r="I45" i="92"/>
  <c r="D46" i="92"/>
  <c r="I46" i="92"/>
  <c r="D71" i="92"/>
  <c r="D82" i="92" s="1"/>
  <c r="D77" i="92" s="1"/>
  <c r="AP31" i="79" s="1"/>
  <c r="E71" i="92"/>
  <c r="F71" i="92"/>
  <c r="F77" i="92" s="1"/>
  <c r="AR31" i="79" s="1"/>
  <c r="G71" i="92"/>
  <c r="G77" i="92" s="1"/>
  <c r="AS31" i="79" s="1"/>
  <c r="H71" i="92"/>
  <c r="I71" i="92"/>
  <c r="I82" i="92" s="1"/>
  <c r="I88" i="92" s="1"/>
  <c r="J71" i="92"/>
  <c r="J77" i="92" s="1"/>
  <c r="AV31" i="79" s="1"/>
  <c r="K71" i="92"/>
  <c r="L71" i="92"/>
  <c r="M71" i="92"/>
  <c r="N71" i="92"/>
  <c r="N77" i="92" s="1"/>
  <c r="K27" i="101" s="1"/>
  <c r="E74" i="92"/>
  <c r="E75" i="92" s="1"/>
  <c r="F74" i="92"/>
  <c r="F76" i="92" s="1"/>
  <c r="AR30" i="79" s="1"/>
  <c r="G74" i="92"/>
  <c r="H74" i="92"/>
  <c r="H76" i="92" s="1"/>
  <c r="AT30" i="79" s="1"/>
  <c r="I74" i="92"/>
  <c r="I77" i="92" s="1"/>
  <c r="AU31" i="79" s="1"/>
  <c r="J74" i="92"/>
  <c r="J75" i="92" s="1"/>
  <c r="AV29" i="79" s="1"/>
  <c r="K74" i="92"/>
  <c r="K76" i="92" s="1"/>
  <c r="H26" i="101" s="1"/>
  <c r="L74" i="92"/>
  <c r="L76" i="92" s="1"/>
  <c r="I26" i="101" s="1"/>
  <c r="M74" i="92"/>
  <c r="N74" i="92"/>
  <c r="N76" i="92" s="1"/>
  <c r="K26" i="101" s="1"/>
  <c r="F75" i="92"/>
  <c r="AR29" i="79" s="1"/>
  <c r="G75" i="92"/>
  <c r="AS29" i="79" s="1"/>
  <c r="K75" i="92"/>
  <c r="H25" i="101" s="1"/>
  <c r="L75" i="92"/>
  <c r="I25" i="101" s="1"/>
  <c r="M75" i="92"/>
  <c r="J25" i="101" s="1"/>
  <c r="N75" i="92"/>
  <c r="K25" i="101" s="1"/>
  <c r="E76" i="92"/>
  <c r="AQ30" i="79" s="1"/>
  <c r="G76" i="92"/>
  <c r="AS30" i="79" s="1"/>
  <c r="J76" i="92"/>
  <c r="AV30" i="79" s="1"/>
  <c r="M76" i="92"/>
  <c r="J26" i="101" s="1"/>
  <c r="E77" i="92"/>
  <c r="AQ31" i="79" s="1"/>
  <c r="K77" i="92"/>
  <c r="H27" i="101" s="1"/>
  <c r="C80" i="92"/>
  <c r="C75" i="92" s="1"/>
  <c r="D80" i="92"/>
  <c r="D75" i="92" s="1"/>
  <c r="AP29" i="79" s="1"/>
  <c r="C81" i="92"/>
  <c r="C76" i="92" s="1"/>
  <c r="D81" i="92"/>
  <c r="D76" i="92" s="1"/>
  <c r="AP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D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85"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M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R95" i="85" s="1"/>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M5" i="87" s="1"/>
  <c r="L6" i="87"/>
  <c r="M6" i="87" s="1"/>
  <c r="M1" i="86"/>
  <c r="N1" i="86"/>
  <c r="O1" i="86"/>
  <c r="G2" i="86"/>
  <c r="H2" i="86" s="1"/>
  <c r="I2" i="86" s="1"/>
  <c r="J2" i="86" s="1"/>
  <c r="K2" i="86" s="1"/>
  <c r="L2" i="86" s="1"/>
  <c r="M2" i="86" s="1"/>
  <c r="N2" i="86" s="1"/>
  <c r="X4" i="86"/>
  <c r="Y4" i="86" s="1"/>
  <c r="AI4" i="86"/>
  <c r="AU4" i="86" s="1"/>
  <c r="AJ4" i="86"/>
  <c r="AV4" i="86" s="1"/>
  <c r="P7" i="86"/>
  <c r="P9" i="86"/>
  <c r="P10" i="86"/>
  <c r="T49" i="86" s="1"/>
  <c r="P12" i="86"/>
  <c r="T51" i="86" s="1"/>
  <c r="P13" i="86"/>
  <c r="T52" i="86" s="1"/>
  <c r="P15" i="86"/>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T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T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T5" i="85"/>
  <c r="S5" i="86" s="1"/>
  <c r="P6" i="85"/>
  <c r="Q6" i="85"/>
  <c r="M46" i="91" s="1"/>
  <c r="T6" i="85"/>
  <c r="P7" i="85"/>
  <c r="P37" i="85" s="1"/>
  <c r="Q7" i="85"/>
  <c r="M48" i="91" s="1"/>
  <c r="T7" i="85"/>
  <c r="P8" i="85"/>
  <c r="O49" i="91" s="1"/>
  <c r="Q8" i="85"/>
  <c r="M49" i="91" s="1"/>
  <c r="T8" i="85"/>
  <c r="P9" i="85"/>
  <c r="O51" i="91" s="1"/>
  <c r="Q9" i="85"/>
  <c r="M51" i="91" s="1"/>
  <c r="T9" i="85"/>
  <c r="P10" i="85"/>
  <c r="O52" i="91" s="1"/>
  <c r="Q10" i="85"/>
  <c r="M52" i="91" s="1"/>
  <c r="T10" i="85"/>
  <c r="S10" i="86" s="1"/>
  <c r="P11" i="85"/>
  <c r="O54" i="91" s="1"/>
  <c r="Q11" i="85"/>
  <c r="M54" i="91" s="1"/>
  <c r="T11" i="85"/>
  <c r="P12" i="85"/>
  <c r="O53" i="91" s="1"/>
  <c r="Q12" i="85"/>
  <c r="T12" i="85"/>
  <c r="P13" i="85"/>
  <c r="O55" i="91" s="1"/>
  <c r="Q13" i="85"/>
  <c r="M55" i="91" s="1"/>
  <c r="T13" i="85"/>
  <c r="P14" i="85"/>
  <c r="O57" i="91" s="1"/>
  <c r="Q14" i="85"/>
  <c r="T14" i="85"/>
  <c r="S14" i="86" s="1"/>
  <c r="P15" i="85"/>
  <c r="O56" i="91" s="1"/>
  <c r="Q15" i="85"/>
  <c r="M56" i="91" s="1"/>
  <c r="T15" i="85"/>
  <c r="T16" i="85"/>
  <c r="P17" i="85"/>
  <c r="Q17" i="85"/>
  <c r="T17" i="85"/>
  <c r="P18" i="85"/>
  <c r="Q18" i="85"/>
  <c r="T18" i="85"/>
  <c r="P19" i="85"/>
  <c r="Q19" i="85"/>
  <c r="T19" i="85"/>
  <c r="P20" i="85"/>
  <c r="Q20" i="85"/>
  <c r="T20" i="85"/>
  <c r="P21" i="85"/>
  <c r="Q21" i="85"/>
  <c r="T21" i="85"/>
  <c r="P22" i="85"/>
  <c r="Q22" i="85"/>
  <c r="T22" i="85"/>
  <c r="P23" i="85"/>
  <c r="Q23" i="85"/>
  <c r="T23" i="85"/>
  <c r="P24" i="85"/>
  <c r="Q24" i="85"/>
  <c r="T24" i="85"/>
  <c r="P25" i="85"/>
  <c r="Q25" i="85"/>
  <c r="T25" i="85"/>
  <c r="P26" i="85"/>
  <c r="Q26" i="85"/>
  <c r="T26" i="85"/>
  <c r="P27" i="85"/>
  <c r="Q27" i="85"/>
  <c r="T27" i="85"/>
  <c r="P28" i="85"/>
  <c r="Q28" i="85"/>
  <c r="T28" i="85"/>
  <c r="P29" i="85"/>
  <c r="Q29" i="85"/>
  <c r="T29" i="85"/>
  <c r="P30" i="85"/>
  <c r="O45" i="91" s="1"/>
  <c r="Q30" i="85"/>
  <c r="M45" i="91" s="1"/>
  <c r="T30" i="85"/>
  <c r="P31" i="85"/>
  <c r="O47" i="91" s="1"/>
  <c r="Q31" i="85"/>
  <c r="M47" i="91" s="1"/>
  <c r="T31" i="85"/>
  <c r="P32" i="85"/>
  <c r="O50" i="91" s="1"/>
  <c r="Q32" i="85"/>
  <c r="M50" i="91" s="1"/>
  <c r="T32" i="85"/>
  <c r="O34" i="85"/>
  <c r="G35" i="85"/>
  <c r="H35" i="85"/>
  <c r="I35" i="85"/>
  <c r="J35" i="85"/>
  <c r="K35" i="85"/>
  <c r="N35" i="85"/>
  <c r="O35" i="85"/>
  <c r="T5" i="86" s="1"/>
  <c r="G36" i="85"/>
  <c r="J36" i="85"/>
  <c r="K36" i="85"/>
  <c r="L36" i="85"/>
  <c r="N36" i="85"/>
  <c r="I37" i="85"/>
  <c r="J37" i="85"/>
  <c r="K37" i="85"/>
  <c r="L37" i="85"/>
  <c r="O37" i="85"/>
  <c r="T7" i="86" s="1"/>
  <c r="S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P43" i="85"/>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P61" i="85"/>
  <c r="G62" i="85"/>
  <c r="J62" i="85"/>
  <c r="K62" i="85"/>
  <c r="L62" i="85"/>
  <c r="M62" i="85"/>
  <c r="N62" i="85"/>
  <c r="O62" i="85"/>
  <c r="T32" i="86" s="1"/>
  <c r="P62" i="85"/>
  <c r="Q66" i="85"/>
  <c r="Q67" i="85"/>
  <c r="J68" i="85"/>
  <c r="J86" i="85" s="1"/>
  <c r="Q68" i="85"/>
  <c r="J69" i="85"/>
  <c r="J87" i="85" s="1"/>
  <c r="Q69" i="85"/>
  <c r="J70" i="85"/>
  <c r="Q70" i="85"/>
  <c r="J71" i="85"/>
  <c r="J89" i="85" s="1"/>
  <c r="Q71" i="85"/>
  <c r="J72" i="85"/>
  <c r="Q72" i="85"/>
  <c r="J73" i="85"/>
  <c r="J91" i="85" s="1"/>
  <c r="R18" i="78" s="1"/>
  <c r="R19" i="78" s="1"/>
  <c r="W19" i="78" s="1"/>
  <c r="Q73" i="85"/>
  <c r="J74" i="85"/>
  <c r="J92" i="85" s="1"/>
  <c r="Q74" i="85"/>
  <c r="Q75" i="85"/>
  <c r="R75" i="85" s="1"/>
  <c r="S75" i="85"/>
  <c r="T75" i="85" s="1"/>
  <c r="J76" i="85"/>
  <c r="J94" i="85" s="1"/>
  <c r="Q76" i="85"/>
  <c r="Q78" i="85"/>
  <c r="J79" i="85"/>
  <c r="J97" i="85" s="1"/>
  <c r="R10" i="78" s="1"/>
  <c r="W10" i="78" s="1"/>
  <c r="Q79" i="85"/>
  <c r="J80" i="85"/>
  <c r="J98" i="85" s="1"/>
  <c r="Q80" i="85"/>
  <c r="S84" i="85"/>
  <c r="T84" i="85"/>
  <c r="S85" i="85"/>
  <c r="T85" i="85"/>
  <c r="T86" i="85"/>
  <c r="V86" i="85"/>
  <c r="S86" i="85" s="1"/>
  <c r="S87" i="85"/>
  <c r="T87" i="85"/>
  <c r="J88" i="85"/>
  <c r="S88" i="85"/>
  <c r="T88" i="85"/>
  <c r="S89" i="85"/>
  <c r="T89" i="85"/>
  <c r="J90" i="85"/>
  <c r="S90" i="85"/>
  <c r="T90" i="85"/>
  <c r="S91" i="85"/>
  <c r="T91" i="85"/>
  <c r="S92" i="85"/>
  <c r="T92" i="85"/>
  <c r="T93" i="85"/>
  <c r="S94" i="85"/>
  <c r="T94" i="85"/>
  <c r="T95" i="85"/>
  <c r="S96" i="85"/>
  <c r="V96" i="85"/>
  <c r="W96" i="85" s="1"/>
  <c r="T96" i="85" s="1"/>
  <c r="S97" i="85"/>
  <c r="T97" i="85"/>
  <c r="S98" i="85"/>
  <c r="T98" i="85"/>
  <c r="G101" i="85"/>
  <c r="H101" i="85"/>
  <c r="I101" i="85"/>
  <c r="J101" i="85"/>
  <c r="K101" i="85"/>
  <c r="L101" i="85"/>
  <c r="M101" i="85"/>
  <c r="N101" i="85"/>
  <c r="O101" i="85"/>
  <c r="G102" i="85"/>
  <c r="H102" i="85"/>
  <c r="I102" i="85"/>
  <c r="J102" i="85"/>
  <c r="K102" i="85"/>
  <c r="L102" i="85"/>
  <c r="M102" i="85"/>
  <c r="N102" i="85"/>
  <c r="O102" i="85"/>
  <c r="G103" i="85"/>
  <c r="H103" i="85"/>
  <c r="I103" i="85"/>
  <c r="J103" i="85"/>
  <c r="K103" i="85"/>
  <c r="L103" i="85"/>
  <c r="M103" i="85"/>
  <c r="N103" i="85"/>
  <c r="O103" i="85"/>
  <c r="G104" i="85"/>
  <c r="H104" i="85"/>
  <c r="I104" i="85"/>
  <c r="J104" i="85"/>
  <c r="K104" i="85"/>
  <c r="L104" i="85"/>
  <c r="M104" i="85"/>
  <c r="N104" i="85"/>
  <c r="O104" i="85"/>
  <c r="G105" i="85"/>
  <c r="H105" i="85"/>
  <c r="I105" i="85"/>
  <c r="J105" i="85"/>
  <c r="K105" i="85"/>
  <c r="L105" i="85"/>
  <c r="M105" i="85"/>
  <c r="N105" i="85"/>
  <c r="O105" i="85"/>
  <c r="G106" i="85"/>
  <c r="H106" i="85"/>
  <c r="I106" i="85"/>
  <c r="J106" i="85"/>
  <c r="K106" i="85"/>
  <c r="L106" i="85"/>
  <c r="M106" i="85"/>
  <c r="N106" i="85"/>
  <c r="O106" i="85"/>
  <c r="G107" i="85"/>
  <c r="H107" i="85"/>
  <c r="I107" i="85"/>
  <c r="J107" i="85"/>
  <c r="K107" i="85"/>
  <c r="L107" i="85"/>
  <c r="M107" i="85"/>
  <c r="N107" i="85"/>
  <c r="O107" i="85"/>
  <c r="G108" i="85"/>
  <c r="H108" i="85"/>
  <c r="I108" i="85"/>
  <c r="J108" i="85"/>
  <c r="K108" i="85"/>
  <c r="L108" i="85"/>
  <c r="M108" i="85"/>
  <c r="N108" i="85"/>
  <c r="O108" i="85"/>
  <c r="G109" i="85"/>
  <c r="H109" i="85"/>
  <c r="I109" i="85"/>
  <c r="J109" i="85"/>
  <c r="K109" i="85"/>
  <c r="L109" i="85"/>
  <c r="M109" i="85"/>
  <c r="N109" i="85"/>
  <c r="O109" i="85"/>
  <c r="G110" i="85"/>
  <c r="H110" i="85"/>
  <c r="I110" i="85"/>
  <c r="J110" i="85"/>
  <c r="K110" i="85"/>
  <c r="L110" i="85"/>
  <c r="M110" i="85"/>
  <c r="N110" i="85"/>
  <c r="O110" i="85"/>
  <c r="G111" i="85"/>
  <c r="H111" i="85"/>
  <c r="I111" i="85"/>
  <c r="J111" i="85"/>
  <c r="K111" i="85"/>
  <c r="L111" i="85"/>
  <c r="M111" i="85"/>
  <c r="N111" i="85"/>
  <c r="O111" i="85"/>
  <c r="G112" i="85"/>
  <c r="H112" i="85"/>
  <c r="I112" i="85"/>
  <c r="J112" i="85"/>
  <c r="K112" i="85"/>
  <c r="L112" i="85"/>
  <c r="M112" i="85"/>
  <c r="N112" i="85"/>
  <c r="O112" i="85"/>
  <c r="G113" i="85"/>
  <c r="H113" i="85"/>
  <c r="I113" i="85"/>
  <c r="J113" i="85"/>
  <c r="K113" i="85"/>
  <c r="L113" i="85"/>
  <c r="M113" i="85"/>
  <c r="N113" i="85"/>
  <c r="O113" i="85"/>
  <c r="G114" i="85"/>
  <c r="H114" i="85"/>
  <c r="I114" i="85"/>
  <c r="J114" i="85"/>
  <c r="K114" i="85"/>
  <c r="L114" i="85"/>
  <c r="M114" i="85"/>
  <c r="N114" i="85"/>
  <c r="O114" i="85"/>
  <c r="G115" i="85"/>
  <c r="H115" i="85"/>
  <c r="I115" i="85"/>
  <c r="J115" i="85"/>
  <c r="K115" i="85"/>
  <c r="L115" i="85"/>
  <c r="M115" i="85"/>
  <c r="N115" i="85"/>
  <c r="O115" i="85"/>
  <c r="H116" i="85"/>
  <c r="C123" i="85"/>
  <c r="C124" i="85" s="1"/>
  <c r="C125" i="85"/>
  <c r="C127"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I11" i="81"/>
  <c r="B12" i="81"/>
  <c r="F12" i="81" s="1"/>
  <c r="C12" i="81"/>
  <c r="D12" i="81"/>
  <c r="I12" i="81"/>
  <c r="B13" i="81"/>
  <c r="F13" i="81" s="1"/>
  <c r="C13" i="81"/>
  <c r="D13" i="81"/>
  <c r="I13" i="81"/>
  <c r="B14" i="81"/>
  <c r="C14" i="81"/>
  <c r="D14" i="81"/>
  <c r="I14" i="81"/>
  <c r="B15" i="81"/>
  <c r="C15" i="81"/>
  <c r="D15" i="81"/>
  <c r="I15" i="81"/>
  <c r="B16" i="81"/>
  <c r="C16" i="81"/>
  <c r="D16" i="81"/>
  <c r="I16" i="81"/>
  <c r="B17" i="81"/>
  <c r="C17" i="81"/>
  <c r="D17" i="81"/>
  <c r="F17" i="81"/>
  <c r="I17" i="81"/>
  <c r="B18" i="81"/>
  <c r="C18" i="81"/>
  <c r="D18" i="81"/>
  <c r="I18" i="81"/>
  <c r="B19" i="81"/>
  <c r="C19" i="81"/>
  <c r="D19" i="81"/>
  <c r="I19" i="81"/>
  <c r="B20" i="81"/>
  <c r="C20" i="81"/>
  <c r="D20" i="81"/>
  <c r="I20" i="81"/>
  <c r="B21" i="81"/>
  <c r="C21" i="81"/>
  <c r="D21" i="81"/>
  <c r="I21" i="81"/>
  <c r="B22" i="81"/>
  <c r="C22" i="81"/>
  <c r="D22" i="81"/>
  <c r="I22" i="81"/>
  <c r="B23" i="81"/>
  <c r="C23" i="81"/>
  <c r="D23" i="81"/>
  <c r="I23" i="81"/>
  <c r="B24" i="81"/>
  <c r="C24" i="81"/>
  <c r="D24" i="81"/>
  <c r="I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B9" i="79"/>
  <c r="E9" i="79" s="1"/>
  <c r="C9" i="79"/>
  <c r="D9" i="79"/>
  <c r="K9" i="79"/>
  <c r="L9" i="79"/>
  <c r="AL9" i="79"/>
  <c r="B10" i="79"/>
  <c r="E10" i="79" s="1"/>
  <c r="C10" i="79"/>
  <c r="D10" i="79"/>
  <c r="AC10" i="79"/>
  <c r="AD10" i="79"/>
  <c r="AD11" i="79" s="1"/>
  <c r="AD14" i="79" s="1"/>
  <c r="AE10" i="79"/>
  <c r="AE11" i="79" s="1"/>
  <c r="AE14" i="79" s="1"/>
  <c r="AF10" i="79"/>
  <c r="AF11" i="79" s="1"/>
  <c r="AF14" i="79" s="1"/>
  <c r="AG10" i="79"/>
  <c r="AG11" i="79" s="1"/>
  <c r="AG14" i="79" s="1"/>
  <c r="AH10" i="79"/>
  <c r="AH11" i="79" s="1"/>
  <c r="AH14" i="79" s="1"/>
  <c r="AI10" i="79"/>
  <c r="AI11" i="79" s="1"/>
  <c r="AI14" i="79" s="1"/>
  <c r="AU10" i="79"/>
  <c r="AL10" i="79" s="1"/>
  <c r="B11" i="79"/>
  <c r="E11" i="79" s="1"/>
  <c r="C11" i="79"/>
  <c r="B2" i="93" s="1"/>
  <c r="D11" i="79"/>
  <c r="AC11" i="79"/>
  <c r="B12" i="79"/>
  <c r="C12" i="79"/>
  <c r="M2" i="93" s="1"/>
  <c r="D12" i="79"/>
  <c r="AL12" i="79"/>
  <c r="B13" i="79"/>
  <c r="C13" i="79"/>
  <c r="D13" i="79"/>
  <c r="AL13" i="79"/>
  <c r="B14" i="79"/>
  <c r="C14" i="79"/>
  <c r="C2" i="93" s="1"/>
  <c r="D14" i="79"/>
  <c r="AC14" i="79"/>
  <c r="B15" i="79"/>
  <c r="C15" i="79"/>
  <c r="AK2" i="93" s="1"/>
  <c r="D15" i="79"/>
  <c r="B16" i="79"/>
  <c r="C16" i="79"/>
  <c r="D16" i="79"/>
  <c r="B17" i="79"/>
  <c r="C17" i="79"/>
  <c r="AC2" i="93" s="1"/>
  <c r="D17" i="79"/>
  <c r="AN17" i="79"/>
  <c r="AO17" i="79"/>
  <c r="AP17" i="79"/>
  <c r="AQ17" i="79"/>
  <c r="AR17" i="79"/>
  <c r="AS17" i="79"/>
  <c r="AT17" i="79"/>
  <c r="B18" i="79"/>
  <c r="C18" i="79"/>
  <c r="U2" i="93" s="1"/>
  <c r="D18" i="79"/>
  <c r="AN18" i="79"/>
  <c r="AO18" i="79"/>
  <c r="B19" i="79"/>
  <c r="C19" i="79"/>
  <c r="D19" i="79"/>
  <c r="AP19" i="79"/>
  <c r="AQ19" i="79"/>
  <c r="AR19" i="79"/>
  <c r="AS19" i="79"/>
  <c r="AT19" i="79"/>
  <c r="AU19" i="79"/>
  <c r="AV19" i="79"/>
  <c r="AW19" i="79"/>
  <c r="B20" i="79"/>
  <c r="C20" i="79"/>
  <c r="D20" i="79"/>
  <c r="AN20" i="79"/>
  <c r="AO20" i="79"/>
  <c r="AR20" i="79"/>
  <c r="AS20" i="79"/>
  <c r="AT20" i="79"/>
  <c r="AU20" i="79"/>
  <c r="AV20" i="79"/>
  <c r="AW20" i="79"/>
  <c r="AX20" i="79"/>
  <c r="B21" i="79"/>
  <c r="C21" i="79"/>
  <c r="D21" i="79"/>
  <c r="L21" i="79"/>
  <c r="B22" i="79"/>
  <c r="C22" i="79"/>
  <c r="E2" i="93" s="1"/>
  <c r="D22" i="79"/>
  <c r="B23" i="79"/>
  <c r="C23" i="79"/>
  <c r="F2" i="93" s="1"/>
  <c r="D23" i="79"/>
  <c r="B24" i="79"/>
  <c r="C24" i="79"/>
  <c r="H2" i="93" s="1"/>
  <c r="D24" i="79"/>
  <c r="B25" i="79"/>
  <c r="C25" i="79"/>
  <c r="AE2" i="93" s="1"/>
  <c r="D25" i="79"/>
  <c r="B26" i="79"/>
  <c r="C26" i="79"/>
  <c r="AF2" i="93" s="1"/>
  <c r="D26" i="79"/>
  <c r="B27" i="79"/>
  <c r="B13" i="80" s="1"/>
  <c r="C27" i="79"/>
  <c r="Q2" i="93" s="1"/>
  <c r="D27" i="79"/>
  <c r="D13" i="80" s="1"/>
  <c r="A28" i="79"/>
  <c r="B29" i="79"/>
  <c r="C29" i="79"/>
  <c r="D29" i="79"/>
  <c r="B30" i="79"/>
  <c r="C30" i="79"/>
  <c r="D30" i="79"/>
  <c r="B31" i="79"/>
  <c r="C31" i="79"/>
  <c r="D31" i="79"/>
  <c r="B32" i="79"/>
  <c r="C32" i="79"/>
  <c r="D32" i="79"/>
  <c r="AM32" i="79"/>
  <c r="AL32" i="79" s="1"/>
  <c r="B33" i="79"/>
  <c r="C33" i="79"/>
  <c r="D33" i="79"/>
  <c r="AM33" i="79"/>
  <c r="AL33" i="79" s="1"/>
  <c r="B9" i="78"/>
  <c r="E9" i="78" s="1"/>
  <c r="C9" i="78"/>
  <c r="D9" i="78"/>
  <c r="B10" i="78"/>
  <c r="C10" i="78"/>
  <c r="V10" i="78" s="1"/>
  <c r="D10" i="78"/>
  <c r="E10" i="78"/>
  <c r="H10" i="78"/>
  <c r="AB10" i="78"/>
  <c r="AB11" i="78" s="1"/>
  <c r="AB12" i="78" s="1"/>
  <c r="AB13" i="78" s="1"/>
  <c r="AB14" i="78" s="1"/>
  <c r="AB15" i="78" s="1"/>
  <c r="AB16" i="78" s="1"/>
  <c r="AB17" i="78" s="1"/>
  <c r="AB18" i="78" s="1"/>
  <c r="AB19" i="78" s="1"/>
  <c r="AB20" i="78" s="1"/>
  <c r="AB21" i="78" s="1"/>
  <c r="AB22" i="78" s="1"/>
  <c r="AC10" i="78"/>
  <c r="AC11" i="78" s="1"/>
  <c r="AC12" i="78" s="1"/>
  <c r="AC13" i="78" s="1"/>
  <c r="AC14" i="78" s="1"/>
  <c r="AC15" i="78" s="1"/>
  <c r="AC16" i="78" s="1"/>
  <c r="AC17" i="78" s="1"/>
  <c r="AC18" i="78" s="1"/>
  <c r="AC19" i="78" s="1"/>
  <c r="AC20" i="78" s="1"/>
  <c r="AC21" i="78" s="1"/>
  <c r="AC22" i="78" s="1"/>
  <c r="AD10" i="78"/>
  <c r="AE10" i="78"/>
  <c r="AE11" i="78" s="1"/>
  <c r="AE12" i="78" s="1"/>
  <c r="AE13" i="78" s="1"/>
  <c r="AE14" i="78" s="1"/>
  <c r="AE15" i="78" s="1"/>
  <c r="AE16" i="78" s="1"/>
  <c r="AE17" i="78" s="1"/>
  <c r="AE18" i="78" s="1"/>
  <c r="AE19" i="78" s="1"/>
  <c r="AE20" i="78" s="1"/>
  <c r="AE21" i="78" s="1"/>
  <c r="AE22" i="78" s="1"/>
  <c r="AF10" i="78"/>
  <c r="AF11" i="78" s="1"/>
  <c r="AF12" i="78" s="1"/>
  <c r="AF13" i="78" s="1"/>
  <c r="AF14" i="78" s="1"/>
  <c r="AF15" i="78" s="1"/>
  <c r="AF16" i="78" s="1"/>
  <c r="AF17" i="78" s="1"/>
  <c r="AF18" i="78" s="1"/>
  <c r="AF19" i="78" s="1"/>
  <c r="AF20" i="78" s="1"/>
  <c r="AF21" i="78" s="1"/>
  <c r="AF22" i="78" s="1"/>
  <c r="AG10" i="78"/>
  <c r="AH10" i="78"/>
  <c r="AH11" i="78" s="1"/>
  <c r="AH12" i="78" s="1"/>
  <c r="AH13" i="78" s="1"/>
  <c r="AH14" i="78" s="1"/>
  <c r="AH15" i="78" s="1"/>
  <c r="AH16" i="78" s="1"/>
  <c r="AH17" i="78" s="1"/>
  <c r="AH18" i="78" s="1"/>
  <c r="AH19" i="78" s="1"/>
  <c r="AH20" i="78" s="1"/>
  <c r="AH21" i="78" s="1"/>
  <c r="AH22" i="78" s="1"/>
  <c r="AJ10" i="78"/>
  <c r="AK10" i="78"/>
  <c r="N5" i="88" s="1"/>
  <c r="B11" i="78"/>
  <c r="C11" i="78"/>
  <c r="R11" i="78" s="1"/>
  <c r="W11" i="78" s="1"/>
  <c r="D11" i="78"/>
  <c r="E11" i="78"/>
  <c r="V11" i="78"/>
  <c r="AD11" i="78"/>
  <c r="AD12" i="78" s="1"/>
  <c r="AD13" i="78" s="1"/>
  <c r="AD14" i="78" s="1"/>
  <c r="AD15" i="78" s="1"/>
  <c r="AD16" i="78" s="1"/>
  <c r="AG11" i="78"/>
  <c r="AG12" i="78" s="1"/>
  <c r="AG13" i="78" s="1"/>
  <c r="AG14" i="78" s="1"/>
  <c r="AG15" i="78" s="1"/>
  <c r="AG16" i="78" s="1"/>
  <c r="AG17" i="78" s="1"/>
  <c r="AG18" i="78" s="1"/>
  <c r="AG19" i="78" s="1"/>
  <c r="AG20" i="78" s="1"/>
  <c r="AG21" i="78" s="1"/>
  <c r="AG22" i="78" s="1"/>
  <c r="AK11" i="78"/>
  <c r="N6" i="88" s="1"/>
  <c r="B12" i="78"/>
  <c r="C12" i="78"/>
  <c r="U12" i="78" s="1"/>
  <c r="D12" i="78"/>
  <c r="E12" i="78"/>
  <c r="B13" i="78"/>
  <c r="E13" i="78" s="1"/>
  <c r="C13" i="78"/>
  <c r="U13" i="78" s="1"/>
  <c r="D13" i="78"/>
  <c r="AJ13" i="78"/>
  <c r="B14" i="78"/>
  <c r="C14" i="78"/>
  <c r="V14" i="78" s="1"/>
  <c r="D14" i="78"/>
  <c r="B15" i="78"/>
  <c r="E15" i="78" s="1"/>
  <c r="C15" i="78"/>
  <c r="D15" i="78"/>
  <c r="B16" i="78"/>
  <c r="E16" i="78" s="1"/>
  <c r="C16" i="78"/>
  <c r="D16" i="78"/>
  <c r="B17" i="78"/>
  <c r="E17" i="78" s="1"/>
  <c r="C17" i="78"/>
  <c r="R17" i="78" s="1"/>
  <c r="W17" i="78" s="1"/>
  <c r="D17" i="78"/>
  <c r="AD17" i="78"/>
  <c r="AD18" i="78" s="1"/>
  <c r="AD19" i="78" s="1"/>
  <c r="AD20" i="78" s="1"/>
  <c r="AD21" i="78" s="1"/>
  <c r="AD22" i="78" s="1"/>
  <c r="B18" i="78"/>
  <c r="C18" i="78"/>
  <c r="D18" i="78"/>
  <c r="U18" i="78"/>
  <c r="U19" i="78" s="1"/>
  <c r="V18" i="78"/>
  <c r="V19" i="78" s="1"/>
  <c r="AI18" i="78"/>
  <c r="AJ18" i="78"/>
  <c r="AK18" i="78"/>
  <c r="N13" i="88" s="1"/>
  <c r="B19" i="78"/>
  <c r="C19" i="78"/>
  <c r="D19" i="78"/>
  <c r="B20" i="78"/>
  <c r="C20" i="78"/>
  <c r="U20" i="78" s="1"/>
  <c r="D20" i="78"/>
  <c r="E20" i="78"/>
  <c r="B21" i="78"/>
  <c r="C21" i="78"/>
  <c r="R21" i="78" s="1"/>
  <c r="W21" i="78" s="1"/>
  <c r="D21" i="78"/>
  <c r="E21" i="78"/>
  <c r="V21" i="78"/>
  <c r="AI21" i="78"/>
  <c r="B22" i="78"/>
  <c r="E22" i="78" s="1"/>
  <c r="C22" i="78"/>
  <c r="R22" i="78" s="1"/>
  <c r="W22" i="78" s="1"/>
  <c r="D22" i="78"/>
  <c r="B23" i="78"/>
  <c r="C23" i="78"/>
  <c r="D23" i="78"/>
  <c r="S23" i="78"/>
  <c r="X23" i="78" s="1"/>
  <c r="B24" i="78"/>
  <c r="C24" i="78"/>
  <c r="D24" i="78"/>
  <c r="X24" i="78"/>
  <c r="BH24" i="78"/>
  <c r="B25" i="78"/>
  <c r="C25" i="78"/>
  <c r="D25" i="78"/>
  <c r="BH25" i="78"/>
  <c r="B26" i="78"/>
  <c r="C26" i="78"/>
  <c r="D26" i="78"/>
  <c r="AR26" i="78"/>
  <c r="B27" i="78"/>
  <c r="C27" i="78"/>
  <c r="D27" i="78"/>
  <c r="S27" i="78"/>
  <c r="X15" i="79" s="1"/>
  <c r="X27" i="78"/>
  <c r="B28" i="78"/>
  <c r="C28" i="78"/>
  <c r="D28" i="78"/>
  <c r="S28" i="78"/>
  <c r="X28" i="78" s="1"/>
  <c r="B29" i="78"/>
  <c r="C29" i="78"/>
  <c r="D29" i="78"/>
  <c r="S29" i="78"/>
  <c r="X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S10" i="97" l="1"/>
  <c r="N21" i="82"/>
  <c r="O21" i="82"/>
  <c r="B15" i="99"/>
  <c r="B14" i="99" s="1"/>
  <c r="V4" i="99"/>
  <c r="L18" i="80"/>
  <c r="N24" i="81"/>
  <c r="N21" i="81"/>
  <c r="N18" i="81"/>
  <c r="N10" i="81"/>
  <c r="O26" i="82"/>
  <c r="O20" i="82"/>
  <c r="N14" i="82"/>
  <c r="C122" i="84"/>
  <c r="A84" i="84"/>
  <c r="A44" i="84"/>
  <c r="P41" i="84"/>
  <c r="P42" i="85"/>
  <c r="P54" i="91"/>
  <c r="Q53" i="91"/>
  <c r="AA73" i="95"/>
  <c r="Y18" i="97"/>
  <c r="H19" i="97"/>
  <c r="W18" i="97" s="1"/>
  <c r="V8" i="97"/>
  <c r="Y6" i="97"/>
  <c r="AJ21" i="78"/>
  <c r="R20" i="78"/>
  <c r="W20" i="78" s="1"/>
  <c r="I18" i="80"/>
  <c r="H16" i="80"/>
  <c r="N15" i="81"/>
  <c r="O17" i="82"/>
  <c r="C92" i="84"/>
  <c r="P39" i="84"/>
  <c r="K12" i="82" s="1"/>
  <c r="P39" i="85"/>
  <c r="P14" i="86"/>
  <c r="Q54" i="91"/>
  <c r="P53" i="91"/>
  <c r="J82" i="92"/>
  <c r="J88" i="92" s="1"/>
  <c r="H75" i="92"/>
  <c r="AT29" i="79" s="1"/>
  <c r="S39" i="95"/>
  <c r="AA16" i="97"/>
  <c r="U8" i="97"/>
  <c r="W10" i="97"/>
  <c r="M22" i="82"/>
  <c r="C62" i="84"/>
  <c r="O43" i="84"/>
  <c r="P40" i="84"/>
  <c r="M36" i="84"/>
  <c r="D88" i="92"/>
  <c r="E80" i="92"/>
  <c r="AQ29" i="79"/>
  <c r="J62" i="95"/>
  <c r="Y16" i="97"/>
  <c r="AB9" i="97"/>
  <c r="AB10" i="97" s="1"/>
  <c r="S8" i="97"/>
  <c r="V6" i="97"/>
  <c r="V10" i="97" s="1"/>
  <c r="V9" i="78"/>
  <c r="N12" i="81"/>
  <c r="P38" i="84"/>
  <c r="M57" i="84" s="1"/>
  <c r="M58" i="84" s="1"/>
  <c r="O116" i="85"/>
  <c r="F82" i="92"/>
  <c r="F88" i="92" s="1"/>
  <c r="T19" i="97"/>
  <c r="P21" i="99"/>
  <c r="Q46" i="91"/>
  <c r="O16" i="97"/>
  <c r="W9" i="97"/>
  <c r="Q20" i="99"/>
  <c r="Q21" i="99" s="1"/>
  <c r="H21" i="78"/>
  <c r="AI10" i="78"/>
  <c r="H17" i="80"/>
  <c r="N17" i="81"/>
  <c r="N14" i="81"/>
  <c r="N16" i="82"/>
  <c r="C128" i="84"/>
  <c r="P54" i="84"/>
  <c r="A36" i="84"/>
  <c r="M116" i="85"/>
  <c r="U11" i="86"/>
  <c r="L77" i="92"/>
  <c r="I27" i="101" s="1"/>
  <c r="V9" i="97"/>
  <c r="AJ22" i="78"/>
  <c r="V22" i="78"/>
  <c r="C98" i="84"/>
  <c r="C68" i="84"/>
  <c r="P45" i="84"/>
  <c r="K18" i="82" s="1"/>
  <c r="P40" i="85"/>
  <c r="P48" i="91"/>
  <c r="N57" i="95"/>
  <c r="P57" i="95" s="1"/>
  <c r="Q57" i="95" s="1"/>
  <c r="G31" i="97"/>
  <c r="I19" i="97"/>
  <c r="X17" i="97" s="1"/>
  <c r="AC15" i="97"/>
  <c r="U9" i="97"/>
  <c r="H17" i="98"/>
  <c r="H19" i="98" s="1"/>
  <c r="AI22" i="78"/>
  <c r="F101" i="98" s="1"/>
  <c r="N20" i="81"/>
  <c r="C38" i="84"/>
  <c r="S16" i="86"/>
  <c r="P5" i="86"/>
  <c r="T44" i="86" s="1"/>
  <c r="Q51" i="91"/>
  <c r="AA17" i="97"/>
  <c r="AA15" i="97"/>
  <c r="G17" i="98"/>
  <c r="G19" i="98" s="1"/>
  <c r="G20" i="98" s="1"/>
  <c r="AJ9" i="78"/>
  <c r="N19" i="81"/>
  <c r="A126" i="84"/>
  <c r="C116" i="84"/>
  <c r="O44" i="84" s="1"/>
  <c r="C86" i="84"/>
  <c r="P48" i="84"/>
  <c r="P42" i="84"/>
  <c r="C126" i="85"/>
  <c r="P49" i="91"/>
  <c r="H134" i="95"/>
  <c r="I128" i="95" s="1"/>
  <c r="J61" i="95"/>
  <c r="I1" i="95" a="1"/>
  <c r="K1" i="95" s="1"/>
  <c r="Y17" i="97"/>
  <c r="U7" i="97"/>
  <c r="U4" i="99"/>
  <c r="N23" i="81"/>
  <c r="U22" i="78"/>
  <c r="AK9" i="78"/>
  <c r="N4" i="88" s="1"/>
  <c r="N22" i="81"/>
  <c r="N11" i="81"/>
  <c r="N15" i="82"/>
  <c r="U9" i="78"/>
  <c r="N16" i="81"/>
  <c r="N27" i="82"/>
  <c r="N23" i="82"/>
  <c r="A96" i="84"/>
  <c r="P50" i="84"/>
  <c r="P45" i="85"/>
  <c r="H22" i="78" s="1"/>
  <c r="P8" i="86"/>
  <c r="Q57" i="91"/>
  <c r="P52" i="91"/>
  <c r="P51" i="91"/>
  <c r="I132" i="95"/>
  <c r="V15" i="97"/>
  <c r="N13" i="81"/>
  <c r="Q52" i="91"/>
  <c r="G49" i="98"/>
  <c r="U10" i="97"/>
  <c r="C25" i="77"/>
  <c r="O150" i="90"/>
  <c r="I137" i="90"/>
  <c r="U12" i="86"/>
  <c r="V12" i="86" s="1"/>
  <c r="U8" i="86"/>
  <c r="P141" i="90"/>
  <c r="C11" i="77"/>
  <c r="C16" i="77"/>
  <c r="C13" i="77"/>
  <c r="H11" i="78"/>
  <c r="F23" i="81"/>
  <c r="AK22" i="78"/>
  <c r="N17" i="88" s="1"/>
  <c r="O17" i="88" s="1"/>
  <c r="AL22" i="78" s="1"/>
  <c r="R76" i="85" s="1"/>
  <c r="AK21" i="78"/>
  <c r="N16" i="88" s="1"/>
  <c r="AK20" i="78"/>
  <c r="N15" i="88" s="1"/>
  <c r="AJ20" i="78"/>
  <c r="AI20" i="78"/>
  <c r="AI13" i="78"/>
  <c r="F87" i="98" s="1"/>
  <c r="AJ11" i="78"/>
  <c r="F14" i="81"/>
  <c r="F22" i="81"/>
  <c r="F19" i="81"/>
  <c r="F20" i="81"/>
  <c r="U21" i="78"/>
  <c r="V13" i="78"/>
  <c r="F16" i="81"/>
  <c r="V20" i="78"/>
  <c r="F15" i="81"/>
  <c r="F24" i="81"/>
  <c r="F21" i="81"/>
  <c r="F18" i="81"/>
  <c r="N138" i="90"/>
  <c r="X25" i="78" s="1"/>
  <c r="Y10" i="79"/>
  <c r="S35" i="85"/>
  <c r="W18" i="78"/>
  <c r="L17" i="80"/>
  <c r="R15" i="80"/>
  <c r="R17" i="80"/>
  <c r="I20" i="80"/>
  <c r="L15" i="80"/>
  <c r="C26" i="77"/>
  <c r="AA9" i="79"/>
  <c r="AA10" i="79" s="1"/>
  <c r="C24" i="77"/>
  <c r="AP20" i="79"/>
  <c r="AP18" i="79"/>
  <c r="C13" i="80"/>
  <c r="J96" i="85"/>
  <c r="R9" i="78" s="1"/>
  <c r="W9" i="78" s="1"/>
  <c r="AI9" i="78"/>
  <c r="F86" i="98" s="1"/>
  <c r="AI15" i="78"/>
  <c r="F91" i="98" s="1"/>
  <c r="U15" i="78"/>
  <c r="AJ15" i="78"/>
  <c r="V15" i="78"/>
  <c r="AK15" i="78"/>
  <c r="N10" i="88" s="1"/>
  <c r="H16" i="78"/>
  <c r="AI16" i="78"/>
  <c r="U16" i="78"/>
  <c r="AJ16" i="78"/>
  <c r="V16" i="78"/>
  <c r="AK16" i="78"/>
  <c r="N11" i="88" s="1"/>
  <c r="O16" i="88"/>
  <c r="AL21" i="78" s="1"/>
  <c r="P16" i="88"/>
  <c r="AM21" i="78" s="1"/>
  <c r="C10" i="77"/>
  <c r="N29" i="82"/>
  <c r="O29" i="82"/>
  <c r="E14" i="78"/>
  <c r="C20" i="77" s="1"/>
  <c r="H17" i="78"/>
  <c r="AI17" i="78"/>
  <c r="F94" i="98" s="1"/>
  <c r="U17" i="78"/>
  <c r="AJ17" i="78"/>
  <c r="V17" i="78"/>
  <c r="AK17" i="78"/>
  <c r="N12" i="88" s="1"/>
  <c r="R16" i="78"/>
  <c r="W16" i="78" s="1"/>
  <c r="R12" i="78"/>
  <c r="W12" i="78" s="1"/>
  <c r="J84" i="85"/>
  <c r="J99" i="85" s="1"/>
  <c r="O15" i="88"/>
  <c r="AL20" i="78" s="1"/>
  <c r="R72" i="85" s="1"/>
  <c r="R15" i="78"/>
  <c r="W15" i="78" s="1"/>
  <c r="H14" i="78"/>
  <c r="R14" i="78"/>
  <c r="W14" i="78" s="1"/>
  <c r="AI14" i="78"/>
  <c r="AJ14" i="78"/>
  <c r="U14" i="78"/>
  <c r="AK14" i="78"/>
  <c r="N9" i="88" s="1"/>
  <c r="C12" i="77"/>
  <c r="R13" i="78"/>
  <c r="W13" i="78" s="1"/>
  <c r="N15" i="80"/>
  <c r="A92" i="84"/>
  <c r="O46" i="84"/>
  <c r="P56" i="84"/>
  <c r="K29" i="82" s="1"/>
  <c r="N9" i="84"/>
  <c r="O13" i="82"/>
  <c r="A62" i="84"/>
  <c r="O36" i="84"/>
  <c r="O54" i="84"/>
  <c r="A56" i="84"/>
  <c r="O51" i="84"/>
  <c r="O13" i="88"/>
  <c r="AL18" i="78" s="1"/>
  <c r="A110" i="84"/>
  <c r="O50" i="84"/>
  <c r="J9" i="84"/>
  <c r="K9" i="84"/>
  <c r="L9" i="84"/>
  <c r="M9" i="84"/>
  <c r="H9" i="84"/>
  <c r="L116" i="85"/>
  <c r="I116" i="85"/>
  <c r="O6" i="88"/>
  <c r="AL11" i="78" s="1"/>
  <c r="R80" i="85" s="1"/>
  <c r="O4" i="88"/>
  <c r="O25" i="82"/>
  <c r="O10" i="82"/>
  <c r="P55" i="84"/>
  <c r="P46" i="84"/>
  <c r="A128" i="84"/>
  <c r="O48" i="84"/>
  <c r="O42" i="84"/>
  <c r="A38" i="84"/>
  <c r="M55" i="84"/>
  <c r="A24" i="84"/>
  <c r="C26" i="84"/>
  <c r="D127" i="85"/>
  <c r="C128" i="85"/>
  <c r="J116" i="85"/>
  <c r="G116" i="85"/>
  <c r="V12" i="78"/>
  <c r="AI11" i="78"/>
  <c r="F92" i="98" s="1"/>
  <c r="R16" i="80"/>
  <c r="M16" i="80"/>
  <c r="M15" i="80"/>
  <c r="O41" i="84"/>
  <c r="A98" i="84"/>
  <c r="O45" i="84"/>
  <c r="A14" i="84"/>
  <c r="S12" i="86"/>
  <c r="AK12" i="78"/>
  <c r="N7" i="88" s="1"/>
  <c r="G88" i="98"/>
  <c r="H88" i="98" s="1"/>
  <c r="F99" i="98"/>
  <c r="G100" i="98"/>
  <c r="H100" i="98" s="1"/>
  <c r="G87" i="98"/>
  <c r="H87" i="98" s="1"/>
  <c r="F98" i="98"/>
  <c r="G99" i="98"/>
  <c r="H99" i="98" s="1"/>
  <c r="G86" i="98"/>
  <c r="H86" i="98" s="1"/>
  <c r="F97" i="98"/>
  <c r="G98" i="98"/>
  <c r="H98" i="98" s="1"/>
  <c r="F84" i="98"/>
  <c r="G85" i="98"/>
  <c r="H85" i="98" s="1"/>
  <c r="F96" i="98"/>
  <c r="G97" i="98"/>
  <c r="H97" i="98" s="1"/>
  <c r="F83" i="98"/>
  <c r="G84" i="98"/>
  <c r="H84" i="98" s="1"/>
  <c r="F95" i="98"/>
  <c r="G96" i="98"/>
  <c r="H96" i="98" s="1"/>
  <c r="F82" i="98"/>
  <c r="G83" i="98"/>
  <c r="H83" i="98" s="1"/>
  <c r="G95" i="98"/>
  <c r="H95" i="98" s="1"/>
  <c r="G82" i="98"/>
  <c r="H82" i="98" s="1"/>
  <c r="F93" i="98"/>
  <c r="G94" i="98"/>
  <c r="H94" i="98" s="1"/>
  <c r="G93" i="98"/>
  <c r="H93" i="98" s="1"/>
  <c r="G92" i="98"/>
  <c r="H92" i="98" s="1"/>
  <c r="F103" i="98"/>
  <c r="F90" i="98"/>
  <c r="G91" i="98"/>
  <c r="H91" i="98" s="1"/>
  <c r="F102" i="98"/>
  <c r="G103" i="98"/>
  <c r="H103" i="98" s="1"/>
  <c r="F89" i="98"/>
  <c r="G90" i="98"/>
  <c r="H90" i="98" s="1"/>
  <c r="G102" i="98"/>
  <c r="H102" i="98" s="1"/>
  <c r="F100" i="98"/>
  <c r="F88" i="98"/>
  <c r="G101" i="98"/>
  <c r="H101" i="98" s="1"/>
  <c r="G89" i="98"/>
  <c r="H89" i="98" s="1"/>
  <c r="D2" i="93"/>
  <c r="M17" i="80"/>
  <c r="N12" i="82"/>
  <c r="O12" i="82"/>
  <c r="AJ12" i="78"/>
  <c r="T2" i="93"/>
  <c r="V2" i="93"/>
  <c r="N16" i="80"/>
  <c r="K17" i="80"/>
  <c r="K15" i="80"/>
  <c r="N19" i="82"/>
  <c r="A116" i="84"/>
  <c r="O52" i="84"/>
  <c r="T47" i="86"/>
  <c r="P38" i="85"/>
  <c r="H15" i="78" s="1"/>
  <c r="AI12" i="78"/>
  <c r="F85" i="98" s="1"/>
  <c r="I15" i="80"/>
  <c r="I17" i="80"/>
  <c r="AK13" i="78"/>
  <c r="N8" i="88" s="1"/>
  <c r="O5" i="88"/>
  <c r="AL10" i="78" s="1"/>
  <c r="R79" i="85" s="1"/>
  <c r="K16" i="80"/>
  <c r="N24" i="82"/>
  <c r="K116" i="85"/>
  <c r="N116"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S16" i="85"/>
  <c r="U10" i="79" s="1"/>
  <c r="AK4" i="86"/>
  <c r="AW4" i="86" s="1"/>
  <c r="Z4" i="86"/>
  <c r="U31" i="86"/>
  <c r="V31" i="86" s="1"/>
  <c r="S31" i="86" s="1"/>
  <c r="S11" i="86"/>
  <c r="U10" i="86"/>
  <c r="F80" i="92"/>
  <c r="E86" i="92"/>
  <c r="T34" i="85"/>
  <c r="L147" i="90"/>
  <c r="U13" i="86"/>
  <c r="V13" i="86" s="1"/>
  <c r="S13" i="86" s="1"/>
  <c r="U9" i="86"/>
  <c r="V9" i="86" s="1"/>
  <c r="S9" i="86" s="1"/>
  <c r="O14" i="88"/>
  <c r="AL19" i="78" s="1"/>
  <c r="M77" i="92"/>
  <c r="J27" i="101" s="1"/>
  <c r="M82" i="92"/>
  <c r="M88" i="92" s="1"/>
  <c r="U32" i="86"/>
  <c r="V32" i="86" s="1"/>
  <c r="S32" i="86" s="1"/>
  <c r="O36" i="85"/>
  <c r="T6" i="86" s="1"/>
  <c r="N144" i="90"/>
  <c r="O144" i="90" s="1"/>
  <c r="C20" i="84"/>
  <c r="U5" i="86"/>
  <c r="O48" i="91"/>
  <c r="O46" i="91"/>
  <c r="O141" i="90"/>
  <c r="O57" i="95"/>
  <c r="O58" i="95"/>
  <c r="P58" i="95"/>
  <c r="Q58" i="95" s="1"/>
  <c r="H77" i="92"/>
  <c r="AT31" i="79" s="1"/>
  <c r="H82" i="92"/>
  <c r="I103" i="95"/>
  <c r="N101" i="95"/>
  <c r="N103" i="95" s="1"/>
  <c r="H104" i="95" s="1"/>
  <c r="D74" i="92"/>
  <c r="I75" i="92"/>
  <c r="AU29" i="79" s="1"/>
  <c r="F134" i="95"/>
  <c r="G129" i="95" s="1"/>
  <c r="L51" i="95"/>
  <c r="L60" i="95" s="1"/>
  <c r="J60" i="95"/>
  <c r="N82" i="92"/>
  <c r="N88" i="92" s="1"/>
  <c r="I76" i="92"/>
  <c r="AU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P57" i="84" l="1"/>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M20" i="78" s="1"/>
  <c r="P6" i="88"/>
  <c r="AM11" i="78" s="1"/>
  <c r="P17" i="88"/>
  <c r="AM22" i="78"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L16" i="78" s="1"/>
  <c r="R70" i="85" s="1"/>
  <c r="R38" i="95"/>
  <c r="R40" i="95" s="1"/>
  <c r="Y78" i="95"/>
  <c r="Y79" i="95" s="1"/>
  <c r="AA79" i="95" s="1"/>
  <c r="F13" i="95"/>
  <c r="H13" i="95" s="1"/>
  <c r="L72" i="95"/>
  <c r="O54" i="95"/>
  <c r="O61" i="95" s="1"/>
  <c r="H72" i="95" s="1"/>
  <c r="P54" i="95"/>
  <c r="Q54" i="95" s="1"/>
  <c r="H67" i="95" s="1"/>
  <c r="H70" i="95" s="1"/>
  <c r="P16" i="85"/>
  <c r="O95" i="85"/>
  <c r="O8" i="88"/>
  <c r="AL13" i="78" s="1"/>
  <c r="R67" i="85" s="1"/>
  <c r="M93" i="98"/>
  <c r="I93" i="98"/>
  <c r="O12" i="88"/>
  <c r="AL17" i="78" s="1"/>
  <c r="R71" i="85" s="1"/>
  <c r="G80" i="92"/>
  <c r="F86" i="92"/>
  <c r="F89" i="92" s="1"/>
  <c r="AA10" i="97"/>
  <c r="G132" i="95"/>
  <c r="J132" i="95" s="1"/>
  <c r="I89" i="98"/>
  <c r="M89" i="98"/>
  <c r="I84" i="98"/>
  <c r="M84" i="98"/>
  <c r="I87" i="98"/>
  <c r="M87" i="98"/>
  <c r="AL9" i="78"/>
  <c r="R78" i="85" s="1"/>
  <c r="Q6" i="88"/>
  <c r="O10" i="88"/>
  <c r="AL15" i="78" s="1"/>
  <c r="R69" i="85" s="1"/>
  <c r="P10" i="88"/>
  <c r="AM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L12" i="78" s="1"/>
  <c r="R66" i="85" s="1"/>
  <c r="P7" i="88"/>
  <c r="AM12" i="78" s="1"/>
  <c r="Q7" i="88"/>
  <c r="AN12" i="78" s="1"/>
  <c r="H110" i="95"/>
  <c r="F24" i="95" s="1"/>
  <c r="H24" i="95" s="1"/>
  <c r="Q41" i="95" s="1"/>
  <c r="S41" i="95" s="1"/>
  <c r="O27" i="99"/>
  <c r="N26" i="99"/>
  <c r="Z19" i="97"/>
  <c r="G70" i="95"/>
  <c r="O55" i="84"/>
  <c r="O57" i="84" s="1"/>
  <c r="A26" i="84"/>
  <c r="O9" i="84"/>
  <c r="P13" i="88"/>
  <c r="Q15" i="88"/>
  <c r="Q16" i="88"/>
  <c r="I90" i="98"/>
  <c r="M90" i="98"/>
  <c r="I85" i="98"/>
  <c r="M85" i="98"/>
  <c r="I82" i="98"/>
  <c r="M82" i="98"/>
  <c r="R3" i="99"/>
  <c r="S4" i="99"/>
  <c r="L52" i="95"/>
  <c r="K68" i="95" s="1"/>
  <c r="O23" i="95"/>
  <c r="P14" i="88"/>
  <c r="M103" i="98"/>
  <c r="I103" i="98"/>
  <c r="O9" i="88"/>
  <c r="AL14" i="78" s="1"/>
  <c r="R68" i="85"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K10" i="81" s="1"/>
  <c r="G13" i="98"/>
  <c r="P78" i="98" s="1"/>
  <c r="Q77" i="98" s="1"/>
  <c r="J10" i="81" s="1"/>
  <c r="N104" i="95"/>
  <c r="M105" i="95" s="1"/>
  <c r="P6" i="86"/>
  <c r="S6" i="86"/>
  <c r="S33" i="86" s="1"/>
  <c r="I88" i="98"/>
  <c r="M88" i="98"/>
  <c r="P4" i="88"/>
  <c r="P12" i="88" l="1"/>
  <c r="AM17" i="78" s="1"/>
  <c r="K128" i="95"/>
  <c r="L128" i="95" s="1"/>
  <c r="F26" i="95" s="1"/>
  <c r="H26" i="95" s="1"/>
  <c r="Q43" i="95" s="1"/>
  <c r="S43" i="95" s="1"/>
  <c r="G11" i="84"/>
  <c r="G22" i="84"/>
  <c r="X62" i="95"/>
  <c r="X59" i="95"/>
  <c r="X57" i="95"/>
  <c r="G19" i="84"/>
  <c r="H19" i="84" s="1"/>
  <c r="X50" i="95"/>
  <c r="Z63" i="95" s="1"/>
  <c r="M71" i="95" s="1"/>
  <c r="P9" i="88"/>
  <c r="AM14" i="78" s="1"/>
  <c r="Q12" i="88"/>
  <c r="AN17" i="78" s="1"/>
  <c r="P8" i="88"/>
  <c r="Q17" i="88"/>
  <c r="J27" i="84"/>
  <c r="L27" i="84"/>
  <c r="M27" i="84"/>
  <c r="H27" i="84"/>
  <c r="K27" i="84"/>
  <c r="N27" i="84"/>
  <c r="I27" i="84"/>
  <c r="AN11" i="78"/>
  <c r="R6" i="88"/>
  <c r="Z59" i="95"/>
  <c r="AC59" i="95"/>
  <c r="B9" i="95"/>
  <c r="B12" i="95"/>
  <c r="B27" i="95"/>
  <c r="B26" i="95"/>
  <c r="B21" i="95"/>
  <c r="B24" i="95"/>
  <c r="B7" i="95"/>
  <c r="B25" i="95"/>
  <c r="B8" i="95"/>
  <c r="B13" i="95"/>
  <c r="AC55" i="95"/>
  <c r="Z55" i="95"/>
  <c r="AN20" i="78"/>
  <c r="R15" i="88"/>
  <c r="L20" i="99"/>
  <c r="M21" i="99"/>
  <c r="O10" i="84"/>
  <c r="G86" i="92"/>
  <c r="H80" i="92"/>
  <c r="AM4" i="86"/>
  <c r="AB4" i="86"/>
  <c r="AC56" i="95"/>
  <c r="Z56" i="95"/>
  <c r="I22" i="84"/>
  <c r="J22" i="84"/>
  <c r="L22" i="84"/>
  <c r="M22" i="84"/>
  <c r="N22" i="84"/>
  <c r="H22" i="84"/>
  <c r="K22" i="84"/>
  <c r="S21" i="99"/>
  <c r="T20" i="99"/>
  <c r="Q10" i="88"/>
  <c r="G24" i="84"/>
  <c r="F18" i="95"/>
  <c r="M72" i="95"/>
  <c r="P11" i="88"/>
  <c r="Z62" i="95"/>
  <c r="AC62" i="95"/>
  <c r="AM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M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M9" i="78"/>
  <c r="Q4" i="88"/>
  <c r="AM10" i="78"/>
  <c r="Q5" i="88"/>
  <c r="I105" i="98"/>
  <c r="I107" i="98" s="1"/>
  <c r="Z58" i="95"/>
  <c r="AC58" i="95"/>
  <c r="AN21" i="78"/>
  <c r="R16" i="88"/>
  <c r="M105" i="98"/>
  <c r="M107" i="98" s="1"/>
  <c r="Q9" i="88"/>
  <c r="AC53" i="95"/>
  <c r="Z53" i="95"/>
  <c r="C18" i="95"/>
  <c r="C7" i="95"/>
  <c r="C8" i="95"/>
  <c r="C9" i="95"/>
  <c r="C25" i="95"/>
  <c r="C29" i="95"/>
  <c r="C12" i="95"/>
  <c r="C27" i="95"/>
  <c r="C26" i="95"/>
  <c r="C21" i="95"/>
  <c r="C24" i="95"/>
  <c r="C13" i="95"/>
  <c r="R7" i="88"/>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72" i="86"/>
  <c r="P36" i="85"/>
  <c r="H13" i="78" s="1"/>
  <c r="P1" i="86"/>
  <c r="F105" i="95"/>
  <c r="H105" i="95"/>
  <c r="U99" i="85"/>
  <c r="O58" i="91"/>
  <c r="P16" i="86"/>
  <c r="P46" i="85" s="1"/>
  <c r="P34" i="85"/>
  <c r="P33" i="85"/>
  <c r="G23" i="84"/>
  <c r="Z51" i="95"/>
  <c r="AC51" i="95"/>
  <c r="E25" i="95"/>
  <c r="E18" i="95"/>
  <c r="E9" i="95"/>
  <c r="E29" i="95"/>
  <c r="E13" i="95"/>
  <c r="E24" i="95"/>
  <c r="E12" i="95"/>
  <c r="E7" i="95"/>
  <c r="E26" i="95"/>
  <c r="E27" i="95"/>
  <c r="E21" i="95"/>
  <c r="E8" i="95"/>
  <c r="Y3" i="99"/>
  <c r="X4" i="99"/>
  <c r="L25" i="79" s="1"/>
  <c r="L26" i="79" s="1"/>
  <c r="N103" i="98" l="1"/>
  <c r="O103" i="98" s="1"/>
  <c r="K26" i="78" s="1"/>
  <c r="N93" i="98"/>
  <c r="O93" i="98" s="1"/>
  <c r="K16" i="78" s="1"/>
  <c r="H94" i="95"/>
  <c r="H95" i="95" s="1"/>
  <c r="D30" i="95"/>
  <c r="Z71" i="95"/>
  <c r="AA71" i="95" s="1"/>
  <c r="L19" i="84"/>
  <c r="Z50" i="95"/>
  <c r="I19" i="84"/>
  <c r="E30" i="95"/>
  <c r="L30" i="95" s="1"/>
  <c r="D26" i="95"/>
  <c r="H107" i="94" s="1"/>
  <c r="M19" i="84"/>
  <c r="O19" i="84" s="1"/>
  <c r="N19" i="84"/>
  <c r="K19" i="84"/>
  <c r="R12" i="88"/>
  <c r="AO17" i="78" s="1"/>
  <c r="C30" i="95"/>
  <c r="J19" i="84"/>
  <c r="N102" i="98"/>
  <c r="O102" i="98" s="1"/>
  <c r="K29" i="78" s="1"/>
  <c r="N83" i="98"/>
  <c r="O83" i="98" s="1"/>
  <c r="K27" i="78" s="1"/>
  <c r="N86" i="98"/>
  <c r="O86" i="98" s="1"/>
  <c r="K9" i="78" s="1"/>
  <c r="N90" i="98"/>
  <c r="O90" i="98" s="1"/>
  <c r="K23" i="78" s="1"/>
  <c r="AN22" i="78"/>
  <c r="R17" i="88"/>
  <c r="N85" i="98"/>
  <c r="O85" i="98" s="1"/>
  <c r="K12" i="78" s="1"/>
  <c r="N100" i="98"/>
  <c r="O100" i="98" s="1"/>
  <c r="K24" i="78" s="1"/>
  <c r="AM13" i="78"/>
  <c r="Q8" i="88"/>
  <c r="N82" i="98"/>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F92" i="94"/>
  <c r="F91" i="94"/>
  <c r="O27" i="84"/>
  <c r="L8" i="95"/>
  <c r="I19" i="94"/>
  <c r="I20" i="94"/>
  <c r="K27" i="95"/>
  <c r="H96" i="94"/>
  <c r="N62" i="98"/>
  <c r="K15" i="81" s="1"/>
  <c r="I17" i="84"/>
  <c r="J17" i="84"/>
  <c r="L17" i="84"/>
  <c r="N17" i="84"/>
  <c r="H17" i="84"/>
  <c r="K17" i="84"/>
  <c r="M17" i="84"/>
  <c r="N97" i="98"/>
  <c r="O97" i="98" s="1"/>
  <c r="K20" i="78" s="1"/>
  <c r="G11" i="94"/>
  <c r="J7" i="95"/>
  <c r="G80" i="94"/>
  <c r="G18" i="94"/>
  <c r="G90" i="94"/>
  <c r="G12" i="94"/>
  <c r="G15" i="94"/>
  <c r="G13" i="94"/>
  <c r="G16" i="94"/>
  <c r="G81" i="94"/>
  <c r="G14" i="94"/>
  <c r="G9" i="94"/>
  <c r="G17" i="94"/>
  <c r="O9" i="95"/>
  <c r="I9" i="95"/>
  <c r="F22" i="94"/>
  <c r="F23" i="94"/>
  <c r="F24" i="94"/>
  <c r="F27" i="94"/>
  <c r="F21" i="94"/>
  <c r="F26" i="94"/>
  <c r="F25" i="94"/>
  <c r="F28" i="94"/>
  <c r="J26" i="95"/>
  <c r="G107" i="94"/>
  <c r="AN18" i="78"/>
  <c r="R13" i="88"/>
  <c r="L24" i="95"/>
  <c r="I95" i="94"/>
  <c r="K12" i="95"/>
  <c r="H32" i="94"/>
  <c r="H36" i="94"/>
  <c r="H37" i="94"/>
  <c r="H31" i="94"/>
  <c r="H39" i="94"/>
  <c r="H35" i="94"/>
  <c r="H40" i="94"/>
  <c r="H34" i="94"/>
  <c r="H33" i="94"/>
  <c r="H38" i="94"/>
  <c r="H16" i="84"/>
  <c r="I16" i="84"/>
  <c r="K16" i="84"/>
  <c r="M16" i="84"/>
  <c r="J16" i="84"/>
  <c r="L16" i="84"/>
  <c r="N16" i="84"/>
  <c r="N101" i="98"/>
  <c r="O101" i="98" s="1"/>
  <c r="K22" i="78" s="1"/>
  <c r="P3" i="99"/>
  <c r="Q4" i="99"/>
  <c r="B30" i="95"/>
  <c r="S12" i="88"/>
  <c r="N69" i="98"/>
  <c r="K22" i="81" s="1"/>
  <c r="L21" i="95"/>
  <c r="I92" i="94"/>
  <c r="I91" i="94"/>
  <c r="K29" i="95"/>
  <c r="H97" i="94"/>
  <c r="N60" i="98"/>
  <c r="K13" i="81" s="1"/>
  <c r="M13" i="84"/>
  <c r="N13" i="84"/>
  <c r="I13" i="84"/>
  <c r="K13" i="84"/>
  <c r="O13" i="84" s="1"/>
  <c r="H13" i="84"/>
  <c r="J13" i="84"/>
  <c r="L13" i="84"/>
  <c r="J27" i="95"/>
  <c r="G96" i="94"/>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G95" i="94"/>
  <c r="C28" i="95"/>
  <c r="AO21" i="78"/>
  <c r="S16" i="88"/>
  <c r="N84" i="98"/>
  <c r="O84" i="98" s="1"/>
  <c r="K28" i="78" s="1"/>
  <c r="H24" i="84"/>
  <c r="J24" i="84"/>
  <c r="K24" i="84"/>
  <c r="O24" i="84" s="1"/>
  <c r="M24" i="84"/>
  <c r="N24" i="84"/>
  <c r="I24" i="84"/>
  <c r="L24" i="84"/>
  <c r="B29" i="95"/>
  <c r="I26" i="95"/>
  <c r="F107" i="94"/>
  <c r="T26" i="99"/>
  <c r="S27" i="99"/>
  <c r="J8" i="95"/>
  <c r="G19" i="94"/>
  <c r="G20" i="94"/>
  <c r="J13" i="95"/>
  <c r="G41" i="94"/>
  <c r="G42" i="94"/>
  <c r="AM16" i="78"/>
  <c r="Q11" i="88"/>
  <c r="Q18" i="88" s="1"/>
  <c r="H23" i="84"/>
  <c r="J23" i="84"/>
  <c r="K23" i="84"/>
  <c r="M23" i="84"/>
  <c r="N23" i="84"/>
  <c r="I23" i="84"/>
  <c r="L23" i="84"/>
  <c r="N64" i="98"/>
  <c r="K17" i="81" s="1"/>
  <c r="I96" i="94"/>
  <c r="L27" i="95"/>
  <c r="K30" i="95"/>
  <c r="H108" i="94"/>
  <c r="N71" i="98"/>
  <c r="K24" i="81" s="1"/>
  <c r="H21" i="84"/>
  <c r="I21" i="84"/>
  <c r="K21" i="84"/>
  <c r="L21" i="84"/>
  <c r="N21" i="84"/>
  <c r="J21" i="84"/>
  <c r="M21" i="84"/>
  <c r="J21" i="95"/>
  <c r="G92" i="94"/>
  <c r="G91" i="94"/>
  <c r="G35" i="94"/>
  <c r="J12" i="95"/>
  <c r="G36" i="94"/>
  <c r="G34" i="94"/>
  <c r="G31" i="94"/>
  <c r="G32" i="94"/>
  <c r="G39" i="94"/>
  <c r="G33" i="94"/>
  <c r="G38" i="94"/>
  <c r="G40" i="94"/>
  <c r="G37" i="94"/>
  <c r="J32" i="79"/>
  <c r="J13" i="79"/>
  <c r="I13" i="95"/>
  <c r="F42" i="94"/>
  <c r="O13" i="95"/>
  <c r="F41" i="94"/>
  <c r="N91" i="98"/>
  <c r="O91" i="98" s="1"/>
  <c r="K15" i="78" s="1"/>
  <c r="AO12" i="78"/>
  <c r="S7" i="88"/>
  <c r="K28" i="95"/>
  <c r="H100" i="94"/>
  <c r="H103" i="94"/>
  <c r="H101" i="94"/>
  <c r="H109" i="94"/>
  <c r="H104" i="94"/>
  <c r="H102" i="94"/>
  <c r="H106" i="94"/>
  <c r="H98" i="94"/>
  <c r="H99" i="94"/>
  <c r="H105" i="94"/>
  <c r="G59" i="94"/>
  <c r="J18" i="95"/>
  <c r="G60" i="94"/>
  <c r="G54" i="94"/>
  <c r="G64" i="94"/>
  <c r="G68" i="94"/>
  <c r="G66" i="94"/>
  <c r="G76" i="94"/>
  <c r="G56" i="94"/>
  <c r="G79" i="94"/>
  <c r="G69" i="94"/>
  <c r="G55" i="94"/>
  <c r="G78" i="94"/>
  <c r="G73" i="94"/>
  <c r="G57" i="94"/>
  <c r="G70" i="94"/>
  <c r="G75" i="94"/>
  <c r="G74" i="94"/>
  <c r="G67" i="94"/>
  <c r="G61" i="94"/>
  <c r="G65" i="94"/>
  <c r="G62" i="94"/>
  <c r="G58" i="94"/>
  <c r="G63" i="94"/>
  <c r="H86" i="92"/>
  <c r="I80" i="92"/>
  <c r="L13" i="95"/>
  <c r="I42" i="94"/>
  <c r="I41" i="94"/>
  <c r="H92" i="94"/>
  <c r="K21" i="95"/>
  <c r="H91" i="94"/>
  <c r="L29" i="95"/>
  <c r="I97" i="94"/>
  <c r="K18" i="95"/>
  <c r="H60" i="94"/>
  <c r="H74" i="94"/>
  <c r="H68" i="94"/>
  <c r="H56" i="94"/>
  <c r="H79" i="94"/>
  <c r="H75" i="94"/>
  <c r="H62" i="94"/>
  <c r="H59" i="94"/>
  <c r="H66" i="94"/>
  <c r="H70" i="94"/>
  <c r="H57" i="94"/>
  <c r="H73" i="94"/>
  <c r="H54" i="94"/>
  <c r="H61" i="94"/>
  <c r="H67" i="94"/>
  <c r="H76" i="94"/>
  <c r="H65" i="94"/>
  <c r="H63" i="94"/>
  <c r="H58" i="94"/>
  <c r="H78" i="94"/>
  <c r="H55" i="94"/>
  <c r="H69" i="94"/>
  <c r="H64" i="94"/>
  <c r="N68" i="98"/>
  <c r="K21" i="81" s="1"/>
  <c r="K24" i="95"/>
  <c r="H95" i="94"/>
  <c r="N65" i="98"/>
  <c r="K18" i="81" s="1"/>
  <c r="N58" i="98"/>
  <c r="K11" i="81" s="1"/>
  <c r="M73" i="98"/>
  <c r="P70" i="98" s="1"/>
  <c r="Q70" i="98" s="1"/>
  <c r="J23" i="81" s="1"/>
  <c r="N15" i="84"/>
  <c r="H15" i="84"/>
  <c r="J15" i="84"/>
  <c r="L15" i="84"/>
  <c r="K15" i="84"/>
  <c r="M15" i="84"/>
  <c r="I15" i="84"/>
  <c r="J29" i="95"/>
  <c r="G97" i="94"/>
  <c r="H25" i="95"/>
  <c r="Q42" i="95" s="1"/>
  <c r="AN10" i="78"/>
  <c r="R5" i="88"/>
  <c r="I71" i="95"/>
  <c r="AN15" i="78"/>
  <c r="R10" i="88"/>
  <c r="K20" i="99"/>
  <c r="L21" i="99"/>
  <c r="I27" i="95"/>
  <c r="O27" i="95"/>
  <c r="F96" i="94"/>
  <c r="AO11" i="78"/>
  <c r="S6" i="88"/>
  <c r="K13" i="95"/>
  <c r="H41" i="94"/>
  <c r="H42" i="94"/>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N19" i="78"/>
  <c r="R14" i="88"/>
  <c r="T21" i="99"/>
  <c r="U20" i="99"/>
  <c r="U21" i="99" s="1"/>
  <c r="I8" i="95"/>
  <c r="F20" i="94"/>
  <c r="O8" i="95"/>
  <c r="F19" i="94"/>
  <c r="B28" i="95"/>
  <c r="L12" i="95"/>
  <c r="I35" i="94"/>
  <c r="I36" i="94"/>
  <c r="I34" i="94"/>
  <c r="I31" i="94"/>
  <c r="I38" i="94"/>
  <c r="I32" i="94"/>
  <c r="I37" i="94"/>
  <c r="I33" i="94"/>
  <c r="I39" i="94"/>
  <c r="I40" i="94"/>
  <c r="O82" i="98"/>
  <c r="K30" i="78" s="1"/>
  <c r="N70" i="98"/>
  <c r="K23" i="81" s="1"/>
  <c r="N61" i="98"/>
  <c r="K14" i="81" s="1"/>
  <c r="I26" i="84"/>
  <c r="K26" i="84"/>
  <c r="L26" i="84"/>
  <c r="N26" i="84"/>
  <c r="H26" i="84"/>
  <c r="J26" i="84"/>
  <c r="M26" i="84"/>
  <c r="AN9" i="78"/>
  <c r="R4" i="88"/>
  <c r="AN4" i="86"/>
  <c r="AC4" i="86"/>
  <c r="AO20" i="78"/>
  <c r="S15" i="88"/>
  <c r="O25" i="95"/>
  <c r="N98" i="98"/>
  <c r="O98" i="98" s="1"/>
  <c r="K21" i="78" s="1"/>
  <c r="N67" i="98"/>
  <c r="K20" i="81" s="1"/>
  <c r="L12" i="84"/>
  <c r="M12" i="84"/>
  <c r="N12" i="84"/>
  <c r="H12" i="84"/>
  <c r="J12" i="84"/>
  <c r="K12" i="84"/>
  <c r="I12" i="84"/>
  <c r="H20" i="84"/>
  <c r="J20" i="84"/>
  <c r="K20" i="84"/>
  <c r="M20" i="84"/>
  <c r="I20" i="84"/>
  <c r="L20" i="84"/>
  <c r="N20" i="84"/>
  <c r="L26" i="95"/>
  <c r="I107" i="94"/>
  <c r="L9" i="95"/>
  <c r="I24" i="94"/>
  <c r="I23" i="94"/>
  <c r="I22" i="94"/>
  <c r="I28" i="94"/>
  <c r="I27" i="94"/>
  <c r="I21" i="94"/>
  <c r="I25" i="94"/>
  <c r="I26" i="94"/>
  <c r="P33" i="86"/>
  <c r="N63" i="98"/>
  <c r="K16" i="81" s="1"/>
  <c r="J30" i="95"/>
  <c r="G108" i="94"/>
  <c r="L7" i="95"/>
  <c r="I12" i="94"/>
  <c r="I11" i="94"/>
  <c r="I80" i="94"/>
  <c r="I18" i="94"/>
  <c r="I90" i="94"/>
  <c r="I9" i="94"/>
  <c r="I14" i="94"/>
  <c r="I16" i="94"/>
  <c r="I15" i="94"/>
  <c r="I17" i="94"/>
  <c r="I81" i="94"/>
  <c r="I13" i="94"/>
  <c r="S72" i="86"/>
  <c r="T72" i="86"/>
  <c r="O72" i="86"/>
  <c r="K8" i="95"/>
  <c r="H20" i="94"/>
  <c r="H19" i="94"/>
  <c r="N66" i="98"/>
  <c r="K19" i="81" s="1"/>
  <c r="M14" i="84"/>
  <c r="N14" i="84"/>
  <c r="I14" i="84"/>
  <c r="K14" i="84"/>
  <c r="H14" i="84"/>
  <c r="J14" i="84"/>
  <c r="L14" i="84"/>
  <c r="AN14" i="78"/>
  <c r="R9" i="88"/>
  <c r="N94" i="98"/>
  <c r="O94" i="98" s="1"/>
  <c r="K17" i="78" s="1"/>
  <c r="O7" i="95"/>
  <c r="I7" i="95"/>
  <c r="F80" i="94"/>
  <c r="F18" i="94"/>
  <c r="F11" i="94"/>
  <c r="F90" i="94"/>
  <c r="F12" i="94"/>
  <c r="F16" i="94"/>
  <c r="F9" i="94"/>
  <c r="F14" i="94"/>
  <c r="F17" i="94"/>
  <c r="F81" i="94"/>
  <c r="F15" i="94"/>
  <c r="F13" i="94"/>
  <c r="I18" i="84"/>
  <c r="J18" i="84"/>
  <c r="L18" i="84"/>
  <c r="N18" i="84"/>
  <c r="H18" i="84"/>
  <c r="K18" i="84"/>
  <c r="M18" i="84"/>
  <c r="E28" i="95"/>
  <c r="I59" i="94"/>
  <c r="I60" i="94"/>
  <c r="I54" i="94"/>
  <c r="I67" i="94"/>
  <c r="I74" i="94"/>
  <c r="L18" i="95"/>
  <c r="I68" i="94"/>
  <c r="I66" i="94"/>
  <c r="I75" i="94"/>
  <c r="I62" i="94"/>
  <c r="I56" i="94"/>
  <c r="I79" i="94"/>
  <c r="I61" i="94"/>
  <c r="I69" i="94"/>
  <c r="I55" i="94"/>
  <c r="I78" i="94"/>
  <c r="I64" i="94"/>
  <c r="I65" i="94"/>
  <c r="I70" i="94"/>
  <c r="I63" i="94"/>
  <c r="I76" i="94"/>
  <c r="I58" i="94"/>
  <c r="I57" i="94"/>
  <c r="I73" i="94"/>
  <c r="K9" i="95"/>
  <c r="H24" i="94"/>
  <c r="H25" i="94"/>
  <c r="H23" i="94"/>
  <c r="H26" i="94"/>
  <c r="H27" i="94"/>
  <c r="H22" i="94"/>
  <c r="H21" i="94"/>
  <c r="H28" i="94"/>
  <c r="K7" i="95"/>
  <c r="H12" i="94"/>
  <c r="H80" i="94"/>
  <c r="H13" i="94"/>
  <c r="H11" i="94"/>
  <c r="H9" i="94"/>
  <c r="H14" i="94"/>
  <c r="H16" i="94"/>
  <c r="H15" i="94"/>
  <c r="H90" i="94"/>
  <c r="H81" i="94"/>
  <c r="H17" i="94"/>
  <c r="H18" i="94"/>
  <c r="N59" i="98"/>
  <c r="K12" i="81" s="1"/>
  <c r="I25" i="84"/>
  <c r="K25" i="84"/>
  <c r="L25" i="84"/>
  <c r="N25" i="84"/>
  <c r="H25" i="84"/>
  <c r="J25" i="84"/>
  <c r="M25" i="84"/>
  <c r="J9" i="95"/>
  <c r="G22" i="94"/>
  <c r="G23" i="94"/>
  <c r="G24" i="94"/>
  <c r="G27" i="94"/>
  <c r="G26" i="94"/>
  <c r="G25" i="94"/>
  <c r="G21" i="94"/>
  <c r="G28" i="94"/>
  <c r="P18" i="88"/>
  <c r="P19" i="88" s="1"/>
  <c r="V17" i="93"/>
  <c r="J11" i="80"/>
  <c r="N89" i="98"/>
  <c r="O89" i="98" s="1"/>
  <c r="K14" i="78" s="1"/>
  <c r="F10" i="95"/>
  <c r="H9" i="95"/>
  <c r="O22" i="84"/>
  <c r="N99" i="98"/>
  <c r="O99" i="98" s="1"/>
  <c r="K25" i="78" s="1"/>
  <c r="N95" i="98"/>
  <c r="O95" i="98" s="1"/>
  <c r="K18" i="78" s="1"/>
  <c r="I24" i="95"/>
  <c r="O24" i="95"/>
  <c r="F95" i="94"/>
  <c r="I12" i="95"/>
  <c r="O12" i="95"/>
  <c r="F32" i="94"/>
  <c r="F34" i="94"/>
  <c r="F37" i="94"/>
  <c r="F39" i="94"/>
  <c r="F35" i="94"/>
  <c r="F36" i="94"/>
  <c r="F33" i="94"/>
  <c r="F38" i="94"/>
  <c r="F31" i="94"/>
  <c r="F40" i="94"/>
  <c r="O14" i="84" l="1"/>
  <c r="K26" i="95"/>
  <c r="O15" i="84"/>
  <c r="I108" i="94"/>
  <c r="O16" i="84"/>
  <c r="O25" i="84"/>
  <c r="O26" i="95"/>
  <c r="M24" i="95"/>
  <c r="O12" i="84"/>
  <c r="AN13" i="78"/>
  <c r="R8" i="88"/>
  <c r="AO22" i="78"/>
  <c r="S17" i="88"/>
  <c r="Q21" i="80"/>
  <c r="R21" i="80" s="1"/>
  <c r="N21" i="80" s="1"/>
  <c r="J105" i="98"/>
  <c r="K82" i="98"/>
  <c r="L30" i="78" s="1"/>
  <c r="AO14" i="78"/>
  <c r="S9" i="88"/>
  <c r="P67" i="98"/>
  <c r="Q67" i="98" s="1"/>
  <c r="J20" i="81" s="1"/>
  <c r="Q19" i="88"/>
  <c r="P105" i="98"/>
  <c r="P58" i="98"/>
  <c r="M13" i="95"/>
  <c r="P71" i="98"/>
  <c r="Q71" i="98" s="1"/>
  <c r="J24" i="81" s="1"/>
  <c r="O23" i="84"/>
  <c r="U26" i="99"/>
  <c r="U27" i="99" s="1"/>
  <c r="T27" i="99"/>
  <c r="O28" i="84"/>
  <c r="F4" i="95"/>
  <c r="F5" i="95"/>
  <c r="H6" i="95"/>
  <c r="E6" i="95"/>
  <c r="C6" i="95"/>
  <c r="D6" i="95"/>
  <c r="B6" i="95"/>
  <c r="O3" i="99"/>
  <c r="P4" i="99"/>
  <c r="N105" i="98"/>
  <c r="O20" i="84"/>
  <c r="I28" i="95"/>
  <c r="O28" i="95"/>
  <c r="F104" i="94"/>
  <c r="F102" i="94"/>
  <c r="F109" i="94"/>
  <c r="F105" i="94"/>
  <c r="F98" i="94"/>
  <c r="F99" i="94"/>
  <c r="F103" i="94"/>
  <c r="F100" i="94"/>
  <c r="F101" i="94"/>
  <c r="F106" i="94"/>
  <c r="P65" i="98"/>
  <c r="Q65" i="98" s="1"/>
  <c r="J18" i="81" s="1"/>
  <c r="M26" i="95"/>
  <c r="Q46" i="95"/>
  <c r="S46" i="95" s="1"/>
  <c r="S42" i="95"/>
  <c r="O18" i="84"/>
  <c r="AN16" i="78"/>
  <c r="R11" i="88"/>
  <c r="J28" i="95"/>
  <c r="G100" i="94"/>
  <c r="G103" i="94"/>
  <c r="G101" i="94"/>
  <c r="G109" i="94"/>
  <c r="G104" i="94"/>
  <c r="G99" i="94"/>
  <c r="G106" i="94"/>
  <c r="G98" i="94"/>
  <c r="G105" i="94"/>
  <c r="G102" i="94"/>
  <c r="L27" i="99"/>
  <c r="K26" i="99"/>
  <c r="P69" i="98"/>
  <c r="Q69" i="98" s="1"/>
  <c r="J22" i="81" s="1"/>
  <c r="O17" i="84"/>
  <c r="AO10" i="78"/>
  <c r="S5" i="88"/>
  <c r="P59" i="98"/>
  <c r="Q59" i="98" s="1"/>
  <c r="J12" i="81" s="1"/>
  <c r="I86" i="92"/>
  <c r="J80" i="92"/>
  <c r="F97" i="94"/>
  <c r="O29" i="95"/>
  <c r="I29" i="95"/>
  <c r="M29" i="95" s="1"/>
  <c r="AP20" i="78"/>
  <c r="T15" i="88"/>
  <c r="M27" i="95"/>
  <c r="O26" i="84"/>
  <c r="M8" i="95"/>
  <c r="AP12" i="78"/>
  <c r="T7" i="88"/>
  <c r="AP21" i="78"/>
  <c r="T16" i="88"/>
  <c r="F20" i="95"/>
  <c r="H19" i="95"/>
  <c r="D19" i="95"/>
  <c r="B19" i="95"/>
  <c r="C19" i="95"/>
  <c r="E19" i="95"/>
  <c r="H10" i="95"/>
  <c r="F11" i="95"/>
  <c r="E10" i="95"/>
  <c r="D10" i="95"/>
  <c r="C10" i="95"/>
  <c r="B10" i="95"/>
  <c r="AO4" i="86"/>
  <c r="AD4" i="86"/>
  <c r="K21" i="99"/>
  <c r="J20" i="99"/>
  <c r="P68" i="98"/>
  <c r="Q68" i="98" s="1"/>
  <c r="J21" i="81" s="1"/>
  <c r="P64" i="98"/>
  <c r="Q64" i="98" s="1"/>
  <c r="J17" i="81" s="1"/>
  <c r="AP17" i="78"/>
  <c r="T12" i="88"/>
  <c r="AP11" i="78"/>
  <c r="T6" i="88"/>
  <c r="P63" i="98"/>
  <c r="Q63" i="98" s="1"/>
  <c r="J16" i="81" s="1"/>
  <c r="P61" i="98"/>
  <c r="Q61" i="98" s="1"/>
  <c r="J14" i="81" s="1"/>
  <c r="AO15" i="78"/>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J19" i="81" s="1"/>
  <c r="AO19" i="78"/>
  <c r="S14" i="88"/>
  <c r="O21" i="84"/>
  <c r="F56" i="94"/>
  <c r="F68" i="94"/>
  <c r="I18" i="95"/>
  <c r="M18" i="95" s="1"/>
  <c r="F54" i="94"/>
  <c r="O18" i="95"/>
  <c r="F75" i="94"/>
  <c r="F60" i="94"/>
  <c r="F63" i="94"/>
  <c r="F59" i="94"/>
  <c r="F66" i="94"/>
  <c r="F78" i="94"/>
  <c r="F64" i="94"/>
  <c r="F61" i="94"/>
  <c r="F74" i="94"/>
  <c r="F73" i="94"/>
  <c r="F58" i="94"/>
  <c r="F79" i="94"/>
  <c r="F65" i="94"/>
  <c r="F62" i="94"/>
  <c r="F76" i="94"/>
  <c r="F57" i="94"/>
  <c r="F69" i="94"/>
  <c r="F55" i="94"/>
  <c r="F70" i="94"/>
  <c r="F67" i="94"/>
  <c r="P60" i="98"/>
  <c r="Q60" i="98" s="1"/>
  <c r="J13" i="81" s="1"/>
  <c r="I30" i="95"/>
  <c r="M30" i="95" s="1"/>
  <c r="O30" i="95"/>
  <c r="F108" i="94"/>
  <c r="P62" i="98"/>
  <c r="Q62" i="98" s="1"/>
  <c r="J15" i="81" s="1"/>
  <c r="L28" i="95"/>
  <c r="I103" i="94"/>
  <c r="I104" i="94"/>
  <c r="I101" i="94"/>
  <c r="I98" i="94"/>
  <c r="I109" i="94"/>
  <c r="I106" i="94"/>
  <c r="I100" i="94"/>
  <c r="I102" i="94"/>
  <c r="I99" i="94"/>
  <c r="I105" i="94"/>
  <c r="J18" i="80"/>
  <c r="J10" i="80"/>
  <c r="J19" i="80"/>
  <c r="Q15" i="86"/>
  <c r="R15" i="86" s="1"/>
  <c r="S5" i="85"/>
  <c r="S8" i="85"/>
  <c r="O87" i="85" s="1"/>
  <c r="S11" i="85"/>
  <c r="O90" i="85" s="1"/>
  <c r="S14" i="85"/>
  <c r="O93" i="85" s="1"/>
  <c r="Q11" i="86"/>
  <c r="R11" i="86" s="1"/>
  <c r="Q13" i="86"/>
  <c r="R13" i="86" s="1"/>
  <c r="Q7" i="86"/>
  <c r="R7" i="86" s="1"/>
  <c r="Q9" i="86"/>
  <c r="R9" i="86" s="1"/>
  <c r="Q5" i="86"/>
  <c r="R5" i="86" s="1"/>
  <c r="Q16" i="86"/>
  <c r="R16" i="86" s="1"/>
  <c r="S31" i="85"/>
  <c r="O97" i="85" s="1"/>
  <c r="Q6" i="86"/>
  <c r="R6" i="86" s="1"/>
  <c r="Q8" i="86"/>
  <c r="R8" i="86" s="1"/>
  <c r="Q10" i="86"/>
  <c r="R10" i="86" s="1"/>
  <c r="S10" i="85"/>
  <c r="O89" i="85" s="1"/>
  <c r="S30" i="85"/>
  <c r="O96" i="85" s="1"/>
  <c r="Q12" i="86"/>
  <c r="R12" i="86" s="1"/>
  <c r="S7" i="85"/>
  <c r="O86" i="85" s="1"/>
  <c r="Q30" i="86"/>
  <c r="R30" i="86" s="1"/>
  <c r="Q31" i="86"/>
  <c r="R31" i="86" s="1"/>
  <c r="Q14" i="86"/>
  <c r="R14" i="86" s="1"/>
  <c r="Q32" i="86"/>
  <c r="R32" i="86" s="1"/>
  <c r="S13" i="85"/>
  <c r="O92" i="85" s="1"/>
  <c r="S9" i="85"/>
  <c r="O88" i="85" s="1"/>
  <c r="S32" i="85"/>
  <c r="O98" i="85" s="1"/>
  <c r="S12" i="85"/>
  <c r="O91" i="85" s="1"/>
  <c r="S15" i="85"/>
  <c r="O94" i="85" s="1"/>
  <c r="S6" i="85"/>
  <c r="O85" i="85" s="1"/>
  <c r="AO9" i="78"/>
  <c r="S4" i="88"/>
  <c r="Q105" i="98"/>
  <c r="AO18" i="78"/>
  <c r="S13" i="88"/>
  <c r="M9" i="95"/>
  <c r="M21" i="95"/>
  <c r="O29" i="84" l="1"/>
  <c r="O33" i="84" s="1"/>
  <c r="AP22" i="78"/>
  <c r="T17" i="88"/>
  <c r="S8" i="88"/>
  <c r="AO13" i="78"/>
  <c r="AP15" i="78"/>
  <c r="T10" i="88"/>
  <c r="K19" i="95"/>
  <c r="H77" i="94"/>
  <c r="H71" i="94"/>
  <c r="H72" i="94"/>
  <c r="AQ20" i="78"/>
  <c r="S72" i="85" s="1"/>
  <c r="U15" i="88"/>
  <c r="N3" i="99"/>
  <c r="O4" i="99"/>
  <c r="R92" i="85"/>
  <c r="T21" i="78" s="1"/>
  <c r="S21" i="78"/>
  <c r="X21" i="78" s="1"/>
  <c r="R97" i="85"/>
  <c r="T10" i="78" s="1"/>
  <c r="U10" i="78" s="1"/>
  <c r="S10" i="78"/>
  <c r="X10" i="78" s="1"/>
  <c r="J21" i="80"/>
  <c r="AP4" i="86"/>
  <c r="AE4" i="86"/>
  <c r="K27" i="99"/>
  <c r="J26" i="99"/>
  <c r="O6" i="95"/>
  <c r="I6" i="95"/>
  <c r="F10" i="94"/>
  <c r="F8" i="94"/>
  <c r="R88" i="85"/>
  <c r="T16" i="78" s="1"/>
  <c r="S16" i="78"/>
  <c r="X16" i="78" s="1"/>
  <c r="J16" i="80"/>
  <c r="J17" i="80"/>
  <c r="J15" i="80"/>
  <c r="AO16" i="78"/>
  <c r="S11" i="88"/>
  <c r="O10" i="95"/>
  <c r="I10" i="95"/>
  <c r="F29" i="94"/>
  <c r="AQ21" i="78"/>
  <c r="S74" i="85" s="1"/>
  <c r="U16" i="88"/>
  <c r="G10" i="94"/>
  <c r="J6" i="95"/>
  <c r="G8" i="94"/>
  <c r="AQ11" i="78"/>
  <c r="S80" i="85" s="1"/>
  <c r="U6" i="88"/>
  <c r="J10" i="95"/>
  <c r="G29" i="94"/>
  <c r="L6" i="95"/>
  <c r="I10" i="94"/>
  <c r="I8" i="94"/>
  <c r="Q58" i="98"/>
  <c r="J11" i="81" s="1"/>
  <c r="P73" i="98"/>
  <c r="K10" i="95"/>
  <c r="H29" i="94"/>
  <c r="AQ12" i="78"/>
  <c r="S66" i="85" s="1"/>
  <c r="U7" i="88"/>
  <c r="Q33" i="86"/>
  <c r="AQ17" i="78"/>
  <c r="S71" i="85" s="1"/>
  <c r="U12" i="88"/>
  <c r="L10" i="95"/>
  <c r="I29" i="94"/>
  <c r="K80" i="92"/>
  <c r="J86" i="92"/>
  <c r="H5" i="95"/>
  <c r="E5" i="95"/>
  <c r="B5" i="95"/>
  <c r="D5" i="95"/>
  <c r="C5" i="95"/>
  <c r="AP14" i="78"/>
  <c r="T9" i="88"/>
  <c r="F17" i="95"/>
  <c r="F22" i="95"/>
  <c r="H20" i="95"/>
  <c r="C20" i="95"/>
  <c r="D20" i="95"/>
  <c r="B20" i="95"/>
  <c r="E20" i="95"/>
  <c r="R18" i="88"/>
  <c r="R19" i="88" s="1"/>
  <c r="H4" i="95"/>
  <c r="D4" i="95"/>
  <c r="B4" i="95"/>
  <c r="E4" i="95"/>
  <c r="C4" i="95"/>
  <c r="AP18" i="78"/>
  <c r="T13" i="88"/>
  <c r="R86" i="85"/>
  <c r="T14" i="78" s="1"/>
  <c r="S14" i="78"/>
  <c r="X14" i="78" s="1"/>
  <c r="H11" i="95"/>
  <c r="E11" i="95"/>
  <c r="C11" i="95"/>
  <c r="D11" i="95"/>
  <c r="B11" i="95"/>
  <c r="R85" i="85"/>
  <c r="T13" i="78" s="1"/>
  <c r="S13" i="78"/>
  <c r="X13" i="78" s="1"/>
  <c r="R96" i="85"/>
  <c r="T9" i="78" s="1"/>
  <c r="S9" i="78"/>
  <c r="X9" i="78" s="1"/>
  <c r="R93" i="85"/>
  <c r="Z9" i="79" s="1"/>
  <c r="Z10" i="79" s="1"/>
  <c r="M28" i="95"/>
  <c r="M25" i="95" s="1"/>
  <c r="K6" i="95"/>
  <c r="H8" i="94"/>
  <c r="H10" i="94"/>
  <c r="R94" i="85"/>
  <c r="T22" i="78" s="1"/>
  <c r="S22" i="78"/>
  <c r="X22" i="78" s="1"/>
  <c r="R89" i="85"/>
  <c r="T17" i="78" s="1"/>
  <c r="S17" i="78"/>
  <c r="X17" i="78" s="1"/>
  <c r="R90" i="85"/>
  <c r="T20" i="78" s="1"/>
  <c r="S20" i="78"/>
  <c r="X20" i="78" s="1"/>
  <c r="L19" i="95"/>
  <c r="I71" i="94"/>
  <c r="I72" i="94"/>
  <c r="I77" i="94"/>
  <c r="AP10" i="78"/>
  <c r="T5" i="88"/>
  <c r="AP9" i="78"/>
  <c r="T4" i="88"/>
  <c r="R91" i="85"/>
  <c r="T18" i="78" s="1"/>
  <c r="T19" i="78" s="1"/>
  <c r="S18" i="78"/>
  <c r="Q57" i="84"/>
  <c r="R50" i="84" s="1"/>
  <c r="I23" i="82" s="1"/>
  <c r="R36" i="84"/>
  <c r="I9" i="82" s="1"/>
  <c r="R87" i="85"/>
  <c r="T15" i="78" s="1"/>
  <c r="S15" i="78"/>
  <c r="X15" i="78" s="1"/>
  <c r="AP19" i="78"/>
  <c r="T14" i="88"/>
  <c r="J19" i="95"/>
  <c r="G72" i="94"/>
  <c r="G77" i="94"/>
  <c r="G71" i="94"/>
  <c r="R98" i="85"/>
  <c r="T11" i="78" s="1"/>
  <c r="U11" i="78" s="1"/>
  <c r="S11" i="78"/>
  <c r="X11" i="78" s="1"/>
  <c r="O84" i="85"/>
  <c r="S34" i="85"/>
  <c r="S36" i="85" s="1"/>
  <c r="J21" i="99"/>
  <c r="I20" i="99"/>
  <c r="O19" i="95"/>
  <c r="I19" i="95"/>
  <c r="F71" i="94"/>
  <c r="F72" i="94"/>
  <c r="F77" i="94"/>
  <c r="AP13" i="78" l="1"/>
  <c r="T8" i="88"/>
  <c r="S18" i="88"/>
  <c r="S19" i="88" s="1"/>
  <c r="U17" i="88"/>
  <c r="AQ22" i="78"/>
  <c r="S76" i="85" s="1"/>
  <c r="AQ18" i="78"/>
  <c r="S73" i="85" s="1"/>
  <c r="U13" i="88"/>
  <c r="J20" i="95"/>
  <c r="G89" i="94"/>
  <c r="G87" i="94"/>
  <c r="G82" i="94"/>
  <c r="G88" i="94"/>
  <c r="G85" i="94"/>
  <c r="G84" i="94"/>
  <c r="G86" i="94"/>
  <c r="G83" i="94"/>
  <c r="O20" i="95"/>
  <c r="F83" i="94"/>
  <c r="F86" i="94"/>
  <c r="F89" i="94"/>
  <c r="I20" i="95"/>
  <c r="F85" i="94"/>
  <c r="F82" i="94"/>
  <c r="F88" i="94"/>
  <c r="F84" i="94"/>
  <c r="F87" i="94"/>
  <c r="K86" i="92"/>
  <c r="L80" i="92"/>
  <c r="M6" i="95"/>
  <c r="M3" i="99"/>
  <c r="N4" i="99"/>
  <c r="AR21" i="78"/>
  <c r="V16" i="88"/>
  <c r="AQ9" i="78"/>
  <c r="S78" i="85" s="1"/>
  <c r="U4" i="88"/>
  <c r="J4" i="95"/>
  <c r="G3" i="94"/>
  <c r="G5" i="94"/>
  <c r="G2" i="94"/>
  <c r="G4" i="94"/>
  <c r="H22" i="95"/>
  <c r="C22" i="95"/>
  <c r="D22" i="95"/>
  <c r="E22" i="95"/>
  <c r="B22" i="95"/>
  <c r="M10" i="95"/>
  <c r="AR20" i="78"/>
  <c r="V15" i="88"/>
  <c r="K20" i="95"/>
  <c r="H85" i="94"/>
  <c r="H88" i="94"/>
  <c r="H83" i="94"/>
  <c r="H86" i="94"/>
  <c r="H89" i="94"/>
  <c r="H87" i="94"/>
  <c r="H82" i="94"/>
  <c r="H84" i="94"/>
  <c r="L4" i="95"/>
  <c r="I4" i="94"/>
  <c r="I5" i="94"/>
  <c r="I3" i="94"/>
  <c r="I2" i="94"/>
  <c r="F15" i="95"/>
  <c r="F16" i="95"/>
  <c r="F14" i="95"/>
  <c r="H17" i="95"/>
  <c r="B17" i="95"/>
  <c r="E17" i="95"/>
  <c r="C17" i="95"/>
  <c r="D17" i="95"/>
  <c r="I26" i="99"/>
  <c r="J27" i="99"/>
  <c r="I4" i="95"/>
  <c r="O4" i="95"/>
  <c r="F4" i="94"/>
  <c r="F3" i="94"/>
  <c r="F5" i="94"/>
  <c r="F2" i="94"/>
  <c r="AQ14" i="78"/>
  <c r="S68" i="85" s="1"/>
  <c r="U9" i="88"/>
  <c r="AR17" i="78"/>
  <c r="V12" i="88"/>
  <c r="AP16" i="78"/>
  <c r="T11" i="88"/>
  <c r="AQ19" i="78"/>
  <c r="U14" i="88"/>
  <c r="AQ10" i="78"/>
  <c r="S79" i="85" s="1"/>
  <c r="U5" i="88"/>
  <c r="O11" i="95"/>
  <c r="F30" i="94"/>
  <c r="I11" i="95"/>
  <c r="K4" i="95"/>
  <c r="H3" i="94"/>
  <c r="H2" i="94"/>
  <c r="H4" i="94"/>
  <c r="H5" i="94"/>
  <c r="AQ4" i="86"/>
  <c r="AF4" i="86"/>
  <c r="I21" i="99"/>
  <c r="H20" i="99"/>
  <c r="K11" i="95"/>
  <c r="H30" i="94"/>
  <c r="J5" i="95"/>
  <c r="G6" i="94"/>
  <c r="G7" i="94"/>
  <c r="AR11" i="78"/>
  <c r="V6" i="88"/>
  <c r="X18" i="78"/>
  <c r="S19" i="78"/>
  <c r="X19" i="78" s="1"/>
  <c r="J11" i="95"/>
  <c r="G30" i="94"/>
  <c r="K5" i="95"/>
  <c r="H7" i="94"/>
  <c r="H6" i="94"/>
  <c r="AR12" i="78"/>
  <c r="V7" i="88"/>
  <c r="M19" i="95"/>
  <c r="L11" i="95"/>
  <c r="I30" i="94"/>
  <c r="I5" i="95"/>
  <c r="F6" i="94"/>
  <c r="O5" i="95"/>
  <c r="F7" i="94"/>
  <c r="AQ15" i="78"/>
  <c r="S69" i="85" s="1"/>
  <c r="U10" i="88"/>
  <c r="O99" i="85"/>
  <c r="R84" i="85"/>
  <c r="S12" i="78"/>
  <c r="X12" i="78" s="1"/>
  <c r="L20" i="95"/>
  <c r="I83" i="94"/>
  <c r="I86" i="94"/>
  <c r="I89" i="94"/>
  <c r="I82" i="94"/>
  <c r="I84" i="94"/>
  <c r="I87" i="94"/>
  <c r="I85" i="94"/>
  <c r="I88" i="94"/>
  <c r="L5" i="95"/>
  <c r="I6" i="94"/>
  <c r="I7" i="94"/>
  <c r="M11" i="95" l="1"/>
  <c r="V17" i="88"/>
  <c r="AR22" i="78"/>
  <c r="U8" i="88"/>
  <c r="AQ13" i="78"/>
  <c r="S67" i="85" s="1"/>
  <c r="AR19" i="78"/>
  <c r="V14" i="88"/>
  <c r="AR15" i="78"/>
  <c r="V10" i="88"/>
  <c r="AS11" i="78"/>
  <c r="W6" i="88"/>
  <c r="AS12" i="78"/>
  <c r="W7" i="88"/>
  <c r="AQ16" i="78"/>
  <c r="S70" i="85" s="1"/>
  <c r="U11" i="88"/>
  <c r="M4" i="95"/>
  <c r="L86" i="92"/>
  <c r="M80" i="92"/>
  <c r="AS17" i="78"/>
  <c r="W12" i="88"/>
  <c r="H26" i="99"/>
  <c r="I27" i="99"/>
  <c r="AS20" i="78"/>
  <c r="W15" i="88"/>
  <c r="AR14" i="78"/>
  <c r="V9" i="88"/>
  <c r="J17" i="95"/>
  <c r="G53" i="94"/>
  <c r="AR9" i="78"/>
  <c r="V4" i="88"/>
  <c r="K17" i="95"/>
  <c r="H53" i="94"/>
  <c r="L17" i="95"/>
  <c r="I53" i="94"/>
  <c r="I22" i="95"/>
  <c r="O22" i="95"/>
  <c r="F93" i="94"/>
  <c r="F94" i="94"/>
  <c r="M5" i="95"/>
  <c r="I17" i="95"/>
  <c r="O17" i="95"/>
  <c r="F53" i="94"/>
  <c r="L22" i="95"/>
  <c r="I94" i="94"/>
  <c r="I93" i="94"/>
  <c r="T18" i="88"/>
  <c r="T19" i="88" s="1"/>
  <c r="H21" i="99"/>
  <c r="G20" i="99"/>
  <c r="K22" i="95"/>
  <c r="H93" i="94"/>
  <c r="H94" i="94"/>
  <c r="AS21" i="78"/>
  <c r="W16" i="88"/>
  <c r="M20" i="95"/>
  <c r="H15" i="95"/>
  <c r="D15" i="95"/>
  <c r="E15" i="95"/>
  <c r="B15" i="95"/>
  <c r="C15" i="95"/>
  <c r="AR10" i="78"/>
  <c r="V5" i="88"/>
  <c r="H14" i="95"/>
  <c r="D14" i="95"/>
  <c r="E14" i="95"/>
  <c r="B14" i="95"/>
  <c r="C14" i="95"/>
  <c r="J22" i="95"/>
  <c r="G93" i="94"/>
  <c r="G94" i="94"/>
  <c r="M4" i="99"/>
  <c r="L3" i="99"/>
  <c r="R99" i="85"/>
  <c r="R101" i="85" s="1"/>
  <c r="T12" i="78"/>
  <c r="AG4" i="86"/>
  <c r="AR4" i="86"/>
  <c r="H16" i="95"/>
  <c r="C16" i="95"/>
  <c r="B16" i="95"/>
  <c r="D16" i="95"/>
  <c r="E16" i="95"/>
  <c r="AR18" i="78"/>
  <c r="V13" i="88"/>
  <c r="AS22" i="78" l="1"/>
  <c r="W17" i="88"/>
  <c r="S99" i="85"/>
  <c r="S101" i="85" s="1"/>
  <c r="AR13" i="78"/>
  <c r="V8" i="88"/>
  <c r="U18" i="88"/>
  <c r="U19" i="88" s="1"/>
  <c r="AS18" i="78"/>
  <c r="W13" i="88"/>
  <c r="G21" i="99"/>
  <c r="F20" i="99"/>
  <c r="AS14" i="78"/>
  <c r="W9" i="88"/>
  <c r="K16" i="95"/>
  <c r="H52" i="94"/>
  <c r="L15" i="95"/>
  <c r="I47" i="94"/>
  <c r="I44" i="94"/>
  <c r="I51" i="94"/>
  <c r="I48" i="94"/>
  <c r="I49" i="94"/>
  <c r="I50" i="94"/>
  <c r="I46" i="94"/>
  <c r="I45" i="94"/>
  <c r="M22" i="95"/>
  <c r="AT20" i="78"/>
  <c r="X15" i="88"/>
  <c r="AT12" i="78"/>
  <c r="X7" i="88"/>
  <c r="K3" i="99"/>
  <c r="L4" i="99"/>
  <c r="L16" i="95"/>
  <c r="I52" i="94"/>
  <c r="AT11" i="78"/>
  <c r="X6" i="88"/>
  <c r="J14" i="95"/>
  <c r="G43" i="94"/>
  <c r="C31" i="95"/>
  <c r="G26" i="99"/>
  <c r="H27" i="99"/>
  <c r="AT17" i="78"/>
  <c r="X12" i="88"/>
  <c r="AS15" i="78"/>
  <c r="W10" i="88"/>
  <c r="G47" i="94"/>
  <c r="J15" i="95"/>
  <c r="G44" i="94"/>
  <c r="G48" i="94"/>
  <c r="G46" i="94"/>
  <c r="G50" i="94"/>
  <c r="G45" i="94"/>
  <c r="G49" i="94"/>
  <c r="G51" i="94"/>
  <c r="I15" i="95"/>
  <c r="F44" i="94"/>
  <c r="F47" i="94"/>
  <c r="F48" i="94"/>
  <c r="F51" i="94"/>
  <c r="F46" i="94"/>
  <c r="O15" i="95"/>
  <c r="F49" i="94"/>
  <c r="F45" i="94"/>
  <c r="F50" i="94"/>
  <c r="I14" i="95"/>
  <c r="O14" i="95"/>
  <c r="F43" i="94"/>
  <c r="B31" i="95"/>
  <c r="L14" i="95"/>
  <c r="I43" i="94"/>
  <c r="E31" i="95"/>
  <c r="AS9" i="78"/>
  <c r="W4" i="88"/>
  <c r="AT21" i="78"/>
  <c r="X16" i="88"/>
  <c r="AS4" i="86"/>
  <c r="AH4" i="86"/>
  <c r="AT4" i="86" s="1"/>
  <c r="K14" i="95"/>
  <c r="H43" i="94"/>
  <c r="D31" i="95"/>
  <c r="V99" i="85"/>
  <c r="AS19" i="78"/>
  <c r="W14" i="88"/>
  <c r="K15" i="95"/>
  <c r="H44" i="94"/>
  <c r="H47" i="94"/>
  <c r="H51" i="94"/>
  <c r="H48" i="94"/>
  <c r="H46" i="94"/>
  <c r="H49" i="94"/>
  <c r="H45" i="94"/>
  <c r="H50" i="94"/>
  <c r="J16" i="95"/>
  <c r="G52" i="94"/>
  <c r="H23" i="95"/>
  <c r="M17" i="95"/>
  <c r="M86" i="92"/>
  <c r="N80" i="92"/>
  <c r="AR16" i="78"/>
  <c r="V11" i="88"/>
  <c r="I16" i="95"/>
  <c r="O16" i="95"/>
  <c r="F52" i="94"/>
  <c r="AS10" i="78"/>
  <c r="W5" i="88"/>
  <c r="N86" i="92" l="1"/>
  <c r="O80" i="92"/>
  <c r="M15" i="95"/>
  <c r="M14" i="95"/>
  <c r="V18" i="88"/>
  <c r="V19" i="88" s="1"/>
  <c r="W8" i="88"/>
  <c r="AS13" i="78"/>
  <c r="AT22" i="78"/>
  <c r="X17" i="88"/>
  <c r="J3" i="99"/>
  <c r="K4" i="99"/>
  <c r="H31" i="95"/>
  <c r="Q38" i="95"/>
  <c r="G27" i="99"/>
  <c r="F26" i="99"/>
  <c r="AU20" i="78"/>
  <c r="Y15" i="88"/>
  <c r="AT14" i="78"/>
  <c r="X9" i="88"/>
  <c r="AT19" i="78"/>
  <c r="X14" i="88"/>
  <c r="AU12" i="78"/>
  <c r="Y7" i="88"/>
  <c r="AU11" i="78"/>
  <c r="Y6" i="88"/>
  <c r="AU21" i="78"/>
  <c r="Y16" i="88"/>
  <c r="AT10" i="78"/>
  <c r="X5" i="88"/>
  <c r="F21" i="99"/>
  <c r="E20" i="99"/>
  <c r="M16" i="95"/>
  <c r="M23" i="95" s="1"/>
  <c r="M31" i="95" s="1"/>
  <c r="AU17" i="78"/>
  <c r="Y12" i="88"/>
  <c r="AT15" i="78"/>
  <c r="X10" i="88"/>
  <c r="AT18" i="78"/>
  <c r="X13" i="88"/>
  <c r="AT9" i="78"/>
  <c r="X4" i="88"/>
  <c r="AS16" i="78"/>
  <c r="W11" i="88"/>
  <c r="O86" i="92" l="1"/>
  <c r="P80" i="92"/>
  <c r="AT13" i="78"/>
  <c r="X8" i="88"/>
  <c r="Y17" i="88"/>
  <c r="AU22" i="78"/>
  <c r="W18" i="88"/>
  <c r="W19" i="88" s="1"/>
  <c r="AV21" i="78"/>
  <c r="T74" i="85" s="1"/>
  <c r="Z16" i="88"/>
  <c r="AU18" i="78"/>
  <c r="Y13" i="88"/>
  <c r="AV17" i="78"/>
  <c r="T71" i="85" s="1"/>
  <c r="Z12" i="88"/>
  <c r="AV12" i="78"/>
  <c r="T66" i="85" s="1"/>
  <c r="Z7" i="88"/>
  <c r="S38" i="95"/>
  <c r="Q47" i="95"/>
  <c r="Q40" i="95"/>
  <c r="S40" i="95" s="1"/>
  <c r="AV11" i="78"/>
  <c r="T80" i="85" s="1"/>
  <c r="Z6" i="88"/>
  <c r="AT16" i="78"/>
  <c r="X11" i="88"/>
  <c r="E21" i="99"/>
  <c r="D20" i="99"/>
  <c r="AV20" i="78"/>
  <c r="T72" i="85" s="1"/>
  <c r="Z15" i="88"/>
  <c r="AU15" i="78"/>
  <c r="Y10" i="88"/>
  <c r="AU19" i="78"/>
  <c r="Y14" i="88"/>
  <c r="I3" i="99"/>
  <c r="J4" i="99"/>
  <c r="F27" i="99"/>
  <c r="E26" i="99"/>
  <c r="X18" i="88"/>
  <c r="X19" i="88" s="1"/>
  <c r="AU9" i="78"/>
  <c r="Y4" i="88"/>
  <c r="AU10" i="78"/>
  <c r="Y5" i="88"/>
  <c r="AU14" i="78"/>
  <c r="Y9" i="88"/>
  <c r="P86" i="92" l="1"/>
  <c r="Q80" i="92"/>
  <c r="Z17" i="88"/>
  <c r="AV22" i="78"/>
  <c r="T76" i="85" s="1"/>
  <c r="Y8" i="88"/>
  <c r="AU13" i="78"/>
  <c r="AW12" i="78"/>
  <c r="AA7" i="88"/>
  <c r="AW20" i="78"/>
  <c r="AA15" i="88"/>
  <c r="E27" i="99"/>
  <c r="D26" i="99"/>
  <c r="D21" i="99"/>
  <c r="C20" i="99"/>
  <c r="AV18" i="78"/>
  <c r="T73" i="85" s="1"/>
  <c r="Z13" i="88"/>
  <c r="AV10" i="78"/>
  <c r="T79" i="85" s="1"/>
  <c r="Z5" i="88"/>
  <c r="AV9" i="78"/>
  <c r="T78" i="85" s="1"/>
  <c r="Z4" i="88"/>
  <c r="AW17" i="78"/>
  <c r="AA12" i="88"/>
  <c r="AU16" i="78"/>
  <c r="Y11" i="88"/>
  <c r="AV15" i="78"/>
  <c r="T69" i="85" s="1"/>
  <c r="Z10" i="88"/>
  <c r="AW11" i="78"/>
  <c r="AA6" i="88"/>
  <c r="AV14" i="78"/>
  <c r="T68" i="85" s="1"/>
  <c r="Z9" i="88"/>
  <c r="H3" i="99"/>
  <c r="I4" i="99"/>
  <c r="AW21" i="78"/>
  <c r="AA16" i="88"/>
  <c r="AV19" i="78"/>
  <c r="Z14" i="88"/>
  <c r="R80" i="92" l="1"/>
  <c r="Q86" i="92"/>
  <c r="AW22" i="78"/>
  <c r="AA17" i="88"/>
  <c r="AV13" i="78"/>
  <c r="T67" i="85" s="1"/>
  <c r="Z8" i="88"/>
  <c r="AW18" i="78"/>
  <c r="AA13" i="88"/>
  <c r="C21" i="99"/>
  <c r="B20" i="99"/>
  <c r="B21" i="99" s="1"/>
  <c r="AV16" i="78"/>
  <c r="T70" i="85" s="1"/>
  <c r="W99" i="85" s="1"/>
  <c r="Z11" i="88"/>
  <c r="Z18" i="88" s="1"/>
  <c r="Z19" i="88" s="1"/>
  <c r="AX17" i="78"/>
  <c r="AB12" i="88"/>
  <c r="AX20" i="78"/>
  <c r="AB15" i="88"/>
  <c r="G3" i="99"/>
  <c r="H4" i="99"/>
  <c r="AW9" i="78"/>
  <c r="AA4" i="88"/>
  <c r="AW15" i="78"/>
  <c r="AA10" i="88"/>
  <c r="AX12" i="78"/>
  <c r="AB7" i="88"/>
  <c r="AX21" i="78"/>
  <c r="AB16" i="88"/>
  <c r="D27" i="99"/>
  <c r="C26" i="99"/>
  <c r="AW14" i="78"/>
  <c r="AA9" i="88"/>
  <c r="AX11" i="78"/>
  <c r="AB6" i="88"/>
  <c r="Y18" i="88"/>
  <c r="Y19" i="88" s="1"/>
  <c r="AW10" i="78"/>
  <c r="AA5" i="88"/>
  <c r="AW19" i="78"/>
  <c r="AA14" i="88"/>
  <c r="T99" i="85" l="1"/>
  <c r="T101" i="85" s="1"/>
  <c r="S80" i="92"/>
  <c r="S86" i="92" s="1"/>
  <c r="R86" i="92"/>
  <c r="AW13" i="78"/>
  <c r="AA8" i="88"/>
  <c r="AB17" i="88"/>
  <c r="AX22" i="78"/>
  <c r="AX19" i="78"/>
  <c r="AB14" i="88"/>
  <c r="C27" i="99"/>
  <c r="B26" i="99"/>
  <c r="B27" i="99" s="1"/>
  <c r="F3" i="99"/>
  <c r="G4" i="99"/>
  <c r="AY20" i="78"/>
  <c r="AC15" i="88"/>
  <c r="AY12" i="78"/>
  <c r="AC7" i="88"/>
  <c r="AX10" i="78"/>
  <c r="AB5" i="88"/>
  <c r="AW16" i="78"/>
  <c r="AA11" i="88"/>
  <c r="AX14" i="78"/>
  <c r="AB9" i="88"/>
  <c r="AY21" i="78"/>
  <c r="AC16" i="88"/>
  <c r="AX15" i="78"/>
  <c r="AB10" i="88"/>
  <c r="AY11" i="78"/>
  <c r="AC6" i="88"/>
  <c r="AX9" i="78"/>
  <c r="AB4" i="88"/>
  <c r="AY17" i="78"/>
  <c r="AC12" i="88"/>
  <c r="AX18" i="78"/>
  <c r="AB13" i="88"/>
  <c r="AA18" i="88" l="1"/>
  <c r="AA19" i="88" s="1"/>
  <c r="AY22" i="78"/>
  <c r="AC17" i="88"/>
  <c r="AX13" i="78"/>
  <c r="AB8" i="88"/>
  <c r="AY18" i="78"/>
  <c r="AC13" i="88"/>
  <c r="AZ12" i="78"/>
  <c r="AD7" i="88"/>
  <c r="E3" i="99"/>
  <c r="F4" i="99"/>
  <c r="AZ11" i="78"/>
  <c r="AD6" i="88"/>
  <c r="AZ21" i="78"/>
  <c r="AD16" i="88"/>
  <c r="AY14" i="78"/>
  <c r="AC9" i="88"/>
  <c r="AY10" i="78"/>
  <c r="AC5" i="88"/>
  <c r="AZ20" i="78"/>
  <c r="AD15" i="88"/>
  <c r="AZ17" i="78"/>
  <c r="AD12" i="88"/>
  <c r="AY15" i="78"/>
  <c r="AC10" i="88"/>
  <c r="AX16" i="78"/>
  <c r="AB11" i="88"/>
  <c r="AB18" i="88" s="1"/>
  <c r="AB19" i="88" s="1"/>
  <c r="AY19" i="78"/>
  <c r="AC14" i="88"/>
  <c r="AY9" i="78"/>
  <c r="AC4" i="88"/>
  <c r="AC8" i="88" l="1"/>
  <c r="AY13" i="78"/>
  <c r="AZ22" i="78"/>
  <c r="AD17" i="88"/>
  <c r="BA11" i="78"/>
  <c r="AE6" i="88"/>
  <c r="BA17" i="78"/>
  <c r="AE12" i="88"/>
  <c r="AZ9" i="78"/>
  <c r="AD4" i="88"/>
  <c r="D3" i="99"/>
  <c r="E4" i="99"/>
  <c r="BA21" i="78"/>
  <c r="AE16" i="88"/>
  <c r="BA12" i="78"/>
  <c r="AE7" i="88"/>
  <c r="BA20" i="78"/>
  <c r="AE15" i="88"/>
  <c r="AZ19" i="78"/>
  <c r="AD14" i="88"/>
  <c r="AZ10" i="78"/>
  <c r="AD5" i="88"/>
  <c r="AZ15" i="78"/>
  <c r="AD10" i="88"/>
  <c r="AY16" i="78"/>
  <c r="AC11" i="88"/>
  <c r="AC18" i="88" s="1"/>
  <c r="AC19" i="88" s="1"/>
  <c r="AZ14" i="78"/>
  <c r="AD9" i="88"/>
  <c r="AZ18" i="78"/>
  <c r="AD13" i="88"/>
  <c r="AE17" i="88" l="1"/>
  <c r="BA22" i="78"/>
  <c r="AZ13" i="78"/>
  <c r="AD8" i="88"/>
  <c r="C3" i="99"/>
  <c r="D4" i="99"/>
  <c r="BA9" i="78"/>
  <c r="AE4" i="88"/>
  <c r="BB17" i="78"/>
  <c r="AF12" i="88"/>
  <c r="BB20" i="78"/>
  <c r="AF15" i="88"/>
  <c r="BA18" i="78"/>
  <c r="AE13" i="88"/>
  <c r="BA10" i="78"/>
  <c r="AE5" i="88"/>
  <c r="BB12" i="78"/>
  <c r="AF7" i="88"/>
  <c r="BA19" i="78"/>
  <c r="AE14" i="88"/>
  <c r="AZ16" i="78"/>
  <c r="AD11" i="88"/>
  <c r="BB11" i="78"/>
  <c r="AF6" i="88"/>
  <c r="BA14" i="78"/>
  <c r="AE9" i="88"/>
  <c r="BA15" i="78"/>
  <c r="AE10" i="88"/>
  <c r="BB21" i="78"/>
  <c r="AF16" i="88"/>
  <c r="BA13" i="78" l="1"/>
  <c r="AE8" i="88"/>
  <c r="BB22" i="78"/>
  <c r="AF17" i="88"/>
  <c r="BA16" i="78"/>
  <c r="AE11" i="88"/>
  <c r="BB19" i="78"/>
  <c r="AF14" i="88"/>
  <c r="BC17" i="78"/>
  <c r="AG12" i="88"/>
  <c r="AE18" i="88"/>
  <c r="BB9" i="78"/>
  <c r="AF4" i="88"/>
  <c r="BB18" i="78"/>
  <c r="AF13" i="88"/>
  <c r="BC12" i="78"/>
  <c r="AG7" i="88"/>
  <c r="BC21" i="78"/>
  <c r="AG16" i="88"/>
  <c r="BB15" i="78"/>
  <c r="AF10" i="88"/>
  <c r="BB10" i="78"/>
  <c r="AF5" i="88"/>
  <c r="AD18" i="88"/>
  <c r="AD19" i="88" s="1"/>
  <c r="BC20" i="78"/>
  <c r="AG15" i="88"/>
  <c r="BB14" i="78"/>
  <c r="AF9" i="88"/>
  <c r="BC11" i="78"/>
  <c r="AG6" i="88"/>
  <c r="B3" i="99"/>
  <c r="B4" i="99" s="1"/>
  <c r="C4" i="99"/>
  <c r="AG17" i="88" l="1"/>
  <c r="BC22" i="78"/>
  <c r="BB13" i="78"/>
  <c r="AF8" i="88"/>
  <c r="BD20" i="78"/>
  <c r="AH15" i="88"/>
  <c r="AE19" i="88"/>
  <c r="BD17" i="78"/>
  <c r="AH12" i="88"/>
  <c r="BC15" i="78"/>
  <c r="AG10" i="88"/>
  <c r="BC9" i="78"/>
  <c r="AG4" i="88"/>
  <c r="BC19" i="78"/>
  <c r="AG14" i="88"/>
  <c r="BC18" i="78"/>
  <c r="AG13" i="88"/>
  <c r="BC10" i="78"/>
  <c r="AG5" i="88"/>
  <c r="BD21" i="78"/>
  <c r="AH16" i="88"/>
  <c r="BB16" i="78"/>
  <c r="AF11" i="88"/>
  <c r="BC14" i="78"/>
  <c r="AG9" i="88"/>
  <c r="BD11" i="78"/>
  <c r="AH6" i="88"/>
  <c r="BD12" i="78"/>
  <c r="AH7" i="88"/>
  <c r="BC13" i="78" l="1"/>
  <c r="AG8" i="88"/>
  <c r="BD22" i="78"/>
  <c r="AH17" i="88"/>
  <c r="BD19" i="78"/>
  <c r="AH14" i="88"/>
  <c r="BD15" i="78"/>
  <c r="AH10" i="88"/>
  <c r="BE12" i="78"/>
  <c r="AI7" i="88"/>
  <c r="BE17" i="78"/>
  <c r="AI12" i="88"/>
  <c r="BC16" i="78"/>
  <c r="AG11" i="88"/>
  <c r="AG18" i="88" s="1"/>
  <c r="BE11" i="78"/>
  <c r="AI6" i="88"/>
  <c r="BD10" i="78"/>
  <c r="AH5" i="88"/>
  <c r="BD14" i="78"/>
  <c r="AH9" i="88"/>
  <c r="BE21" i="78"/>
  <c r="AI16" i="88"/>
  <c r="BE20" i="78"/>
  <c r="AI15" i="88"/>
  <c r="BD9" i="78"/>
  <c r="AH4" i="88"/>
  <c r="AF18" i="88"/>
  <c r="AF19" i="88" s="1"/>
  <c r="BD18" i="78"/>
  <c r="AH13" i="88"/>
  <c r="AG19" i="88" l="1"/>
  <c r="BE22" i="78"/>
  <c r="AI17" i="88"/>
  <c r="BD13" i="78"/>
  <c r="AH8" i="88"/>
  <c r="BE9" i="78"/>
  <c r="AI4" i="88"/>
  <c r="BD16" i="78"/>
  <c r="AH11" i="88"/>
  <c r="BF11" i="78"/>
  <c r="AJ6" i="88"/>
  <c r="AK6" i="88" s="1"/>
  <c r="AL6" i="88" s="1"/>
  <c r="AM6" i="88" s="1"/>
  <c r="AN6" i="88" s="1"/>
  <c r="BF20" i="78"/>
  <c r="AJ15" i="88"/>
  <c r="AK15" i="88" s="1"/>
  <c r="AL15" i="88" s="1"/>
  <c r="AM15" i="88" s="1"/>
  <c r="AN15" i="88" s="1"/>
  <c r="BF12" i="78"/>
  <c r="AJ7" i="88"/>
  <c r="AK7" i="88" s="1"/>
  <c r="AL7" i="88" s="1"/>
  <c r="AM7" i="88" s="1"/>
  <c r="AN7" i="88" s="1"/>
  <c r="BE15" i="78"/>
  <c r="AI10" i="88"/>
  <c r="BF17" i="78"/>
  <c r="AJ12" i="88"/>
  <c r="AK12" i="88" s="1"/>
  <c r="AL12" i="88" s="1"/>
  <c r="AM12" i="88" s="1"/>
  <c r="AN12" i="88" s="1"/>
  <c r="BE18" i="78"/>
  <c r="AI13" i="88"/>
  <c r="BF21" i="78"/>
  <c r="AJ16" i="88"/>
  <c r="AK16" i="88" s="1"/>
  <c r="AL16" i="88" s="1"/>
  <c r="AM16" i="88" s="1"/>
  <c r="AN16" i="88" s="1"/>
  <c r="BE14" i="78"/>
  <c r="AI9" i="88"/>
  <c r="BE10" i="78"/>
  <c r="AI5" i="88"/>
  <c r="BE19" i="78"/>
  <c r="AI14" i="88"/>
  <c r="BE13" i="78" l="1"/>
  <c r="AI8" i="88"/>
  <c r="AJ17" i="88"/>
  <c r="AK17" i="88" s="1"/>
  <c r="AL17" i="88" s="1"/>
  <c r="AM17" i="88" s="1"/>
  <c r="AN17" i="88" s="1"/>
  <c r="BF22" i="78"/>
  <c r="BG20" i="78"/>
  <c r="AO15" i="88"/>
  <c r="AP15" i="88" s="1"/>
  <c r="AQ15" i="88" s="1"/>
  <c r="AR15" i="88" s="1"/>
  <c r="AS15" i="88" s="1"/>
  <c r="BH20" i="78" s="1"/>
  <c r="BF14" i="78"/>
  <c r="AJ9" i="88"/>
  <c r="AK9" i="88" s="1"/>
  <c r="AL9" i="88" s="1"/>
  <c r="AM9" i="88" s="1"/>
  <c r="AN9" i="88" s="1"/>
  <c r="BF18" i="78"/>
  <c r="AJ13" i="88"/>
  <c r="AK13" i="88" s="1"/>
  <c r="AL13" i="88" s="1"/>
  <c r="AM13" i="88" s="1"/>
  <c r="AN13" i="88" s="1"/>
  <c r="BG11" i="78"/>
  <c r="AO6" i="88"/>
  <c r="AP6" i="88" s="1"/>
  <c r="AQ6" i="88" s="1"/>
  <c r="AR6" i="88" s="1"/>
  <c r="AS6" i="88" s="1"/>
  <c r="BH11" i="78" s="1"/>
  <c r="BE16" i="78"/>
  <c r="AI11" i="88"/>
  <c r="BG17" i="78"/>
  <c r="AO12" i="88"/>
  <c r="AP12" i="88" s="1"/>
  <c r="AQ12" i="88" s="1"/>
  <c r="AR12" i="88" s="1"/>
  <c r="AS12" i="88" s="1"/>
  <c r="BH17" i="78" s="1"/>
  <c r="BG12" i="78"/>
  <c r="AO7" i="88"/>
  <c r="AP7" i="88" s="1"/>
  <c r="AQ7" i="88" s="1"/>
  <c r="AR7" i="88" s="1"/>
  <c r="AS7" i="88" s="1"/>
  <c r="BH12" i="78" s="1"/>
  <c r="BF19" i="78"/>
  <c r="AJ14" i="88"/>
  <c r="AK14" i="88" s="1"/>
  <c r="AL14" i="88" s="1"/>
  <c r="AM14" i="88" s="1"/>
  <c r="AN14" i="88" s="1"/>
  <c r="BF10" i="78"/>
  <c r="AJ5" i="88"/>
  <c r="AK5" i="88" s="1"/>
  <c r="AL5" i="88" s="1"/>
  <c r="AM5" i="88" s="1"/>
  <c r="AN5" i="88" s="1"/>
  <c r="BF9" i="78"/>
  <c r="AJ4" i="88"/>
  <c r="BG21" i="78"/>
  <c r="AO16" i="88"/>
  <c r="AP16" i="88" s="1"/>
  <c r="AQ16" i="88" s="1"/>
  <c r="AR16" i="88" s="1"/>
  <c r="AS16" i="88" s="1"/>
  <c r="BH21" i="78" s="1"/>
  <c r="BF15" i="78"/>
  <c r="AJ10" i="88"/>
  <c r="AK10" i="88" s="1"/>
  <c r="AL10" i="88" s="1"/>
  <c r="AM10" i="88" s="1"/>
  <c r="AN10" i="88" s="1"/>
  <c r="AH18" i="88"/>
  <c r="AH19" i="88" s="1"/>
  <c r="BG22" i="78" l="1"/>
  <c r="AO17" i="88"/>
  <c r="AP17" i="88" s="1"/>
  <c r="AQ17" i="88" s="1"/>
  <c r="AR17" i="88" s="1"/>
  <c r="AS17" i="88" s="1"/>
  <c r="BH22" i="78" s="1"/>
  <c r="AJ8" i="88"/>
  <c r="AK8" i="88" s="1"/>
  <c r="AL8" i="88" s="1"/>
  <c r="AM8" i="88" s="1"/>
  <c r="AN8" i="88" s="1"/>
  <c r="BF13" i="78"/>
  <c r="AI18" i="88"/>
  <c r="AI19" i="88" s="1"/>
  <c r="BF16" i="78"/>
  <c r="AJ11" i="88"/>
  <c r="AK11" i="88" s="1"/>
  <c r="AL11" i="88" s="1"/>
  <c r="AM11" i="88" s="1"/>
  <c r="AN11" i="88" s="1"/>
  <c r="AK4" i="88"/>
  <c r="BG10" i="78"/>
  <c r="AO5" i="88"/>
  <c r="AP5" i="88" s="1"/>
  <c r="AQ5" i="88" s="1"/>
  <c r="AR5" i="88" s="1"/>
  <c r="AS5" i="88" s="1"/>
  <c r="BH10" i="78" s="1"/>
  <c r="BG18" i="78"/>
  <c r="AO13" i="88"/>
  <c r="AP13" i="88" s="1"/>
  <c r="AQ13" i="88" s="1"/>
  <c r="AR13" i="88" s="1"/>
  <c r="AS13" i="88" s="1"/>
  <c r="BH18" i="78" s="1"/>
  <c r="BG19" i="78"/>
  <c r="AO14" i="88"/>
  <c r="AP14" i="88" s="1"/>
  <c r="AQ14" i="88" s="1"/>
  <c r="AR14" i="88" s="1"/>
  <c r="AS14" i="88" s="1"/>
  <c r="BH19" i="78" s="1"/>
  <c r="BG14" i="78"/>
  <c r="AO9" i="88"/>
  <c r="AP9" i="88" s="1"/>
  <c r="AQ9" i="88" s="1"/>
  <c r="AR9" i="88" s="1"/>
  <c r="AS9" i="88" s="1"/>
  <c r="BH14" i="78" s="1"/>
  <c r="BG15" i="78"/>
  <c r="AO10" i="88"/>
  <c r="AP10" i="88" s="1"/>
  <c r="AQ10" i="88" s="1"/>
  <c r="AR10" i="88" s="1"/>
  <c r="AS10" i="88" s="1"/>
  <c r="BH15" i="78" s="1"/>
  <c r="BG13" i="78" l="1"/>
  <c r="AO8" i="88"/>
  <c r="AP8" i="88" s="1"/>
  <c r="AQ8" i="88" s="1"/>
  <c r="AR8" i="88" s="1"/>
  <c r="AS8" i="88" s="1"/>
  <c r="BH13" i="78" s="1"/>
  <c r="AK18" i="88"/>
  <c r="AL4" i="88"/>
  <c r="AJ18" i="88"/>
  <c r="AJ19" i="88" s="1"/>
  <c r="BG16" i="78"/>
  <c r="AO11" i="88"/>
  <c r="AP11" i="88" s="1"/>
  <c r="AQ11" i="88" s="1"/>
  <c r="AR11" i="88" s="1"/>
  <c r="AS11" i="88" s="1"/>
  <c r="BH16" i="78" s="1"/>
  <c r="AL18" i="88" l="1"/>
  <c r="AL19" i="88" s="1"/>
  <c r="AM4" i="88"/>
  <c r="AK19" i="88"/>
  <c r="AM18" i="88" l="1"/>
  <c r="AM19" i="88" s="1"/>
  <c r="AN4" i="88"/>
  <c r="AN18" i="88" l="1"/>
  <c r="AN19" i="88" s="1"/>
  <c r="BG9" i="78"/>
  <c r="AO4" i="88"/>
  <c r="AO18" i="88" l="1"/>
  <c r="AO19" i="88" s="1"/>
  <c r="AP4" i="88"/>
  <c r="AP18" i="88" l="1"/>
  <c r="AP19" i="88" s="1"/>
  <c r="AQ4" i="88"/>
  <c r="AQ18" i="88" l="1"/>
  <c r="AQ19" i="88" s="1"/>
  <c r="AR4" i="88"/>
  <c r="AR18" i="88" l="1"/>
  <c r="AR19" i="88" s="1"/>
  <c r="AS4" i="88"/>
  <c r="AS18" i="88" l="1"/>
  <c r="AS19" i="88" s="1"/>
  <c r="BH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Y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B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C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B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X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(180), Atlantis(1350), Mossel Bay (Gouwrika 750), Port Rex (180)</t>
      </text>
    </comment>
    <comment ref="AI27" authorId="12"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3"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N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K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F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G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AX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P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Q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P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782B3F7-29A8-4303-8E13-150C60C69F91}">
      <text>
        <r>
          <rPr>
            <sz val="8"/>
            <color indexed="81"/>
            <rFont val="Tahoma"/>
            <family val="2"/>
          </rPr>
          <t>If Process Activity is: Output-based, leave blank.
Input-based, insert 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tc={F691164E-DA31-4990-8C8E-8B1ED35EF9F4}</author>
    <author>tc={6DA6EC5F-644D-43D4-9AAD-A27F6FF6F494}</author>
  </authors>
  <commentList>
    <comment ref="S93" authorId="0" shapeId="0" xr:uid="{F691164E-DA31-4990-8C8E-8B1ED35EF9F4}">
      <text>
        <t>[Threaded comment]
Your version of Excel allows you to read this threaded comment; however, any edits to it will get removed if the file is opened in a newer version of Excel. Learn more: https://go.microsoft.com/fwlink/?linkid=870924
Comment:
    assumption</t>
      </text>
    </comment>
    <comment ref="S95" authorId="1" shapeId="0" xr:uid="{6DA6EC5F-644D-43D4-9AAD-A27F6FF6F494}">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<sst xmlns="http://schemas.openxmlformats.org/spreadsheetml/2006/main" count="6271" uniqueCount="1846">
  <si>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</si>
  <si>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</si>
  <si>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</si>
  <si>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</si>
  <si>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</si>
  <si>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</si>
  <si>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</si>
  <si>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</si>
  <si>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</si>
  <si>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</si>
  <si>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</si>
  <si>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</si>
  <si>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</si>
  <si>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</si>
  <si>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</si>
  <si>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</si>
  <si>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</si>
  <si>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</si>
  <si>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</si>
  <si>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</si>
  <si>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</si>
  <si>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</si>
  <si>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</si>
  <si>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</si>
  <si>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</si>
  <si>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</si>
  <si>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</si>
  <si>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</si>
  <si>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</si>
  <si>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</si>
  <si>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</si>
  <si>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</si>
  <si>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</si>
  <si>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</si>
  <si>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</si>
  <si>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</si>
  <si>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</si>
  <si>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</si>
  <si>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</si>
  <si>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</si>
  <si>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</si>
  <si>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</si>
  <si>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</si>
  <si>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</si>
  <si>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</si>
  <si>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</si>
  <si>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</si>
  <si>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</si>
  <si>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</si>
  <si>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</si>
  <si>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</si>
  <si>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</si>
  <si>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</si>
  <si>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</si>
  <si>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</si>
  <si>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</si>
  <si>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</si>
  <si>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</si>
  <si>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</si>
  <si>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</si>
  <si>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</si>
  <si>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</si>
  <si>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</si>
  <si>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</si>
  <si>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</si>
  <si>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</si>
  <si>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</si>
  <si>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</si>
  <si>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</si>
  <si>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</si>
  <si>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</si>
  <si>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</si>
  <si>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</si>
  <si>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</si>
  <si>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</si>
  <si>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</si>
  <si>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</si>
  <si>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</si>
  <si>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</si>
  <si>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</si>
  <si>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</si>
  <si>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</si>
  <si>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</si>
  <si>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</si>
  <si>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</si>
  <si>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</si>
  <si>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</si>
  <si>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</si>
  <si>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</si>
  <si>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</si>
  <si>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</si>
  <si>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</si>
  <si>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</si>
  <si>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</si>
  <si>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</si>
  <si>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</si>
  <si>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</si>
  <si>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</si>
  <si>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</si>
  <si>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</si>
  <si>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</si>
  <si>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</si>
  <si>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</si>
  <si>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</si>
  <si>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</si>
  <si>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</si>
  <si>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</si>
  <si>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</si>
  <si>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</si>
  <si>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</si>
  <si>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</si>
  <si>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</si>
  <si>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</si>
  <si>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</si>
  <si>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</si>
  <si>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</si>
  <si>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</si>
  <si>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</si>
  <si>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</si>
  <si>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</si>
  <si>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</si>
  <si>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</si>
  <si>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</si>
  <si>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</si>
  <si>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</si>
  <si>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</si>
  <si>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</si>
  <si>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</si>
  <si>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</si>
  <si>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</si>
  <si>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</si>
  <si>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</si>
  <si>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</si>
  <si>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</si>
  <si>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</si>
  <si>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</si>
  <si>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</si>
  <si>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</si>
  <si>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</si>
  <si>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</si>
  <si>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</si>
  <si>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</si>
  <si>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</si>
  <si>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</si>
  <si>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</si>
  <si>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</si>
  <si>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</si>
  <si>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</si>
  <si>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PRC,PRE,DAYNITE</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</si>
  <si>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</si>
  <si>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</si>
  <si>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</si>
  <si>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</si>
  <si>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</si>
  <si>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</si>
  <si>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</si>
  <si>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</si>
  <si>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</si>
  <si>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</si>
  <si>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</si>
  <si>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</si>
  <si>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</si>
  <si>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</si>
  <si>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</si>
  <si>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</si>
  <si>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</si>
  <si>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</si>
  <si>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</si>
  <si>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</si>
  <si>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</si>
  <si>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</si>
  <si>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</si>
  <si>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</si>
  <si>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</si>
  <si>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</si>
  <si>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</si>
  <si>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</si>
  <si>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</si>
  <si>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</si>
  <si>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</si>
  <si>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</si>
  <si>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</si>
  <si>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</si>
  <si>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</si>
  <si>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</si>
  <si>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</si>
  <si>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</si>
  <si>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</si>
  <si>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</si>
  <si>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</si>
  <si>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</si>
  <si>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</si>
  <si>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</si>
  <si>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</si>
  <si>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</si>
  <si>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</si>
  <si>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</si>
  <si>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</si>
  <si>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</si>
  <si>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</si>
  <si>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</si>
  <si>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</si>
  <si>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</si>
  <si>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</si>
  <si>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</si>
  <si>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</si>
  <si>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</si>
  <si>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</si>
  <si>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</si>
  <si>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</si>
  <si>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</si>
  <si>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</si>
  <si>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</si>
  <si>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</si>
  <si>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</si>
  <si>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</si>
  <si>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</si>
  <si>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</si>
  <si>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</si>
  <si>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</si>
  <si>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</si>
  <si>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</si>
  <si>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</si>
  <si>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</si>
  <si>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</si>
  <si>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</si>
  <si>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</si>
  <si>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</si>
  <si>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</si>
  <si>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</si>
  <si>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</si>
  <si>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</si>
  <si>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</si>
  <si>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</si>
  <si>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</si>
  <si>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</si>
  <si>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</si>
  <si>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</si>
  <si>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</si>
  <si>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</si>
  <si>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</si>
  <si>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</si>
  <si>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</si>
  <si>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</si>
  <si>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</si>
  <si>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</si>
  <si>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</si>
  <si>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</si>
  <si>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</si>
  <si>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</si>
  <si>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</si>
  <si>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</si>
  <si>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</si>
  <si>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</si>
  <si>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</si>
  <si>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</si>
  <si>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</si>
  <si>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</si>
  <si>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</si>
  <si>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</si>
  <si>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</si>
  <si>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</si>
  <si>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</si>
  <si>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</si>
  <si>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</si>
  <si>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</si>
  <si>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</si>
  <si>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</si>
  <si>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</si>
  <si>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</si>
  <si>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</si>
  <si>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</si>
  <si>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</si>
  <si>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</si>
  <si>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</si>
  <si>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</si>
  <si>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</si>
  <si>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</si>
  <si>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</si>
  <si>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</si>
  <si>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</si>
  <si>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</si>
  <si>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</si>
  <si>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</si>
  <si>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</si>
  <si>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</si>
  <si>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</si>
  <si>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</si>
  <si>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</si>
  <si>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</si>
  <si>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</si>
  <si>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</si>
  <si>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</si>
  <si>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</si>
  <si>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</si>
  <si>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</si>
  <si>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</si>
  <si>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</si>
  <si>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</si>
  <si>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</si>
  <si>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</si>
  <si>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</si>
  <si>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</si>
  <si>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</si>
  <si>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</si>
  <si>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</si>
  <si>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</si>
  <si>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</si>
  <si>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</si>
  <si>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</si>
  <si>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</si>
  <si>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</si>
  <si>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</si>
  <si>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</si>
  <si>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</si>
  <si>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</si>
  <si>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</si>
  <si>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</si>
  <si>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</si>
  <si>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</si>
  <si>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</si>
  <si>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</si>
  <si>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</si>
  <si>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</si>
  <si>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</si>
  <si>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</si>
  <si>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</si>
  <si>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</si>
  <si>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</si>
  <si>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</si>
  <si>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</si>
  <si>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</si>
  <si>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</si>
  <si>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</si>
  <si>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</si>
  <si>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</si>
  <si>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</si>
  <si>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</si>
  <si>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</si>
  <si>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</si>
  <si>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</si>
  <si>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</si>
  <si>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</si>
  <si>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</si>
  <si>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</si>
  <si>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</si>
  <si>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</si>
  <si>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</si>
  <si>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</si>
  <si>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</si>
  <si>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</si>
  <si>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</si>
  <si>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</si>
  <si>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</si>
  <si>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</si>
  <si>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</si>
  <si>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</si>
  <si>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</si>
  <si>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</si>
  <si>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</si>
  <si>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</si>
  <si>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</si>
  <si>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</si>
  <si>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</si>
  <si>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</si>
  <si>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</si>
  <si>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</si>
  <si>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</si>
  <si>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</si>
  <si>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</si>
  <si>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</si>
  <si>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</si>
  <si>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</si>
  <si>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</si>
  <si>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</si>
  <si>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</si>
  <si>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</si>
  <si>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</si>
  <si>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</si>
  <si>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</si>
  <si>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</si>
  <si>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</si>
  <si>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</si>
  <si>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</si>
  <si>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</si>
  <si>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</si>
  <si>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</si>
  <si>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</si>
  <si>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</si>
  <si>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</si>
  <si>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</si>
  <si>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</si>
  <si>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</si>
  <si>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</si>
  <si>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</si>
  <si>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</si>
  <si>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</si>
  <si>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</si>
  <si>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</si>
  <si>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</si>
  <si>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</si>
  <si>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</si>
  <si>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</si>
  <si>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</si>
  <si>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</si>
  <si>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</si>
  <si>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</si>
  <si>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</si>
  <si>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</si>
  <si>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</si>
  <si>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</si>
  <si>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</si>
  <si>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</si>
  <si>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</si>
  <si>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</si>
  <si>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</si>
  <si>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</si>
  <si>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</si>
  <si>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</si>
  <si>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</si>
  <si>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</si>
  <si>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</si>
  <si>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</si>
  <si>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</si>
  <si>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</si>
  <si>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</si>
  <si>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</si>
  <si>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</si>
  <si>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</si>
  <si>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</si>
  <si>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</si>
  <si>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</si>
  <si>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</si>
  <si>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</si>
  <si>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</si>
  <si>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</si>
  <si>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</si>
  <si>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</si>
  <si>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</si>
  <si>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</si>
  <si>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</si>
  <si>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</si>
  <si>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</si>
  <si>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</si>
  <si>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</si>
  <si>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</si>
  <si>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</si>
  <si>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</si>
  <si>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</si>
  <si>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</si>
  <si>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</si>
  <si>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</si>
  <si>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</si>
  <si>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</si>
  <si>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</si>
  <si>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</si>
  <si>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</si>
  <si>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</si>
  <si>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</si>
  <si>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</si>
  <si>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</si>
  <si>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</si>
  <si>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</si>
  <si>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</si>
  <si>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</si>
  <si>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</si>
  <si>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</si>
  <si>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</si>
  <si>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</si>
  <si>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</si>
  <si>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</si>
  <si>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</si>
  <si>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</si>
  <si>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</si>
  <si>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</si>
  <si>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</si>
  <si>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</si>
  <si>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</si>
  <si>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</si>
  <si>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</si>
  <si>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</si>
  <si>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</si>
  <si>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</si>
  <si>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</si>
  <si>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</si>
  <si>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</si>
  <si>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</si>
  <si>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</si>
  <si>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</si>
  <si>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</si>
  <si>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</si>
  <si>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</si>
  <si>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</si>
  <si>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</si>
  <si>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</si>
  <si>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</si>
  <si>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</si>
  <si>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</si>
  <si>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</si>
  <si>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</si>
  <si>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</si>
  <si>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</si>
  <si>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</si>
  <si>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</si>
  <si>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</si>
  <si>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</si>
  <si>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</si>
  <si>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</si>
  <si>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</si>
  <si>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</si>
  <si>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</si>
  <si>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</si>
  <si>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</si>
  <si>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</si>
  <si>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</si>
  <si>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</si>
  <si>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</si>
  <si>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</si>
  <si>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</si>
  <si>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</si>
  <si>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</si>
  <si>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</si>
  <si>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</si>
  <si>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</si>
  <si>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</si>
  <si>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</si>
  <si>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</si>
  <si>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</si>
  <si>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</si>
  <si>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</si>
  <si>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</si>
  <si>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</si>
  <si>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</si>
  <si>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</si>
  <si>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</si>
  <si>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</si>
  <si>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</si>
  <si>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</si>
  <si>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</si>
  <si>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</si>
  <si>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</si>
  <si>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</si>
  <si>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</si>
  <si>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</si>
  <si>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</si>
  <si>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</si>
  <si>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</si>
  <si>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</si>
  <si>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</si>
  <si>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</si>
  <si>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</si>
  <si>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</si>
  <si>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</si>
  <si>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</si>
  <si>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</si>
  <si>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</si>
  <si>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</si>
  <si>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error</t>
  </si>
  <si>
    <t>Target</t>
  </si>
  <si>
    <t>Kusile</t>
  </si>
  <si>
    <t>Availability (derived)</t>
  </si>
  <si>
    <t>From IRP</t>
  </si>
  <si>
    <t>Used in Model</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</si>
  <si>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</si>
  <si>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</si>
  <si>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</si>
  <si>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</si>
  <si>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</si>
  <si>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</si>
  <si>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</si>
  <si>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</si>
  <si>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</si>
  <si>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</si>
  <si>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</si>
  <si>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</si>
  <si>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</si>
  <si>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</si>
  <si>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</si>
  <si>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</si>
  <si>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</si>
  <si>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</si>
  <si>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</si>
  <si>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</si>
  <si>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</si>
  <si>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</si>
  <si>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</si>
  <si>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</si>
  <si>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</si>
  <si>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</si>
  <si>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</si>
  <si>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</si>
  <si>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</si>
  <si>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</si>
  <si>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</si>
  <si>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</si>
  <si>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</si>
  <si>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</si>
  <si>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</si>
  <si>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</si>
  <si>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</si>
  <si>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</si>
  <si>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</si>
  <si>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</si>
  <si>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</si>
  <si>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</si>
  <si>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</si>
  <si>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</si>
  <si>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</si>
  <si>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</si>
  <si>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</si>
  <si>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</si>
  <si>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</si>
  <si>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</si>
  <si>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</si>
  <si>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</si>
  <si>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</si>
  <si>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</si>
  <si>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</si>
  <si>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</si>
  <si>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</si>
  <si>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</si>
  <si>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</si>
  <si>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</si>
  <si>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</si>
  <si>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</si>
  <si>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</si>
  <si>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</si>
  <si>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</si>
  <si>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</si>
  <si>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</si>
  <si>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</si>
  <si>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</si>
  <si>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</si>
  <si>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</si>
  <si>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</si>
  <si>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</si>
  <si>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</si>
  <si>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</si>
  <si>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</si>
  <si>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</si>
  <si>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</si>
  <si>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</si>
  <si>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</si>
  <si>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</si>
  <si>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</si>
  <si>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</si>
  <si>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</si>
  <si>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</si>
  <si>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</si>
  <si>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</si>
  <si>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</si>
  <si>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</si>
  <si>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</si>
  <si>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</si>
  <si>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</si>
  <si>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</si>
  <si>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</si>
  <si>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</si>
  <si>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</si>
  <si>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</si>
  <si>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</si>
  <si>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</si>
  <si>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</si>
  <si>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</si>
  <si>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</si>
  <si>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</si>
  <si>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</si>
  <si>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</si>
  <si>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</si>
  <si>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</si>
  <si>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</si>
  <si>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</si>
  <si>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</si>
  <si>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</si>
  <si>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</si>
  <si>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</si>
  <si>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</si>
  <si>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</si>
  <si>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</si>
  <si>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</si>
  <si>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</si>
  <si>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</si>
  <si>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</si>
  <si>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</si>
  <si>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</si>
  <si>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</si>
  <si>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</si>
  <si>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</si>
  <si>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</si>
  <si>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</si>
  <si>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</si>
  <si>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</si>
  <si>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</si>
  <si>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</si>
  <si>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</si>
  <si>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</si>
  <si>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</si>
  <si>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</si>
  <si>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</si>
  <si>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</si>
  <si>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</si>
  <si>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</si>
  <si>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</si>
  <si>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</si>
  <si>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</si>
  <si>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</si>
  <si>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</si>
  <si>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</si>
  <si>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</si>
  <si>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</si>
  <si>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</si>
  <si>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</si>
  <si>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</si>
  <si>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</si>
  <si>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</si>
  <si>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</si>
  <si>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</si>
  <si>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</si>
  <si>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</si>
  <si>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</si>
  <si>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</si>
  <si>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</si>
  <si>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</si>
  <si>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</si>
  <si>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</si>
  <si>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</si>
  <si>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</si>
  <si>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</si>
  <si>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</si>
  <si>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</si>
  <si>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</si>
  <si>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</si>
  <si>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</si>
  <si>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</si>
  <si>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</si>
  <si>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</si>
  <si>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</si>
  <si>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</si>
  <si>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</si>
  <si>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</si>
  <si>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</si>
  <si>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</si>
  <si>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</si>
  <si>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</si>
  <si>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</si>
  <si>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</si>
  <si>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</si>
  <si>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</si>
  <si>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</si>
  <si>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</si>
  <si>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</si>
  <si>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</si>
  <si>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</si>
  <si>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</si>
  <si>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</si>
  <si>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</si>
  <si>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</si>
  <si>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</si>
  <si>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</si>
  <si>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</si>
  <si>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</si>
  <si>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</si>
  <si>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</si>
  <si>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</si>
  <si>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</si>
  <si>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</si>
  <si>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</si>
  <si>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</si>
  <si>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</si>
  <si>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</si>
  <si>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</si>
  <si>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</si>
  <si>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</si>
  <si>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</si>
  <si>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</si>
  <si>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</si>
  <si>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</si>
  <si>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</si>
  <si>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</si>
  <si>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</si>
  <si>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</si>
  <si>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</si>
  <si>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</si>
  <si>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</si>
  <si>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</si>
  <si>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</si>
  <si>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</si>
  <si>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</si>
  <si>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</si>
  <si>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</si>
  <si>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</si>
  <si>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</si>
  <si>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</si>
  <si>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</si>
  <si>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</si>
  <si>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</si>
  <si>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</si>
  <si>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</si>
  <si>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</si>
  <si>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</si>
  <si>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</si>
  <si>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</si>
  <si>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</si>
  <si>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</si>
  <si>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</si>
  <si>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</si>
  <si>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</si>
  <si>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</si>
  <si>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</si>
  <si>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</si>
  <si>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</si>
  <si>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</si>
  <si>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</si>
  <si>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</si>
  <si>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</si>
  <si>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</si>
  <si>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</si>
  <si>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</si>
  <si>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</si>
  <si>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</si>
  <si>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</si>
  <si>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</si>
  <si>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</si>
  <si>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</si>
  <si>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</si>
  <si>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</si>
  <si>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</si>
  <si>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</si>
  <si>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</si>
  <si>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</si>
  <si>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</si>
  <si>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</si>
  <si>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</si>
  <si>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</si>
  <si>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</si>
  <si>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</si>
  <si>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</si>
  <si>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</si>
  <si>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</si>
  <si>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</si>
  <si>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</si>
  <si>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</si>
  <si>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</si>
  <si>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</si>
  <si>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</si>
  <si>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</si>
  <si>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</si>
  <si>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</si>
  <si>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</si>
  <si>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</si>
  <si>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</si>
  <si>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</si>
  <si>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</si>
  <si>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</si>
  <si>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</si>
  <si>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</si>
  <si>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</si>
  <si>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</si>
  <si>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</si>
  <si>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</si>
  <si>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</si>
  <si>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</si>
  <si>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</si>
  <si>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</si>
  <si>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</si>
  <si>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</si>
  <si>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</si>
  <si>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</si>
  <si>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</si>
  <si>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</si>
  <si>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</si>
  <si>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</si>
  <si>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</si>
  <si>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</si>
  <si>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</si>
  <si>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</si>
  <si>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</si>
  <si>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</si>
  <si>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</si>
  <si>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</si>
  <si>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</si>
  <si>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</si>
  <si>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</si>
  <si>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</si>
  <si>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</si>
  <si>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</si>
  <si>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</si>
  <si>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</si>
  <si>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</si>
  <si>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</si>
  <si>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</si>
  <si>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</si>
  <si>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</si>
  <si>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</si>
  <si>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</si>
  <si>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</si>
  <si>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</si>
  <si>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</si>
  <si>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</si>
  <si>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</si>
  <si>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</si>
  <si>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</si>
  <si>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</si>
  <si>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</si>
  <si>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</si>
  <si>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</si>
  <si>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</si>
  <si>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</si>
  <si>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</si>
  <si>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</si>
  <si>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</si>
  <si>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</si>
  <si>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</si>
  <si>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</si>
  <si>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</si>
  <si>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</si>
  <si>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</si>
  <si>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</si>
  <si>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</si>
  <si>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</si>
  <si>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</si>
  <si>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</si>
  <si>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</si>
  <si>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</si>
  <si>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</si>
  <si>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</si>
  <si>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</si>
  <si>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</si>
  <si>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</si>
  <si>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</si>
  <si>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</si>
  <si>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</si>
  <si>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</si>
  <si>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</si>
  <si>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</si>
  <si>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</si>
  <si>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</si>
  <si>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</si>
  <si>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</si>
  <si>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</si>
  <si>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</si>
  <si>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</si>
  <si>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</si>
  <si>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</si>
  <si>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</si>
  <si>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</si>
  <si>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</si>
  <si>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</si>
  <si>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</si>
  <si>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</si>
  <si>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</si>
  <si>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</si>
  <si>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</si>
  <si>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</si>
  <si>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</si>
  <si>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</si>
  <si>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</si>
  <si>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</si>
  <si>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</si>
  <si>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</si>
  <si>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</si>
  <si>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</si>
  <si>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</si>
  <si>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</si>
  <si>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</si>
  <si>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</si>
  <si>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</si>
  <si>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</si>
  <si>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</si>
  <si>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</si>
  <si>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</si>
  <si>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</si>
  <si>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</si>
  <si>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</si>
  <si>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</si>
  <si>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</si>
  <si>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</si>
  <si>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</si>
  <si>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</si>
  <si>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</si>
  <si>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</si>
  <si>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</si>
  <si>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</si>
  <si>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</si>
  <si>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</si>
  <si>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</si>
  <si>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</si>
  <si>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</si>
  <si>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</si>
  <si>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</si>
  <si>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</si>
  <si>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</si>
  <si>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</si>
  <si>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</si>
  <si>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</si>
  <si>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</si>
  <si>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</si>
  <si>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</si>
  <si>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</si>
  <si>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</si>
  <si>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</si>
  <si>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</si>
  <si>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</si>
  <si>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</si>
  <si>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</si>
  <si>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</si>
  <si>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</si>
  <si>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</si>
  <si>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</si>
  <si>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</si>
  <si>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</si>
  <si>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</si>
  <si>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</si>
  <si>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</si>
  <si>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</si>
  <si>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</si>
  <si>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</si>
  <si>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</si>
  <si>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</si>
  <si>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</si>
  <si>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</si>
  <si>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</si>
  <si>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</si>
  <si>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</si>
  <si>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</si>
  <si>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</si>
  <si>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</si>
  <si>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</si>
  <si>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</si>
  <si>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</si>
  <si>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</si>
  <si>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</si>
  <si>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</si>
  <si>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</si>
  <si>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</si>
  <si>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</si>
  <si>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</si>
  <si>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</si>
  <si>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</si>
  <si>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</si>
  <si>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</si>
  <si>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</si>
  <si>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</si>
  <si>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</si>
  <si>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</si>
  <si>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</si>
  <si>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</si>
  <si>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</si>
  <si>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</si>
  <si>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</si>
  <si>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</si>
  <si>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</si>
  <si>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</si>
  <si>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</si>
  <si>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</si>
  <si>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</si>
  <si>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</si>
  <si>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</si>
  <si>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</si>
  <si>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</si>
  <si>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</si>
  <si>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</si>
  <si>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</si>
  <si>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</si>
  <si>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</si>
  <si>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</si>
  <si>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</si>
  <si>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</si>
  <si>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</si>
  <si>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</si>
  <si>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</si>
  <si>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</si>
  <si>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</si>
  <si>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</si>
  <si>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</si>
  <si>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</si>
  <si>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</si>
  <si>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</si>
  <si>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</si>
  <si>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</si>
  <si>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</si>
  <si>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</si>
  <si>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</si>
  <si>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</si>
  <si>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</si>
  <si>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</si>
  <si>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</si>
  <si>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</si>
  <si>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</si>
  <si>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</si>
  <si>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</si>
  <si>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</si>
  <si>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</si>
  <si>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</si>
  <si>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</si>
  <si>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</si>
  <si>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</si>
  <si>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</si>
  <si>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</si>
  <si>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</si>
  <si>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</si>
  <si>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</si>
  <si>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</si>
  <si>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</si>
  <si>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</si>
  <si>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</si>
  <si>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</si>
  <si>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</si>
  <si>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</si>
  <si>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</si>
  <si>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</si>
  <si>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</si>
  <si>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</si>
  <si>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</si>
  <si>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</si>
  <si>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</si>
  <si>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</si>
  <si>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</si>
  <si>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</si>
  <si>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</si>
  <si>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</si>
  <si>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</si>
  <si>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</si>
  <si>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</si>
  <si>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</si>
  <si>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</si>
  <si>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</si>
  <si>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</si>
  <si>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</si>
  <si>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</si>
  <si>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</si>
  <si>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</si>
  <si>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</si>
  <si>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</si>
  <si>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</si>
  <si>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</si>
  <si>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</si>
  <si>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</si>
  <si>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</si>
  <si>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</si>
  <si>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</si>
  <si>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</si>
  <si>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</si>
  <si>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</si>
  <si>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</si>
  <si>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</si>
  <si>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</si>
  <si>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</si>
  <si>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</si>
  <si>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</si>
  <si>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</si>
  <si>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</si>
  <si>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</si>
  <si>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</si>
  <si>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</si>
  <si>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</si>
  <si>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</si>
  <si>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</si>
  <si>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</si>
  <si>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</si>
  <si>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</si>
  <si>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</si>
  <si>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</si>
  <si>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</si>
  <si>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</si>
  <si>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</si>
  <si>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</si>
  <si>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</si>
  <si>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</si>
  <si>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</si>
  <si>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</si>
  <si>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</si>
  <si>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</si>
  <si>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</si>
  <si>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</si>
  <si>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</si>
  <si>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</si>
  <si>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</si>
  <si>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</si>
  <si>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</si>
  <si>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</si>
  <si>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</si>
  <si>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</si>
  <si>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</si>
  <si>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</si>
  <si>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</si>
  <si>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</si>
  <si>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</si>
  <si>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</si>
  <si>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</si>
  <si>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</si>
  <si>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</si>
  <si>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</si>
  <si>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</si>
  <si>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</si>
  <si>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</si>
  <si>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</si>
  <si>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</si>
  <si>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</si>
  <si>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</si>
  <si>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</si>
  <si>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</si>
  <si>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</si>
  <si>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</si>
  <si>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</si>
  <si>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</si>
  <si>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</si>
  <si>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</si>
  <si>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</si>
  <si>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</si>
  <si>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</si>
  <si>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</si>
  <si>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</si>
  <si>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</si>
  <si>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</si>
  <si>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</si>
  <si>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</si>
  <si>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</si>
  <si>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</si>
  <si>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</si>
  <si>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</si>
  <si>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</si>
  <si>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</si>
  <si>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</si>
  <si>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</si>
  <si>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</si>
  <si>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</si>
  <si>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</si>
  <si>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</si>
  <si>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</si>
  <si>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</si>
  <si>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</si>
  <si>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</si>
  <si>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</si>
  <si>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</si>
  <si>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</si>
  <si>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</si>
  <si>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</si>
  <si>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</si>
  <si>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</si>
  <si>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</si>
  <si>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</si>
  <si>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</si>
  <si>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</si>
  <si>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</si>
  <si>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</si>
  <si>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</si>
  <si>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</si>
  <si>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</si>
  <si>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</si>
  <si>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</si>
  <si>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</si>
  <si>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</si>
  <si>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</si>
  <si>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</si>
  <si>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</si>
  <si>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</si>
  <si>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</si>
  <si>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</si>
  <si>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</si>
  <si>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</si>
  <si>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</si>
  <si>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</si>
  <si>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</si>
  <si>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</si>
  <si>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</si>
  <si>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</si>
  <si>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</si>
  <si>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</si>
  <si>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</si>
  <si>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</si>
  <si>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</si>
  <si>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</si>
  <si>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</si>
  <si>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</si>
  <si>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</si>
  <si>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</si>
  <si>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</si>
  <si>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</si>
  <si>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</si>
  <si>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</si>
  <si>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</si>
  <si>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</si>
  <si>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</si>
  <si>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</si>
  <si>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</si>
  <si>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</si>
  <si>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</si>
  <si>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</si>
  <si>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</si>
  <si>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</si>
  <si>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</si>
  <si>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</si>
  <si>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</si>
  <si>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</si>
  <si>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</si>
  <si>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</si>
  <si>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</si>
  <si>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</si>
  <si>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</si>
  <si>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</si>
  <si>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</si>
  <si>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</si>
  <si>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</si>
  <si>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</si>
  <si>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</si>
  <si>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</si>
  <si>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</si>
  <si>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</si>
  <si>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</si>
  <si>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</si>
  <si>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</si>
  <si>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</si>
  <si>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</si>
  <si>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</si>
  <si>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</si>
  <si>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</si>
  <si>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</si>
  <si>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</si>
  <si>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</si>
  <si>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</si>
  <si>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</si>
  <si>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</si>
  <si>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</si>
  <si>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</si>
  <si>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</si>
  <si>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</si>
  <si>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</si>
  <si>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</si>
  <si>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</si>
  <si>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</si>
  <si>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</si>
  <si>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</si>
  <si>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</si>
  <si>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</si>
  <si>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</si>
  <si>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</si>
  <si>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</si>
  <si>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</si>
  <si>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</si>
  <si>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</si>
  <si>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</si>
  <si>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</si>
  <si>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</si>
  <si>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</si>
  <si>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</si>
  <si>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</si>
  <si>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</si>
  <si>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</si>
  <si>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</si>
  <si>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</si>
  <si>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</si>
  <si>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</si>
  <si>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</si>
  <si>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</si>
  <si>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</si>
  <si>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</si>
  <si>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</si>
  <si>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</si>
  <si>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</si>
  <si>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</si>
  <si>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</si>
  <si>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</si>
  <si>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</si>
  <si>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</si>
  <si>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</si>
  <si>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</si>
  <si>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</si>
  <si>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</si>
  <si>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</si>
  <si>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</si>
  <si>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</si>
  <si>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</si>
  <si>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</si>
  <si>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</si>
  <si>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</si>
  <si>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</si>
  <si>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</si>
  <si>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</si>
  <si>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</si>
  <si>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</si>
  <si>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</si>
  <si>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</si>
  <si>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</si>
  <si>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</si>
  <si>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</si>
  <si>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</si>
  <si>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</si>
  <si>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</si>
  <si>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</si>
  <si>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</si>
  <si>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</si>
  <si>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</si>
  <si>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</si>
  <si>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</si>
  <si>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</si>
  <si>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</si>
  <si>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</si>
  <si>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</si>
  <si>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</si>
  <si>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</si>
  <si>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</si>
  <si>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</si>
  <si>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</si>
  <si>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</si>
  <si>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</si>
  <si>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</si>
  <si>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</si>
  <si>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</si>
  <si>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</si>
  <si>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</si>
  <si>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</si>
  <si>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</si>
  <si>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</si>
  <si>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</si>
  <si>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</si>
  <si>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</si>
  <si>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</si>
  <si>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</si>
  <si>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</si>
  <si>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</si>
  <si>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</si>
  <si>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</si>
  <si>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</si>
  <si>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</si>
  <si>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</si>
  <si>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</si>
  <si>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</si>
  <si>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</si>
  <si>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</si>
  <si>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</si>
  <si>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</si>
  <si>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</si>
  <si>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</si>
  <si>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</si>
  <si>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</si>
  <si>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</si>
  <si>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</si>
  <si>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</si>
  <si>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</si>
  <si>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</si>
  <si>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</si>
  <si>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</si>
  <si>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</si>
  <si>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</si>
  <si>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</si>
  <si>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</si>
  <si>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</si>
  <si>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</si>
  <si>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</si>
  <si>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</si>
  <si>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</si>
  <si>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</si>
  <si>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</si>
  <si>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</si>
  <si>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</si>
  <si>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</si>
  <si>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</si>
  <si>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</si>
  <si>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</si>
  <si>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</si>
  <si>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</si>
  <si>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</si>
  <si>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</si>
  <si>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</si>
  <si>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</si>
  <si>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</si>
  <si>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</si>
  <si>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</si>
  <si>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</si>
  <si>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</si>
  <si>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</si>
  <si>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</si>
  <si>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</si>
  <si>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</si>
  <si>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</si>
  <si>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</si>
  <si>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</si>
  <si>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</si>
  <si>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</si>
  <si>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</si>
  <si>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</si>
  <si>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</si>
  <si>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</si>
  <si>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</si>
  <si>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</si>
  <si>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</si>
  <si>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</si>
  <si>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</si>
  <si>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</si>
  <si>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</si>
  <si>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</si>
  <si>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</si>
  <si>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</si>
  <si>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</si>
  <si>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</si>
  <si>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</si>
  <si>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</si>
  <si>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</si>
  <si>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</si>
  <si>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</si>
  <si>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</si>
  <si>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</si>
  <si>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</si>
  <si>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</si>
  <si>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</si>
  <si>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</si>
  <si>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</si>
  <si>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</si>
  <si>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</si>
  <si>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</si>
  <si>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</si>
  <si>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</si>
  <si>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</si>
  <si>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</si>
  <si>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</si>
  <si>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</si>
  <si>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</si>
  <si>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</si>
  <si>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</si>
  <si>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</si>
  <si>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</si>
  <si>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</si>
  <si>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</si>
  <si>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</si>
  <si>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</si>
  <si>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</si>
  <si>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</si>
  <si>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</si>
  <si>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</si>
  <si>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</si>
  <si>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</si>
  <si>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</si>
  <si>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</si>
  <si>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</si>
  <si>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</si>
  <si>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</si>
  <si>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</si>
  <si>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</si>
  <si>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</si>
  <si>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</si>
  <si>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</si>
  <si>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</si>
  <si>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</si>
  <si>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</si>
  <si>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</si>
  <si>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</si>
  <si>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</si>
  <si>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</si>
  <si>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</si>
  <si>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</si>
  <si>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</si>
  <si>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</si>
  <si>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</si>
  <si>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</si>
  <si>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</si>
  <si>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</si>
  <si>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</si>
  <si>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</si>
  <si>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</si>
  <si>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</si>
  <si>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</si>
  <si>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</si>
  <si>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</si>
  <si>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</si>
  <si>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</si>
  <si>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</si>
  <si>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</si>
  <si>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</si>
  <si>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</si>
  <si>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</si>
  <si>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</si>
  <si>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</si>
  <si>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</si>
  <si>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</si>
  <si>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</si>
  <si>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</si>
  <si>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</si>
  <si>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</si>
  <si>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</si>
  <si>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</si>
  <si>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</si>
  <si>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</si>
  <si>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</si>
  <si>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</si>
  <si>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</si>
  <si>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</si>
  <si>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</si>
  <si>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</si>
  <si>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</si>
  <si>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</si>
  <si>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</si>
  <si>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</si>
  <si>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</si>
  <si>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</si>
  <si>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</si>
  <si>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</si>
  <si>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</si>
  <si>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</si>
  <si>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</si>
  <si>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</si>
  <si>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</si>
  <si>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</si>
  <si>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</si>
  <si>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</si>
  <si>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</si>
  <si>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</si>
  <si>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</si>
  <si>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</si>
  <si>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</si>
  <si>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</si>
  <si>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</si>
  <si>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</si>
  <si>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</si>
  <si>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</si>
  <si>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</si>
  <si>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</si>
  <si>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</si>
  <si>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</si>
  <si>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</si>
  <si>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</si>
  <si>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</si>
  <si>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</si>
  <si>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</si>
  <si>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</si>
  <si>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</si>
  <si>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</si>
  <si>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</si>
  <si>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</si>
  <si>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</si>
  <si>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</si>
  <si>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</si>
  <si>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</si>
  <si>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</si>
  <si>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</si>
  <si>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</si>
  <si>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</si>
  <si>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</si>
  <si>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</si>
  <si>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</si>
  <si>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</si>
  <si>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</si>
  <si>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</si>
  <si>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</si>
  <si>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</si>
  <si>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</si>
  <si>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</si>
  <si>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</si>
  <si>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</si>
  <si>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</si>
  <si>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</si>
  <si>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</si>
  <si>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</si>
  <si>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</si>
  <si>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</si>
  <si>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</si>
  <si>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</si>
  <si>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</si>
  <si>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</si>
  <si>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</si>
  <si>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</si>
  <si>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</si>
  <si>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</si>
  <si>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</si>
  <si>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</si>
  <si>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</si>
  <si>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</si>
  <si>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</si>
  <si>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</si>
  <si>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</si>
  <si>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</si>
  <si>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</si>
  <si>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</si>
  <si>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</si>
  <si>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</si>
  <si>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</si>
  <si>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</si>
  <si>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</si>
  <si>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</si>
  <si>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</si>
  <si>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</si>
  <si>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</si>
  <si>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</si>
  <si>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</si>
  <si>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</si>
  <si>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</si>
  <si>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</si>
  <si>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</si>
  <si>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</si>
  <si>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</si>
  <si>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</si>
  <si>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</si>
  <si>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</si>
  <si>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</si>
  <si>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</si>
  <si>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</si>
  <si>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</si>
  <si>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</si>
  <si>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</si>
  <si>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</si>
  <si>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</si>
  <si>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</si>
  <si>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</si>
  <si>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</si>
  <si>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</si>
  <si>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</si>
  <si>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</si>
  <si>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</si>
  <si>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</si>
  <si>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</si>
  <si>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</si>
  <si>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</si>
  <si>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</si>
  <si>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</si>
  <si>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</si>
  <si>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</si>
  <si>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</si>
  <si>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</si>
  <si>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</si>
  <si>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</si>
  <si>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</si>
  <si>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</si>
  <si>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</si>
  <si>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</si>
  <si>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</si>
  <si>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</si>
  <si>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</si>
  <si>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</si>
  <si>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</si>
  <si>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</si>
  <si>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</si>
  <si>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</si>
  <si>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</si>
  <si>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</si>
  <si>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</si>
  <si>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</si>
  <si>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</si>
  <si>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</si>
  <si>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</si>
  <si>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</si>
  <si>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</si>
  <si>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</si>
  <si>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</si>
  <si>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</si>
  <si>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</si>
  <si>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</si>
  <si>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</si>
  <si>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</si>
  <si>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</si>
  <si>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</si>
  <si>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</si>
  <si>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</si>
  <si>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</si>
  <si>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</si>
  <si>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</si>
  <si>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</si>
  <si>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</si>
  <si>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</si>
  <si>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</si>
  <si>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</si>
  <si>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</si>
  <si>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</si>
  <si>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</si>
  <si>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</si>
  <si>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</si>
  <si>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</si>
  <si>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</si>
  <si>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</si>
  <si>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</si>
  <si>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</si>
  <si>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</si>
  <si>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</si>
  <si>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</si>
  <si>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</si>
  <si>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</si>
  <si>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</si>
  <si>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</si>
  <si>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</si>
  <si>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</si>
  <si>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</si>
  <si>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</si>
  <si>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</si>
  <si>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</si>
  <si>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</si>
  <si>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</si>
  <si>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</si>
  <si>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</si>
  <si>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</si>
  <si>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</si>
  <si>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</si>
  <si>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</si>
  <si>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</si>
  <si>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</si>
  <si>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</si>
  <si>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</si>
  <si>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</si>
  <si>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</si>
  <si>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</si>
  <si>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</si>
  <si>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</si>
  <si>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</si>
  <si>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</si>
  <si>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</si>
  <si>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</si>
  <si>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</si>
  <si>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</si>
  <si>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</si>
  <si>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</si>
  <si>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</si>
  <si>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</si>
  <si>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</si>
  <si>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</si>
  <si>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</si>
  <si>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</si>
  <si>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</si>
  <si>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</si>
  <si>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</si>
  <si>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</si>
  <si>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</si>
  <si>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</si>
  <si>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</si>
  <si>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</si>
  <si>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</si>
  <si>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</si>
  <si>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</si>
  <si>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</si>
  <si>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</si>
  <si>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</si>
  <si>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</si>
  <si>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</si>
  <si>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</si>
  <si>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</si>
  <si>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</si>
  <si>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</si>
  <si>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</si>
  <si>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</si>
  <si>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</si>
  <si>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</si>
  <si>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</si>
  <si>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</si>
  <si>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</si>
  <si>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</si>
  <si>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</si>
  <si>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Reliability Params</t>
  </si>
  <si>
    <t>Availability 2012</t>
  </si>
  <si>
    <t>Availability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</si>
</sst>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0.000%"/>
    <numFmt numFmtId="173" formatCode="[$£-809]#,##0.000;[Red]&quot;-&quot;[$£-809]#,##0.000"/>
    <numFmt numFmtId="174" formatCode="yyyy/mm/dd;@"/>
    <numFmt numFmtId="175" formatCode="0##########"/>
    <numFmt numFmtId="176" formatCode="0.000000"/>
    <numFmt numFmtId="177" formatCode="&quot;R&quot;#,##0.00000;[Red]\-&quot;R&quot;#,##0.00000"/>
    <numFmt numFmtId="178" formatCode="#,##0.0000"/>
  </numFmts>
  <fonts count="7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9"/>
      <color indexed="81"/>
      <name val="Tahoma"/>
      <charset val="1"/>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0">
    <xf numFmtId="0" fontId="0" fillId="0" borderId="0"/>
    <xf numFmtId="0" fontId="11" fillId="0" borderId="0"/>
    <xf numFmtId="0" fontId="11" fillId="0" borderId="0"/>
    <xf numFmtId="0" fontId="11" fillId="0" borderId="0"/>
    <xf numFmtId="0" fontId="4" fillId="0" borderId="0"/>
    <xf numFmtId="0" fontId="11" fillId="0" borderId="0"/>
    <xf numFmtId="164" fontId="11" fillId="0" borderId="0" applyFont="0" applyFill="0" applyBorder="0" applyAlignment="0" applyProtection="0"/>
    <xf numFmtId="43" fontId="11" fillId="0" borderId="0" applyFont="0" applyFill="0" applyBorder="0" applyAlignment="0" applyProtection="0"/>
    <xf numFmtId="9" fontId="11" fillId="0" borderId="0" applyFont="0" applyFill="0" applyBorder="0" applyAlignment="0" applyProtection="0"/>
    <xf numFmtId="0" fontId="11" fillId="0" borderId="0"/>
    <xf numFmtId="0" fontId="4" fillId="0" borderId="0"/>
    <xf numFmtId="0" fontId="25"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0" fontId="27" fillId="0" borderId="0"/>
    <xf numFmtId="43" fontId="27" fillId="0" borderId="0" applyFont="0" applyFill="0" applyBorder="0" applyAlignment="0" applyProtection="0"/>
    <xf numFmtId="164" fontId="3" fillId="0" borderId="0" applyFont="0" applyFill="0" applyBorder="0" applyAlignment="0" applyProtection="0"/>
    <xf numFmtId="9" fontId="27" fillId="0" borderId="0" applyFont="0" applyFill="0" applyBorder="0" applyAlignment="0" applyProtection="0"/>
    <xf numFmtId="0" fontId="29" fillId="5" borderId="0" applyNumberFormat="0" applyBorder="0" applyAlignment="0" applyProtection="0"/>
    <xf numFmtId="0" fontId="31" fillId="0" borderId="0" applyNumberFormat="0" applyFill="0" applyBorder="0" applyAlignment="0" applyProtection="0"/>
    <xf numFmtId="0" fontId="32" fillId="6" borderId="13" applyNumberFormat="0" applyAlignment="0" applyProtection="0"/>
    <xf numFmtId="0" fontId="33" fillId="7" borderId="0" applyNumberFormat="0" applyBorder="0" applyAlignment="0" applyProtection="0"/>
    <xf numFmtId="0" fontId="34" fillId="8" borderId="0" applyNumberFormat="0" applyBorder="0" applyAlignment="0" applyProtection="0"/>
    <xf numFmtId="173" fontId="11" fillId="0" borderId="0"/>
    <xf numFmtId="0" fontId="37" fillId="0" borderId="0"/>
    <xf numFmtId="0" fontId="41" fillId="0" borderId="0"/>
    <xf numFmtId="0" fontId="2" fillId="0" borderId="0"/>
    <xf numFmtId="0" fontId="56" fillId="0" borderId="0"/>
    <xf numFmtId="0" fontId="2" fillId="0" borderId="0"/>
    <xf numFmtId="9" fontId="2" fillId="0" borderId="0" applyFont="0" applyFill="0" applyBorder="0" applyAlignment="0" applyProtection="0"/>
    <xf numFmtId="0" fontId="2" fillId="0" borderId="0"/>
    <xf numFmtId="164" fontId="66" fillId="0" borderId="0" applyFont="0" applyFill="0" applyBorder="0" applyAlignment="0" applyProtection="0"/>
    <xf numFmtId="0" fontId="67" fillId="0" borderId="0" applyNumberForma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0" fontId="2" fillId="0" borderId="0"/>
    <xf numFmtId="0" fontId="26" fillId="4" borderId="13" applyNumberFormat="0" applyAlignment="0" applyProtection="0"/>
    <xf numFmtId="0" fontId="32" fillId="6" borderId="13" applyNumberFormat="0" applyAlignment="0" applyProtection="0"/>
    <xf numFmtId="0" fontId="25" fillId="0" borderId="0" applyNumberFormat="0" applyFill="0" applyBorder="0" applyAlignment="0" applyProtection="0">
      <alignment vertical="top"/>
      <protection locked="0"/>
    </xf>
    <xf numFmtId="0" fontId="73" fillId="0" borderId="43" applyNumberFormat="0" applyFill="0" applyAlignment="0" applyProtection="0"/>
  </cellStyleXfs>
  <cellXfs count="380">
    <xf numFmtId="0" fontId="0" fillId="0" borderId="0" xfId="0"/>
    <xf numFmtId="0" fontId="5"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7" fillId="0" borderId="0" xfId="0" applyFont="1"/>
    <xf numFmtId="0" fontId="8" fillId="0" borderId="0" xfId="0" applyFont="1"/>
    <xf numFmtId="0" fontId="9" fillId="0" borderId="0" xfId="0" applyFont="1"/>
    <xf numFmtId="0" fontId="6" fillId="0" borderId="0" xfId="0" applyFont="1"/>
    <xf numFmtId="0" fontId="7" fillId="0" borderId="0" xfId="0" applyFont="1" applyAlignment="1">
      <alignment horizontal="center" wrapText="1"/>
    </xf>
    <xf numFmtId="0" fontId="6" fillId="0" borderId="0" xfId="0" applyFont="1" applyFill="1"/>
    <xf numFmtId="0" fontId="5" fillId="0" borderId="0" xfId="1" applyFont="1"/>
    <xf numFmtId="0" fontId="11" fillId="0" borderId="0" xfId="1"/>
    <xf numFmtId="0" fontId="8" fillId="0" borderId="0" xfId="1" applyFont="1"/>
    <xf numFmtId="0" fontId="14" fillId="0" borderId="0" xfId="1" applyFont="1" applyFill="1"/>
    <xf numFmtId="0" fontId="7" fillId="0" borderId="0" xfId="1" applyFont="1"/>
    <xf numFmtId="0" fontId="8" fillId="0" borderId="0" xfId="0" applyFont="1" applyFill="1"/>
    <xf numFmtId="0" fontId="15" fillId="0" borderId="0" xfId="0" applyFont="1" applyFill="1"/>
    <xf numFmtId="0" fontId="15" fillId="0" borderId="0" xfId="0" applyFont="1"/>
    <xf numFmtId="0" fontId="16" fillId="0" borderId="0" xfId="0" applyFont="1" applyFill="1"/>
    <xf numFmtId="0" fontId="17" fillId="0" borderId="0" xfId="0" applyFont="1" applyFill="1"/>
    <xf numFmtId="0" fontId="14" fillId="0" borderId="0" xfId="1" applyFont="1"/>
    <xf numFmtId="0" fontId="9" fillId="0" borderId="0" xfId="1" applyFont="1"/>
    <xf numFmtId="0" fontId="16" fillId="0" borderId="0" xfId="1" applyFont="1" applyFill="1"/>
    <xf numFmtId="0" fontId="8" fillId="0" borderId="0" xfId="1" applyFont="1" applyFill="1"/>
    <xf numFmtId="0" fontId="17" fillId="0" borderId="0" xfId="1" applyFont="1" applyFill="1"/>
    <xf numFmtId="49" fontId="16" fillId="0" borderId="0" xfId="0" applyNumberFormat="1" applyFont="1" applyFill="1" applyAlignment="1">
      <alignment horizontal="left"/>
    </xf>
    <xf numFmtId="0" fontId="18" fillId="0" borderId="0" xfId="1" applyFont="1" applyFill="1"/>
    <xf numFmtId="0" fontId="12" fillId="0" borderId="0" xfId="1" applyFont="1" applyFill="1" applyAlignment="1">
      <alignment horizontal="center"/>
    </xf>
    <xf numFmtId="0" fontId="8" fillId="0" borderId="0" xfId="1" applyFont="1" applyFill="1" applyAlignment="1">
      <alignment horizontal="center"/>
    </xf>
    <xf numFmtId="0" fontId="7" fillId="0" borderId="0" xfId="1" applyFont="1" applyFill="1"/>
    <xf numFmtId="0" fontId="11" fillId="0" borderId="0" xfId="1" applyFill="1"/>
    <xf numFmtId="0" fontId="5" fillId="0" borderId="0" xfId="1" applyFont="1" applyFill="1"/>
    <xf numFmtId="0" fontId="0" fillId="0" borderId="0" xfId="0" applyFill="1"/>
    <xf numFmtId="0" fontId="8" fillId="0" borderId="0" xfId="1" applyFont="1" applyFill="1" applyAlignment="1">
      <alignment horizontal="center" wrapText="1"/>
    </xf>
    <xf numFmtId="0" fontId="14" fillId="0" borderId="0" xfId="0" applyFont="1" applyFill="1"/>
    <xf numFmtId="0" fontId="17" fillId="3" borderId="0" xfId="0" applyFont="1" applyFill="1"/>
    <xf numFmtId="0" fontId="17" fillId="3" borderId="0" xfId="1" applyFont="1" applyFill="1"/>
    <xf numFmtId="0" fontId="14" fillId="0" borderId="0" xfId="0" applyFont="1"/>
    <xf numFmtId="0" fontId="8" fillId="0" borderId="0" xfId="0" applyFont="1" applyAlignment="1">
      <alignment horizontal="center"/>
    </xf>
    <xf numFmtId="0" fontId="16" fillId="0" borderId="0" xfId="0" applyFont="1" applyFill="1" applyAlignment="1">
      <alignment horizontal="center"/>
    </xf>
    <xf numFmtId="0" fontId="21" fillId="0" borderId="0" xfId="3" applyFont="1"/>
    <xf numFmtId="0" fontId="11" fillId="0" borderId="0" xfId="3"/>
    <xf numFmtId="0" fontId="8" fillId="0" borderId="0" xfId="2" applyFont="1"/>
    <xf numFmtId="0" fontId="24" fillId="0" borderId="0" xfId="2" applyFont="1"/>
    <xf numFmtId="0" fontId="8" fillId="0" borderId="0" xfId="3" applyFont="1"/>
    <xf numFmtId="0" fontId="24" fillId="0" borderId="0" xfId="3" applyFont="1"/>
    <xf numFmtId="0" fontId="24" fillId="0" borderId="0" xfId="1" applyFont="1"/>
    <xf numFmtId="0" fontId="22" fillId="0" borderId="0" xfId="1" applyFont="1"/>
    <xf numFmtId="0" fontId="8" fillId="0" borderId="0" xfId="2" applyFont="1" applyAlignment="1">
      <alignment horizontal="right"/>
    </xf>
    <xf numFmtId="0" fontId="8" fillId="0" borderId="0" xfId="2" applyFont="1" applyAlignment="1">
      <alignment horizontal="center"/>
    </xf>
    <xf numFmtId="168" fontId="8" fillId="0" borderId="0" xfId="2" applyNumberFormat="1" applyFont="1"/>
    <xf numFmtId="2" fontId="8" fillId="0" borderId="0" xfId="2" applyNumberFormat="1" applyFont="1"/>
    <xf numFmtId="167" fontId="8" fillId="0" borderId="0" xfId="2" applyNumberFormat="1" applyFont="1"/>
    <xf numFmtId="166" fontId="8" fillId="0" borderId="0" xfId="2" applyNumberFormat="1" applyFont="1"/>
    <xf numFmtId="0" fontId="31" fillId="0" borderId="0" xfId="19"/>
    <xf numFmtId="0" fontId="8" fillId="0" borderId="0" xfId="2" applyFont="1" applyAlignment="1">
      <alignment horizontal="left"/>
    </xf>
    <xf numFmtId="0" fontId="32" fillId="6" borderId="13" xfId="20"/>
    <xf numFmtId="0" fontId="11" fillId="0" borderId="0" xfId="2"/>
    <xf numFmtId="0" fontId="17" fillId="0" borderId="0" xfId="1" applyFont="1"/>
    <xf numFmtId="0" fontId="16" fillId="0" borderId="0" xfId="1" applyFont="1"/>
    <xf numFmtId="0" fontId="17" fillId="0" borderId="0" xfId="2" applyFont="1"/>
    <xf numFmtId="0" fontId="16" fillId="0" borderId="0" xfId="2" applyFont="1"/>
    <xf numFmtId="0" fontId="17" fillId="0" borderId="0" xfId="23" applyNumberFormat="1" applyFont="1"/>
    <xf numFmtId="0" fontId="7" fillId="0" borderId="0" xfId="2" applyFont="1"/>
    <xf numFmtId="0" fontId="23" fillId="0" borderId="0" xfId="1" applyFont="1"/>
    <xf numFmtId="1" fontId="8" fillId="0" borderId="0" xfId="2" applyNumberFormat="1" applyFont="1"/>
    <xf numFmtId="0" fontId="34" fillId="8" borderId="0" xfId="22"/>
    <xf numFmtId="2" fontId="8" fillId="0" borderId="0" xfId="2" applyNumberFormat="1" applyFont="1" applyAlignment="1">
      <alignment horizontal="center"/>
    </xf>
    <xf numFmtId="2" fontId="34" fillId="8" borderId="0" xfId="22" applyNumberFormat="1" applyAlignment="1">
      <alignment horizontal="center"/>
    </xf>
    <xf numFmtId="167" fontId="8" fillId="0" borderId="0" xfId="2" applyNumberFormat="1" applyFont="1" applyAlignment="1">
      <alignment horizontal="center"/>
    </xf>
    <xf numFmtId="166" fontId="8" fillId="0" borderId="0" xfId="2" applyNumberFormat="1" applyFont="1" applyAlignment="1">
      <alignment horizontal="center"/>
    </xf>
    <xf numFmtId="0" fontId="17" fillId="0" borderId="0" xfId="2" applyFont="1" applyAlignment="1">
      <alignment horizontal="center"/>
    </xf>
    <xf numFmtId="0" fontId="7" fillId="0" borderId="0" xfId="2" applyFont="1" applyAlignment="1">
      <alignment horizontal="center" wrapText="1"/>
    </xf>
    <xf numFmtId="0" fontId="18" fillId="0" borderId="0" xfId="2" applyFont="1"/>
    <xf numFmtId="0" fontId="17" fillId="0" borderId="0" xfId="2" applyFont="1" applyAlignment="1">
      <alignment wrapText="1"/>
    </xf>
    <xf numFmtId="0" fontId="16" fillId="0" borderId="0" xfId="2" applyFont="1" applyAlignment="1">
      <alignment horizontal="center"/>
    </xf>
    <xf numFmtId="0" fontId="8" fillId="0" borderId="0" xfId="2" applyFont="1" applyAlignment="1">
      <alignment wrapText="1"/>
    </xf>
    <xf numFmtId="3" fontId="8" fillId="0" borderId="0" xfId="2" applyNumberFormat="1" applyFont="1"/>
    <xf numFmtId="1" fontId="8" fillId="0" borderId="0" xfId="2" applyNumberFormat="1" applyFont="1" applyAlignment="1">
      <alignment horizontal="center"/>
    </xf>
    <xf numFmtId="2" fontId="29" fillId="5" borderId="0" xfId="18" applyNumberFormat="1" applyAlignment="1">
      <alignment horizontal="center"/>
    </xf>
    <xf numFmtId="166" fontId="33" fillId="7" borderId="0" xfId="21" applyNumberFormat="1" applyAlignment="1">
      <alignment horizontal="center"/>
    </xf>
    <xf numFmtId="4" fontId="8" fillId="0" borderId="0" xfId="2" applyNumberFormat="1" applyFont="1"/>
    <xf numFmtId="9" fontId="8" fillId="0" borderId="0" xfId="2" applyNumberFormat="1" applyFont="1" applyAlignment="1">
      <alignment horizontal="center"/>
    </xf>
    <xf numFmtId="2" fontId="11" fillId="0" borderId="0" xfId="2" applyNumberFormat="1"/>
    <xf numFmtId="10" fontId="8" fillId="0" borderId="0" xfId="2" applyNumberFormat="1" applyFont="1" applyAlignment="1">
      <alignment horizontal="center"/>
    </xf>
    <xf numFmtId="0" fontId="37" fillId="0" borderId="0" xfId="24"/>
    <xf numFmtId="0" fontId="38" fillId="0" borderId="0" xfId="24" applyFont="1"/>
    <xf numFmtId="0" fontId="39" fillId="0" borderId="0" xfId="24" applyFont="1"/>
    <xf numFmtId="0" fontId="40" fillId="0" borderId="0" xfId="24" applyFont="1"/>
    <xf numFmtId="9" fontId="37" fillId="0" borderId="0" xfId="24" applyNumberFormat="1"/>
    <xf numFmtId="2" fontId="37" fillId="0" borderId="0" xfId="24" applyNumberFormat="1"/>
    <xf numFmtId="165" fontId="37" fillId="0" borderId="0" xfId="24" applyNumberFormat="1"/>
    <xf numFmtId="165" fontId="29" fillId="5" borderId="0" xfId="18" applyNumberFormat="1"/>
    <xf numFmtId="167" fontId="37" fillId="0" borderId="0" xfId="24" applyNumberFormat="1"/>
    <xf numFmtId="0" fontId="41" fillId="0" borderId="0" xfId="25" applyAlignment="1">
      <alignment horizontal="left" vertical="top"/>
    </xf>
    <xf numFmtId="171" fontId="0" fillId="0" borderId="0" xfId="8" applyNumberFormat="1" applyFont="1"/>
    <xf numFmtId="9" fontId="41" fillId="0" borderId="0" xfId="8" applyFont="1" applyAlignment="1">
      <alignment horizontal="left" vertical="top"/>
    </xf>
    <xf numFmtId="10" fontId="8" fillId="0" borderId="15" xfId="8" applyNumberFormat="1" applyFont="1" applyBorder="1" applyAlignment="1">
      <alignment horizontal="right" vertical="top" wrapText="1"/>
    </xf>
    <xf numFmtId="0" fontId="8" fillId="9" borderId="15" xfId="25" applyFont="1" applyFill="1" applyBorder="1" applyAlignment="1">
      <alignment horizontal="left" vertical="top" wrapText="1"/>
    </xf>
    <xf numFmtId="0" fontId="8" fillId="9" borderId="15" xfId="25" applyFont="1" applyFill="1" applyBorder="1" applyAlignment="1">
      <alignment horizontal="right" vertical="top" wrapText="1"/>
    </xf>
    <xf numFmtId="174" fontId="18" fillId="9" borderId="15" xfId="25" applyNumberFormat="1" applyFont="1" applyFill="1" applyBorder="1" applyAlignment="1">
      <alignment horizontal="center" vertical="top" wrapText="1"/>
    </xf>
    <xf numFmtId="1" fontId="18" fillId="9" borderId="15" xfId="25" applyNumberFormat="1" applyFont="1" applyFill="1" applyBorder="1" applyAlignment="1">
      <alignment horizontal="center" vertical="top" wrapText="1"/>
    </xf>
    <xf numFmtId="172" fontId="0" fillId="0" borderId="0" xfId="8" applyNumberFormat="1" applyFont="1"/>
    <xf numFmtId="10" fontId="32" fillId="6" borderId="13" xfId="20" applyNumberFormat="1"/>
    <xf numFmtId="171" fontId="5" fillId="0" borderId="0" xfId="8" applyNumberFormat="1" applyFont="1"/>
    <xf numFmtId="171" fontId="32" fillId="6" borderId="13" xfId="20" applyNumberFormat="1"/>
    <xf numFmtId="0" fontId="41" fillId="0" borderId="0" xfId="25" applyAlignment="1">
      <alignment horizontal="right" vertical="top"/>
    </xf>
    <xf numFmtId="10" fontId="41" fillId="0" borderId="0" xfId="25" applyNumberFormat="1" applyAlignment="1">
      <alignment horizontal="left" vertical="top"/>
    </xf>
    <xf numFmtId="0" fontId="8" fillId="9" borderId="0" xfId="25" applyFont="1" applyFill="1" applyAlignment="1">
      <alignment horizontal="left" vertical="top" wrapText="1"/>
    </xf>
    <xf numFmtId="1" fontId="11" fillId="0" borderId="0" xfId="2" applyNumberFormat="1"/>
    <xf numFmtId="171" fontId="41" fillId="0" borderId="0" xfId="8" applyNumberFormat="1" applyFont="1" applyAlignment="1">
      <alignment horizontal="left" vertical="top"/>
    </xf>
    <xf numFmtId="0" fontId="41" fillId="9" borderId="0" xfId="25" applyFill="1" applyAlignment="1">
      <alignment horizontal="left" vertical="top" wrapText="1"/>
    </xf>
    <xf numFmtId="0" fontId="41" fillId="9" borderId="15" xfId="25" applyFill="1" applyBorder="1" applyAlignment="1">
      <alignment horizontal="left" vertical="top" wrapText="1"/>
    </xf>
    <xf numFmtId="0" fontId="41" fillId="9" borderId="18" xfId="25" applyFill="1" applyBorder="1" applyAlignment="1">
      <alignment horizontal="left" vertical="top" wrapText="1"/>
    </xf>
    <xf numFmtId="0" fontId="8" fillId="0" borderId="15" xfId="25" applyFont="1" applyBorder="1" applyAlignment="1">
      <alignment horizontal="right" vertical="top" wrapText="1"/>
    </xf>
    <xf numFmtId="1" fontId="18" fillId="9" borderId="15" xfId="25" applyNumberFormat="1" applyFont="1" applyFill="1" applyBorder="1" applyAlignment="1">
      <alignment horizontal="right" vertical="top" wrapText="1"/>
    </xf>
    <xf numFmtId="166" fontId="11" fillId="0" borderId="0" xfId="2" applyNumberFormat="1"/>
    <xf numFmtId="165" fontId="41" fillId="0" borderId="0" xfId="25" applyNumberFormat="1" applyAlignment="1">
      <alignment horizontal="left" vertical="top"/>
    </xf>
    <xf numFmtId="170" fontId="41" fillId="0" borderId="0" xfId="7" applyNumberFormat="1" applyFont="1" applyAlignment="1">
      <alignment horizontal="left" vertical="top"/>
    </xf>
    <xf numFmtId="170" fontId="8" fillId="0" borderId="0" xfId="7" applyNumberFormat="1" applyFont="1" applyAlignment="1">
      <alignment horizontal="right" vertical="top" wrapText="1"/>
    </xf>
    <xf numFmtId="170" fontId="8" fillId="0" borderId="15" xfId="7" applyNumberFormat="1" applyFont="1" applyBorder="1" applyAlignment="1">
      <alignment horizontal="right" vertical="top" wrapText="1"/>
    </xf>
    <xf numFmtId="170" fontId="41" fillId="0" borderId="0" xfId="7" applyNumberFormat="1" applyFont="1" applyAlignment="1">
      <alignment horizontal="right" vertical="top" wrapText="1"/>
    </xf>
    <xf numFmtId="170" fontId="41" fillId="0" borderId="15" xfId="7" applyNumberFormat="1" applyFont="1" applyBorder="1" applyAlignment="1">
      <alignment horizontal="left" vertical="top" wrapText="1"/>
    </xf>
    <xf numFmtId="170" fontId="41" fillId="0" borderId="0" xfId="7" applyNumberFormat="1" applyFont="1" applyAlignment="1">
      <alignment horizontal="left" vertical="top" wrapText="1"/>
    </xf>
    <xf numFmtId="170" fontId="18" fillId="0" borderId="0" xfId="7" applyNumberFormat="1" applyFont="1" applyAlignment="1">
      <alignment horizontal="right" vertical="top" wrapText="1"/>
    </xf>
    <xf numFmtId="170" fontId="18" fillId="0" borderId="15" xfId="7" applyNumberFormat="1" applyFont="1" applyBorder="1" applyAlignment="1">
      <alignment horizontal="right" vertical="top" wrapText="1"/>
    </xf>
    <xf numFmtId="170" fontId="29" fillId="5" borderId="0" xfId="18" applyNumberFormat="1" applyAlignment="1">
      <alignment horizontal="left" vertical="top"/>
    </xf>
    <xf numFmtId="0" fontId="7" fillId="9" borderId="0" xfId="25" applyFont="1" applyFill="1" applyAlignment="1">
      <alignment horizontal="left" vertical="top" wrapText="1" indent="1"/>
    </xf>
    <xf numFmtId="0" fontId="7" fillId="9" borderId="15" xfId="25" applyFont="1" applyFill="1" applyBorder="1" applyAlignment="1">
      <alignment horizontal="left" vertical="top" wrapText="1" indent="1"/>
    </xf>
    <xf numFmtId="0" fontId="32" fillId="6" borderId="13" xfId="20" applyAlignment="1">
      <alignment horizontal="center" vertical="top"/>
    </xf>
    <xf numFmtId="0" fontId="7" fillId="9" borderId="0" xfId="25" applyFont="1" applyFill="1" applyAlignment="1">
      <alignment horizontal="left" wrapText="1"/>
    </xf>
    <xf numFmtId="0" fontId="41" fillId="9" borderId="19" xfId="25" applyFill="1" applyBorder="1" applyAlignment="1">
      <alignment horizontal="left" vertical="top" wrapText="1"/>
    </xf>
    <xf numFmtId="0" fontId="45" fillId="0" borderId="0" xfId="25" applyFont="1" applyAlignment="1">
      <alignment horizontal="left" vertical="top"/>
    </xf>
    <xf numFmtId="2" fontId="41" fillId="0" borderId="0" xfId="25" applyNumberFormat="1" applyAlignment="1">
      <alignment horizontal="right" vertical="top"/>
    </xf>
    <xf numFmtId="0" fontId="46" fillId="0" borderId="15" xfId="25" applyFont="1" applyBorder="1" applyAlignment="1">
      <alignment horizontal="right" vertical="top" wrapText="1"/>
    </xf>
    <xf numFmtId="0" fontId="30" fillId="0" borderId="15" xfId="25" applyFont="1" applyBorder="1" applyAlignment="1">
      <alignment horizontal="right" vertical="top" wrapText="1"/>
    </xf>
    <xf numFmtId="0" fontId="47" fillId="9" borderId="15" xfId="25" applyFont="1" applyFill="1" applyBorder="1" applyAlignment="1">
      <alignment horizontal="left" vertical="top" wrapText="1"/>
    </xf>
    <xf numFmtId="0" fontId="47" fillId="9" borderId="15" xfId="25" applyFont="1" applyFill="1" applyBorder="1" applyAlignment="1">
      <alignment horizontal="center" vertical="top" wrapText="1"/>
    </xf>
    <xf numFmtId="174" fontId="48" fillId="0" borderId="15" xfId="25" applyNumberFormat="1" applyFont="1" applyBorder="1" applyAlignment="1">
      <alignment horizontal="center" vertical="top" wrapText="1"/>
    </xf>
    <xf numFmtId="174" fontId="48" fillId="0" borderId="15" xfId="25" applyNumberFormat="1" applyFont="1" applyBorder="1" applyAlignment="1">
      <alignment horizontal="left" vertical="top" wrapText="1" indent="1"/>
    </xf>
    <xf numFmtId="1" fontId="48" fillId="0" borderId="15" xfId="25" applyNumberFormat="1" applyFont="1" applyBorder="1" applyAlignment="1">
      <alignment horizontal="center" vertical="top" wrapText="1"/>
    </xf>
    <xf numFmtId="0" fontId="47" fillId="0" borderId="15" xfId="25" applyFont="1" applyBorder="1" applyAlignment="1">
      <alignment horizontal="left" vertical="top" wrapText="1"/>
    </xf>
    <xf numFmtId="0" fontId="47" fillId="9" borderId="15" xfId="25" applyFont="1" applyFill="1" applyBorder="1" applyAlignment="1">
      <alignment horizontal="center" vertical="center" wrapText="1"/>
    </xf>
    <xf numFmtId="174" fontId="48" fillId="0" borderId="15" xfId="25" applyNumberFormat="1" applyFont="1" applyBorder="1" applyAlignment="1">
      <alignment horizontal="center" vertical="center" wrapText="1"/>
    </xf>
    <xf numFmtId="174" fontId="48" fillId="0" borderId="15" xfId="25" applyNumberFormat="1" applyFont="1" applyBorder="1" applyAlignment="1">
      <alignment horizontal="left" vertical="center" wrapText="1" indent="1"/>
    </xf>
    <xf numFmtId="1" fontId="48" fillId="0" borderId="15" xfId="25" applyNumberFormat="1" applyFont="1" applyBorder="1" applyAlignment="1">
      <alignment horizontal="center" vertical="center" wrapText="1"/>
    </xf>
    <xf numFmtId="0" fontId="47" fillId="0" borderId="15" xfId="25" applyFont="1" applyBorder="1" applyAlignment="1">
      <alignment horizontal="left" vertical="center" wrapText="1"/>
    </xf>
    <xf numFmtId="0" fontId="49" fillId="0" borderId="15" xfId="25" applyFont="1" applyBorder="1" applyAlignment="1">
      <alignment horizontal="right" vertical="top" wrapText="1"/>
    </xf>
    <xf numFmtId="0" fontId="50" fillId="9" borderId="15" xfId="25" applyFont="1" applyFill="1" applyBorder="1" applyAlignment="1">
      <alignment horizontal="left" vertical="top" wrapText="1" indent="1"/>
    </xf>
    <xf numFmtId="0" fontId="50" fillId="9" borderId="17" xfId="25" applyFont="1" applyFill="1" applyBorder="1" applyAlignment="1">
      <alignment horizontal="left" vertical="top" wrapText="1" indent="1"/>
    </xf>
    <xf numFmtId="0" fontId="50" fillId="9" borderId="18" xfId="25" applyFont="1" applyFill="1" applyBorder="1" applyAlignment="1">
      <alignment horizontal="left" vertical="center" wrapText="1"/>
    </xf>
    <xf numFmtId="0" fontId="50" fillId="9" borderId="16" xfId="25" applyFont="1" applyFill="1" applyBorder="1" applyAlignment="1">
      <alignment horizontal="left" vertical="center" wrapText="1"/>
    </xf>
    <xf numFmtId="0" fontId="50" fillId="9" borderId="17" xfId="25" applyFont="1" applyFill="1" applyBorder="1" applyAlignment="1">
      <alignment horizontal="left" vertical="center" wrapText="1"/>
    </xf>
    <xf numFmtId="0" fontId="50" fillId="9" borderId="15" xfId="25" applyFont="1" applyFill="1" applyBorder="1" applyAlignment="1">
      <alignment horizontal="left" vertical="center" wrapText="1"/>
    </xf>
    <xf numFmtId="0" fontId="50" fillId="9" borderId="15" xfId="25" applyFont="1" applyFill="1" applyBorder="1" applyAlignment="1">
      <alignment horizontal="center" vertical="center" wrapText="1"/>
    </xf>
    <xf numFmtId="0" fontId="50" fillId="9" borderId="15" xfId="25" applyFont="1" applyFill="1" applyBorder="1" applyAlignment="1">
      <alignment horizontal="center" vertical="top" wrapText="1"/>
    </xf>
    <xf numFmtId="0" fontId="50" fillId="9" borderId="15" xfId="25" applyFont="1" applyFill="1" applyBorder="1" applyAlignment="1">
      <alignment horizontal="left" vertical="center" wrapText="1" indent="1"/>
    </xf>
    <xf numFmtId="0" fontId="41" fillId="0" borderId="0" xfId="25" applyAlignment="1">
      <alignment horizontal="left" vertical="top" wrapText="1" indent="1"/>
    </xf>
    <xf numFmtId="0" fontId="41" fillId="0" borderId="0" xfId="25" applyAlignment="1">
      <alignment horizontal="left" vertical="top" indent="1"/>
    </xf>
    <xf numFmtId="0" fontId="47" fillId="0" borderId="0" xfId="25" applyFont="1" applyAlignment="1">
      <alignment horizontal="left" vertical="top" wrapText="1" indent="1"/>
    </xf>
    <xf numFmtId="0" fontId="47" fillId="0" borderId="0" xfId="25" applyFont="1" applyAlignment="1">
      <alignment horizontal="left" vertical="top" indent="1"/>
    </xf>
    <xf numFmtId="166" fontId="41" fillId="0" borderId="0" xfId="25" applyNumberFormat="1" applyAlignment="1">
      <alignment horizontal="right" vertical="top"/>
    </xf>
    <xf numFmtId="0" fontId="51" fillId="0" borderId="0" xfId="25" applyFont="1" applyAlignment="1">
      <alignment horizontal="left" vertical="top" wrapText="1" indent="1"/>
    </xf>
    <xf numFmtId="170" fontId="47" fillId="0" borderId="15" xfId="7" applyNumberFormat="1" applyFont="1" applyBorder="1" applyAlignment="1">
      <alignment horizontal="right" vertical="top" wrapText="1"/>
    </xf>
    <xf numFmtId="170" fontId="47" fillId="0" borderId="17" xfId="7" applyNumberFormat="1" applyFont="1" applyBorder="1" applyAlignment="1">
      <alignment horizontal="right" vertical="top" wrapText="1"/>
    </xf>
    <xf numFmtId="171" fontId="32" fillId="6" borderId="13" xfId="20" applyNumberFormat="1" applyAlignment="1">
      <alignment horizontal="right" vertical="top"/>
    </xf>
    <xf numFmtId="170" fontId="41" fillId="0" borderId="17" xfId="7" applyNumberFormat="1" applyFont="1" applyBorder="1" applyAlignment="1">
      <alignment horizontal="left" vertical="top" wrapText="1"/>
    </xf>
    <xf numFmtId="170" fontId="47" fillId="0" borderId="15" xfId="7" applyNumberFormat="1" applyFont="1" applyBorder="1" applyAlignment="1">
      <alignment horizontal="right" vertical="center" wrapText="1"/>
    </xf>
    <xf numFmtId="170" fontId="47" fillId="0" borderId="17" xfId="7" applyNumberFormat="1" applyFont="1" applyBorder="1" applyAlignment="1">
      <alignment horizontal="right" vertical="center" wrapText="1"/>
    </xf>
    <xf numFmtId="170" fontId="52" fillId="0" borderId="15" xfId="7" applyNumberFormat="1" applyFont="1" applyBorder="1" applyAlignment="1">
      <alignment horizontal="right" vertical="top" wrapText="1"/>
    </xf>
    <xf numFmtId="170" fontId="52" fillId="0" borderId="17" xfId="7" applyNumberFormat="1" applyFont="1" applyBorder="1" applyAlignment="1">
      <alignment horizontal="right" vertical="top" wrapText="1"/>
    </xf>
    <xf numFmtId="0" fontId="30" fillId="0" borderId="21" xfId="25" applyFont="1" applyBorder="1" applyAlignment="1">
      <alignment horizontal="left" vertical="top" wrapText="1" indent="14"/>
    </xf>
    <xf numFmtId="0" fontId="31" fillId="0" borderId="0" xfId="19" applyAlignment="1">
      <alignment horizontal="left" vertical="top"/>
    </xf>
    <xf numFmtId="170" fontId="11" fillId="0" borderId="0" xfId="2" applyNumberFormat="1"/>
    <xf numFmtId="170" fontId="0" fillId="0" borderId="0" xfId="7" applyNumberFormat="1" applyFont="1"/>
    <xf numFmtId="15" fontId="11" fillId="0" borderId="0" xfId="2" applyNumberFormat="1"/>
    <xf numFmtId="0" fontId="2" fillId="0" borderId="0" xfId="26"/>
    <xf numFmtId="4" fontId="2" fillId="0" borderId="0" xfId="26" applyNumberFormat="1"/>
    <xf numFmtId="4" fontId="53" fillId="0" borderId="26" xfId="26" quotePrefix="1" applyNumberFormat="1" applyFont="1" applyBorder="1" applyAlignment="1">
      <alignment horizontal="right" wrapText="1"/>
    </xf>
    <xf numFmtId="4" fontId="53" fillId="0" borderId="27" xfId="26" quotePrefix="1" applyNumberFormat="1" applyFont="1" applyBorder="1" applyAlignment="1">
      <alignment horizontal="right" wrapText="1"/>
    </xf>
    <xf numFmtId="0" fontId="53" fillId="0" borderId="27" xfId="26" quotePrefix="1" applyFont="1" applyBorder="1" applyAlignment="1">
      <alignment horizontal="right" wrapText="1"/>
    </xf>
    <xf numFmtId="0" fontId="2" fillId="3" borderId="28" xfId="26" applyFill="1" applyBorder="1"/>
    <xf numFmtId="0" fontId="53" fillId="0" borderId="26" xfId="26" quotePrefix="1" applyFont="1" applyBorder="1" applyAlignment="1">
      <alignment horizontal="left" wrapText="1"/>
    </xf>
    <xf numFmtId="0" fontId="53" fillId="0" borderId="27" xfId="26" quotePrefix="1" applyFont="1" applyBorder="1" applyAlignment="1">
      <alignment horizontal="left" wrapText="1"/>
    </xf>
    <xf numFmtId="4" fontId="53" fillId="0" borderId="29" xfId="26" quotePrefix="1" applyNumberFormat="1" applyFont="1" applyBorder="1" applyAlignment="1">
      <alignment horizontal="right" wrapText="1"/>
    </xf>
    <xf numFmtId="4" fontId="53" fillId="0" borderId="30" xfId="26" quotePrefix="1" applyNumberFormat="1" applyFont="1" applyBorder="1" applyAlignment="1">
      <alignment horizontal="right" wrapText="1"/>
    </xf>
    <xf numFmtId="0" fontId="53" fillId="0" borderId="30" xfId="26" quotePrefix="1" applyFont="1" applyBorder="1" applyAlignment="1">
      <alignment horizontal="right" wrapText="1"/>
    </xf>
    <xf numFmtId="0" fontId="2" fillId="3" borderId="9" xfId="26" applyFill="1" applyBorder="1"/>
    <xf numFmtId="0" fontId="53" fillId="0" borderId="29" xfId="26" quotePrefix="1" applyFont="1" applyBorder="1" applyAlignment="1">
      <alignment horizontal="left" wrapText="1"/>
    </xf>
    <xf numFmtId="0" fontId="53" fillId="0" borderId="30" xfId="26" quotePrefix="1" applyFont="1" applyBorder="1" applyAlignment="1">
      <alignment horizontal="left" wrapText="1"/>
    </xf>
    <xf numFmtId="175" fontId="53" fillId="0" borderId="30" xfId="26" quotePrefix="1" applyNumberFormat="1" applyFont="1" applyBorder="1" applyAlignment="1">
      <alignment horizontal="left" wrapText="1"/>
    </xf>
    <xf numFmtId="0" fontId="53" fillId="0" borderId="31" xfId="26" quotePrefix="1" applyFont="1" applyBorder="1" applyAlignment="1">
      <alignment horizontal="left" wrapText="1"/>
    </xf>
    <xf numFmtId="4" fontId="53" fillId="0" borderId="32" xfId="26" quotePrefix="1" applyNumberFormat="1" applyFont="1" applyBorder="1" applyAlignment="1">
      <alignment horizontal="right" wrapText="1"/>
    </xf>
    <xf numFmtId="0" fontId="53" fillId="0" borderId="33" xfId="26" quotePrefix="1" applyFont="1" applyBorder="1" applyAlignment="1">
      <alignment horizontal="right" wrapText="1"/>
    </xf>
    <xf numFmtId="0" fontId="2" fillId="3" borderId="34" xfId="26" applyFill="1" applyBorder="1"/>
    <xf numFmtId="0" fontId="53" fillId="0" borderId="32" xfId="26" quotePrefix="1" applyFont="1" applyBorder="1" applyAlignment="1">
      <alignment horizontal="left" wrapText="1"/>
    </xf>
    <xf numFmtId="0" fontId="53" fillId="0" borderId="33" xfId="26" quotePrefix="1" applyFont="1" applyBorder="1" applyAlignment="1">
      <alignment horizontal="left" wrapText="1"/>
    </xf>
    <xf numFmtId="166" fontId="54" fillId="10" borderId="14" xfId="26" applyNumberFormat="1" applyFont="1" applyFill="1" applyBorder="1" applyAlignment="1">
      <alignment wrapText="1"/>
    </xf>
    <xf numFmtId="0" fontId="55" fillId="10" borderId="14" xfId="26" applyFont="1" applyFill="1" applyBorder="1" applyAlignment="1">
      <alignment wrapText="1"/>
    </xf>
    <xf numFmtId="0" fontId="20" fillId="3" borderId="35" xfId="26" applyFont="1" applyFill="1" applyBorder="1"/>
    <xf numFmtId="0" fontId="55" fillId="10" borderId="14" xfId="26" applyFont="1" applyFill="1" applyBorder="1"/>
    <xf numFmtId="0" fontId="56" fillId="0" borderId="0" xfId="27"/>
    <xf numFmtId="3" fontId="57" fillId="0" borderId="0" xfId="27" applyNumberFormat="1" applyFont="1"/>
    <xf numFmtId="9" fontId="56" fillId="0" borderId="0" xfId="8" applyFont="1"/>
    <xf numFmtId="9" fontId="57" fillId="0" borderId="0" xfId="27" applyNumberFormat="1" applyFont="1"/>
    <xf numFmtId="0" fontId="57" fillId="0" borderId="0" xfId="27" applyFont="1"/>
    <xf numFmtId="10" fontId="57" fillId="0" borderId="0" xfId="27" applyNumberFormat="1" applyFont="1"/>
    <xf numFmtId="171" fontId="57" fillId="0" borderId="0" xfId="27" applyNumberFormat="1" applyFont="1"/>
    <xf numFmtId="4" fontId="58" fillId="0" borderId="20" xfId="27" applyNumberFormat="1" applyFont="1" applyBorder="1" applyAlignment="1">
      <alignment horizontal="right"/>
    </xf>
    <xf numFmtId="0" fontId="58" fillId="0" borderId="20" xfId="27" applyFont="1" applyBorder="1" applyAlignment="1">
      <alignment horizontal="right"/>
    </xf>
    <xf numFmtId="0" fontId="59" fillId="11" borderId="20" xfId="27" applyFont="1" applyFill="1" applyBorder="1"/>
    <xf numFmtId="0" fontId="58" fillId="11" borderId="20" xfId="27" applyFont="1" applyFill="1" applyBorder="1" applyAlignment="1">
      <alignment horizontal="left"/>
    </xf>
    <xf numFmtId="0" fontId="58" fillId="0" borderId="20" xfId="27" applyFont="1" applyBorder="1" applyAlignment="1">
      <alignment horizontal="left"/>
    </xf>
    <xf numFmtId="0" fontId="58" fillId="0" borderId="19" xfId="27" applyFont="1" applyBorder="1" applyAlignment="1">
      <alignment horizontal="left"/>
    </xf>
    <xf numFmtId="0" fontId="58" fillId="12" borderId="20" xfId="27" applyFont="1" applyFill="1" applyBorder="1" applyAlignment="1">
      <alignment horizontal="left"/>
    </xf>
    <xf numFmtId="0" fontId="58" fillId="12" borderId="19" xfId="27" applyFont="1" applyFill="1" applyBorder="1" applyAlignment="1">
      <alignment horizontal="left"/>
    </xf>
    <xf numFmtId="4" fontId="59" fillId="0" borderId="20" xfId="27" applyNumberFormat="1" applyFont="1" applyBorder="1" applyAlignment="1">
      <alignment horizontal="right"/>
    </xf>
    <xf numFmtId="0" fontId="59" fillId="0" borderId="20" xfId="27" applyFont="1" applyBorder="1" applyAlignment="1">
      <alignment horizontal="right"/>
    </xf>
    <xf numFmtId="4" fontId="29" fillId="5" borderId="20" xfId="18" applyNumberFormat="1" applyBorder="1" applyAlignment="1">
      <alignment horizontal="right"/>
    </xf>
    <xf numFmtId="0" fontId="59" fillId="0" borderId="20" xfId="27" applyFont="1" applyBorder="1"/>
    <xf numFmtId="0" fontId="59" fillId="0" borderId="19" xfId="27" applyFont="1" applyBorder="1"/>
    <xf numFmtId="0" fontId="60" fillId="13" borderId="18" xfId="27" applyFont="1" applyFill="1" applyBorder="1"/>
    <xf numFmtId="0" fontId="61" fillId="11" borderId="18" xfId="27" applyFont="1" applyFill="1" applyBorder="1"/>
    <xf numFmtId="0" fontId="60" fillId="11" borderId="18" xfId="27" applyFont="1" applyFill="1" applyBorder="1"/>
    <xf numFmtId="0" fontId="60" fillId="13" borderId="15" xfId="27" applyFont="1" applyFill="1" applyBorder="1"/>
    <xf numFmtId="9" fontId="0" fillId="0" borderId="0" xfId="8" applyFont="1"/>
    <xf numFmtId="3" fontId="11" fillId="0" borderId="0" xfId="2" applyNumberFormat="1"/>
    <xf numFmtId="3" fontId="34" fillId="8" borderId="0" xfId="22" applyNumberFormat="1"/>
    <xf numFmtId="0" fontId="62" fillId="0" borderId="36" xfId="2" applyFont="1" applyBorder="1" applyAlignment="1">
      <alignment horizontal="left" vertical="center" wrapText="1"/>
    </xf>
    <xf numFmtId="3" fontId="29" fillId="5" borderId="0" xfId="18" applyNumberFormat="1"/>
    <xf numFmtId="0" fontId="60" fillId="13" borderId="20" xfId="27" applyFont="1" applyFill="1" applyBorder="1"/>
    <xf numFmtId="0" fontId="62" fillId="0" borderId="0" xfId="2" applyFont="1" applyAlignment="1">
      <alignment horizontal="left" vertical="center" wrapText="1"/>
    </xf>
    <xf numFmtId="4" fontId="62" fillId="0" borderId="37" xfId="2" applyNumberFormat="1" applyFont="1" applyBorder="1" applyAlignment="1">
      <alignment horizontal="right" vertical="center" wrapText="1"/>
    </xf>
    <xf numFmtId="0" fontId="62" fillId="0" borderId="37" xfId="2" applyFont="1" applyBorder="1" applyAlignment="1">
      <alignment horizontal="center" vertical="center" wrapText="1"/>
    </xf>
    <xf numFmtId="4" fontId="62" fillId="0" borderId="37" xfId="2" applyNumberFormat="1" applyFont="1" applyBorder="1" applyAlignment="1">
      <alignment horizontal="left" vertical="center" wrapText="1"/>
    </xf>
    <xf numFmtId="4" fontId="62" fillId="0" borderId="37" xfId="2" applyNumberFormat="1" applyFont="1" applyBorder="1" applyAlignment="1">
      <alignment horizontal="center" vertical="center" wrapText="1"/>
    </xf>
    <xf numFmtId="0" fontId="62" fillId="0" borderId="37" xfId="2" applyFont="1" applyBorder="1" applyAlignment="1">
      <alignment horizontal="left" vertical="center" wrapText="1"/>
    </xf>
    <xf numFmtId="2" fontId="62" fillId="0" borderId="37" xfId="2" applyNumberFormat="1" applyFont="1" applyBorder="1" applyAlignment="1">
      <alignment horizontal="left" vertical="center" wrapText="1"/>
    </xf>
    <xf numFmtId="0" fontId="63" fillId="14" borderId="38" xfId="2" applyFont="1" applyFill="1" applyBorder="1" applyAlignment="1">
      <alignment horizontal="left" vertical="center" wrapText="1"/>
    </xf>
    <xf numFmtId="0" fontId="63" fillId="14" borderId="39" xfId="2" applyFont="1" applyFill="1" applyBorder="1" applyAlignment="1">
      <alignment horizontal="left" vertical="center" wrapText="1"/>
    </xf>
    <xf numFmtId="0" fontId="63" fillId="14" borderId="40" xfId="2" applyFont="1" applyFill="1" applyBorder="1" applyAlignment="1">
      <alignment horizontal="left" vertical="center" wrapText="1"/>
    </xf>
    <xf numFmtId="0" fontId="5" fillId="0" borderId="0" xfId="2" applyFont="1"/>
    <xf numFmtId="0" fontId="2" fillId="0" borderId="0" xfId="28"/>
    <xf numFmtId="2" fontId="2" fillId="0" borderId="0" xfId="28" applyNumberFormat="1"/>
    <xf numFmtId="170" fontId="2" fillId="0" borderId="0" xfId="7" applyNumberFormat="1" applyFont="1"/>
    <xf numFmtId="9" fontId="2" fillId="0" borderId="0" xfId="28" applyNumberFormat="1"/>
    <xf numFmtId="3" fontId="2" fillId="0" borderId="0" xfId="28" applyNumberFormat="1"/>
    <xf numFmtId="2" fontId="64" fillId="0" borderId="0" xfId="28" applyNumberFormat="1" applyFont="1" applyAlignment="1">
      <alignment wrapText="1"/>
    </xf>
    <xf numFmtId="2" fontId="65" fillId="0" borderId="9" xfId="28" applyNumberFormat="1" applyFont="1" applyBorder="1" applyAlignment="1">
      <alignment horizontal="center"/>
    </xf>
    <xf numFmtId="0" fontId="2" fillId="0" borderId="9" xfId="28" applyBorder="1" applyAlignment="1">
      <alignment horizontal="center"/>
    </xf>
    <xf numFmtId="165" fontId="65" fillId="0" borderId="9" xfId="28" applyNumberFormat="1" applyFont="1" applyBorder="1" applyAlignment="1">
      <alignment horizontal="center"/>
    </xf>
    <xf numFmtId="0" fontId="65" fillId="0" borderId="9" xfId="28" applyFont="1" applyBorder="1" applyAlignment="1">
      <alignment horizontal="center"/>
    </xf>
    <xf numFmtId="0" fontId="2" fillId="0" borderId="9" xfId="28" applyBorder="1"/>
    <xf numFmtId="2" fontId="54" fillId="0" borderId="9" xfId="28" applyNumberFormat="1" applyFont="1" applyBorder="1" applyAlignment="1">
      <alignment wrapText="1"/>
    </xf>
    <xf numFmtId="1" fontId="65" fillId="0" borderId="9" xfId="28" applyNumberFormat="1" applyFont="1" applyBorder="1" applyAlignment="1">
      <alignment horizontal="center"/>
    </xf>
    <xf numFmtId="2" fontId="65" fillId="0" borderId="9" xfId="28" applyNumberFormat="1" applyFont="1" applyBorder="1"/>
    <xf numFmtId="2" fontId="65" fillId="0" borderId="0" xfId="28" applyNumberFormat="1" applyFont="1"/>
    <xf numFmtId="2" fontId="64" fillId="0" borderId="9" xfId="28" applyNumberFormat="1" applyFont="1" applyBorder="1" applyAlignment="1">
      <alignment wrapText="1"/>
    </xf>
    <xf numFmtId="2" fontId="65" fillId="0" borderId="11" xfId="28" applyNumberFormat="1" applyFont="1" applyBorder="1"/>
    <xf numFmtId="165" fontId="65" fillId="0" borderId="9" xfId="28" applyNumberFormat="1" applyFont="1" applyBorder="1"/>
    <xf numFmtId="165" fontId="65" fillId="0" borderId="11" xfId="28" applyNumberFormat="1" applyFont="1" applyBorder="1"/>
    <xf numFmtId="165" fontId="65" fillId="0" borderId="0" xfId="28" applyNumberFormat="1" applyFont="1"/>
    <xf numFmtId="1" fontId="65" fillId="0" borderId="9" xfId="28" applyNumberFormat="1" applyFont="1" applyBorder="1"/>
    <xf numFmtId="2" fontId="58" fillId="0" borderId="9" xfId="28" applyNumberFormat="1" applyFont="1" applyBorder="1" applyAlignment="1">
      <alignment wrapText="1"/>
    </xf>
    <xf numFmtId="2" fontId="2" fillId="15" borderId="9" xfId="28" applyNumberFormat="1" applyFill="1" applyBorder="1" applyAlignment="1">
      <alignment wrapText="1"/>
    </xf>
    <xf numFmtId="2" fontId="2" fillId="0" borderId="0" xfId="28" applyNumberFormat="1" applyAlignment="1">
      <alignment wrapText="1"/>
    </xf>
    <xf numFmtId="2" fontId="2" fillId="0" borderId="9" xfId="28" applyNumberFormat="1" applyBorder="1" applyAlignment="1">
      <alignment wrapText="1"/>
    </xf>
    <xf numFmtId="2" fontId="2" fillId="0" borderId="8" xfId="28" applyNumberFormat="1" applyBorder="1"/>
    <xf numFmtId="166" fontId="2" fillId="0" borderId="0" xfId="26" applyNumberFormat="1"/>
    <xf numFmtId="166" fontId="33" fillId="7" borderId="0" xfId="21" applyNumberFormat="1"/>
    <xf numFmtId="2" fontId="2" fillId="0" borderId="0" xfId="26" applyNumberFormat="1"/>
    <xf numFmtId="9" fontId="0" fillId="0" borderId="0" xfId="29" applyFont="1"/>
    <xf numFmtId="0" fontId="2" fillId="0" borderId="0" xfId="26" applyAlignment="1">
      <alignment wrapText="1"/>
    </xf>
    <xf numFmtId="0" fontId="20" fillId="0" borderId="0" xfId="26" applyFont="1"/>
    <xf numFmtId="0" fontId="66" fillId="0" borderId="0" xfId="30" applyFont="1"/>
    <xf numFmtId="0" fontId="2" fillId="0" borderId="0" xfId="30"/>
    <xf numFmtId="0" fontId="33" fillId="7" borderId="0" xfId="21"/>
    <xf numFmtId="0" fontId="2" fillId="0" borderId="0" xfId="26" quotePrefix="1"/>
    <xf numFmtId="165" fontId="2" fillId="0" borderId="0" xfId="26" applyNumberFormat="1"/>
    <xf numFmtId="171" fontId="0" fillId="0" borderId="0" xfId="29" applyNumberFormat="1" applyFont="1"/>
    <xf numFmtId="169" fontId="66" fillId="0" borderId="0" xfId="31" applyNumberFormat="1"/>
    <xf numFmtId="1" fontId="2" fillId="0" borderId="0" xfId="26" applyNumberFormat="1"/>
    <xf numFmtId="169" fontId="33" fillId="7" borderId="0" xfId="21" applyNumberFormat="1"/>
    <xf numFmtId="1" fontId="33" fillId="7" borderId="0" xfId="21" applyNumberFormat="1"/>
    <xf numFmtId="0" fontId="67" fillId="0" borderId="0" xfId="32"/>
    <xf numFmtId="9" fontId="2" fillId="0" borderId="0" xfId="26" applyNumberFormat="1"/>
    <xf numFmtId="170" fontId="2" fillId="0" borderId="0" xfId="26" applyNumberFormat="1"/>
    <xf numFmtId="170" fontId="33" fillId="7" borderId="0" xfId="21" applyNumberFormat="1"/>
    <xf numFmtId="165" fontId="33" fillId="7" borderId="0" xfId="21" applyNumberFormat="1"/>
    <xf numFmtId="169" fontId="2" fillId="0" borderId="0" xfId="26" applyNumberFormat="1"/>
    <xf numFmtId="170" fontId="0" fillId="0" borderId="0" xfId="33" applyNumberFormat="1" applyFont="1"/>
    <xf numFmtId="165" fontId="20" fillId="0" borderId="0" xfId="26" applyNumberFormat="1" applyFont="1"/>
    <xf numFmtId="2" fontId="20" fillId="0" borderId="0" xfId="26" applyNumberFormat="1" applyFont="1"/>
    <xf numFmtId="1" fontId="20" fillId="0" borderId="0" xfId="26" applyNumberFormat="1" applyFont="1"/>
    <xf numFmtId="166" fontId="20" fillId="0" borderId="0" xfId="26" applyNumberFormat="1" applyFont="1"/>
    <xf numFmtId="176" fontId="2" fillId="0" borderId="0" xfId="26" applyNumberFormat="1"/>
    <xf numFmtId="167" fontId="2" fillId="0" borderId="0" xfId="26" applyNumberFormat="1"/>
    <xf numFmtId="166" fontId="29" fillId="5" borderId="0" xfId="18" applyNumberFormat="1"/>
    <xf numFmtId="0" fontId="2" fillId="0" borderId="0" xfId="30" quotePrefix="1"/>
    <xf numFmtId="169" fontId="2" fillId="0" borderId="0" xfId="30" applyNumberFormat="1"/>
    <xf numFmtId="170" fontId="0" fillId="0" borderId="0" xfId="34" applyNumberFormat="1" applyFont="1"/>
    <xf numFmtId="3" fontId="2" fillId="0" borderId="0" xfId="30" applyNumberFormat="1"/>
    <xf numFmtId="0" fontId="28" fillId="0" borderId="0" xfId="30" applyFont="1"/>
    <xf numFmtId="0" fontId="68" fillId="0" borderId="0" xfId="30" applyFont="1"/>
    <xf numFmtId="166" fontId="2" fillId="0" borderId="0" xfId="30" applyNumberFormat="1"/>
    <xf numFmtId="4" fontId="28" fillId="0" borderId="0" xfId="30" applyNumberFormat="1" applyFont="1"/>
    <xf numFmtId="4" fontId="2" fillId="0" borderId="0" xfId="30" applyNumberFormat="1"/>
    <xf numFmtId="4" fontId="69" fillId="0" borderId="0" xfId="30" applyNumberFormat="1" applyFont="1"/>
    <xf numFmtId="0" fontId="20" fillId="0" borderId="0" xfId="30" applyFont="1"/>
    <xf numFmtId="0" fontId="70" fillId="0" borderId="0" xfId="30" applyFont="1"/>
    <xf numFmtId="9" fontId="70" fillId="0" borderId="0" xfId="29" applyFont="1"/>
    <xf numFmtId="2" fontId="2" fillId="0" borderId="0" xfId="30" applyNumberFormat="1"/>
    <xf numFmtId="2" fontId="20" fillId="0" borderId="0" xfId="30" applyNumberFormat="1" applyFont="1"/>
    <xf numFmtId="9" fontId="28" fillId="0" borderId="0" xfId="29" applyFont="1"/>
    <xf numFmtId="2" fontId="2" fillId="16" borderId="0" xfId="30" applyNumberFormat="1" applyFill="1"/>
    <xf numFmtId="165" fontId="2" fillId="0" borderId="0" xfId="30" applyNumberFormat="1"/>
    <xf numFmtId="167" fontId="2" fillId="0" borderId="0" xfId="30" applyNumberFormat="1"/>
    <xf numFmtId="0" fontId="2" fillId="0" borderId="0" xfId="30" applyAlignment="1">
      <alignment wrapText="1"/>
    </xf>
    <xf numFmtId="0" fontId="20" fillId="0" borderId="0" xfId="30" applyFont="1" applyAlignment="1">
      <alignment wrapText="1"/>
    </xf>
    <xf numFmtId="4" fontId="2" fillId="0" borderId="0" xfId="30" applyNumberFormat="1" applyAlignment="1">
      <alignment wrapText="1"/>
    </xf>
    <xf numFmtId="177" fontId="20" fillId="0" borderId="0" xfId="30" applyNumberFormat="1" applyFont="1" applyAlignment="1">
      <alignment wrapText="1"/>
    </xf>
    <xf numFmtId="10" fontId="2" fillId="0" borderId="0" xfId="30" applyNumberFormat="1"/>
    <xf numFmtId="0" fontId="11" fillId="17" borderId="41" xfId="3" applyFill="1" applyBorder="1"/>
    <xf numFmtId="4" fontId="71" fillId="0" borderId="42" xfId="35" applyNumberFormat="1" applyFont="1" applyBorder="1" applyAlignment="1">
      <alignment horizontal="right" vertical="center" wrapText="1"/>
    </xf>
    <xf numFmtId="49" fontId="71" fillId="0" borderId="42" xfId="35" applyNumberFormat="1" applyFont="1" applyBorder="1" applyAlignment="1">
      <alignment horizontal="left" vertical="center" wrapText="1"/>
    </xf>
    <xf numFmtId="0" fontId="72" fillId="18" borderId="42" xfId="35" applyFont="1" applyFill="1" applyBorder="1" applyAlignment="1">
      <alignment horizontal="center" vertical="center" wrapText="1"/>
    </xf>
    <xf numFmtId="0" fontId="71" fillId="0" borderId="0" xfId="3" applyFont="1" applyAlignment="1">
      <alignment horizontal="left" vertical="center"/>
    </xf>
    <xf numFmtId="4" fontId="71" fillId="0" borderId="0" xfId="3" applyNumberFormat="1" applyFont="1" applyAlignment="1">
      <alignment horizontal="left" vertical="center"/>
    </xf>
    <xf numFmtId="0" fontId="71" fillId="0" borderId="0" xfId="3" applyFont="1" applyAlignment="1">
      <alignment horizontal="left" vertical="center" wrapText="1"/>
    </xf>
    <xf numFmtId="178" fontId="71" fillId="0" borderId="0" xfId="3" applyNumberFormat="1" applyFont="1" applyAlignment="1">
      <alignment horizontal="left" vertical="center"/>
    </xf>
    <xf numFmtId="166" fontId="26" fillId="4" borderId="13" xfId="36" applyNumberFormat="1"/>
    <xf numFmtId="0" fontId="26" fillId="4" borderId="13" xfId="36"/>
    <xf numFmtId="0" fontId="32" fillId="3" borderId="13" xfId="37" applyFill="1"/>
    <xf numFmtId="0" fontId="32" fillId="19" borderId="13" xfId="37" applyFill="1"/>
    <xf numFmtId="0" fontId="25" fillId="0" borderId="0" xfId="38" applyAlignment="1" applyProtection="1"/>
    <xf numFmtId="4" fontId="29" fillId="5" borderId="11" xfId="18" applyNumberFormat="1" applyBorder="1" applyAlignment="1">
      <alignment horizontal="left" vertical="center"/>
    </xf>
    <xf numFmtId="4" fontId="71" fillId="20" borderId="11" xfId="3" applyNumberFormat="1" applyFont="1" applyFill="1" applyBorder="1" applyAlignment="1">
      <alignment horizontal="left" vertical="center"/>
    </xf>
    <xf numFmtId="4" fontId="71" fillId="20" borderId="10" xfId="3" applyNumberFormat="1" applyFont="1" applyFill="1" applyBorder="1" applyAlignment="1">
      <alignment horizontal="left" vertical="center"/>
    </xf>
    <xf numFmtId="0" fontId="71" fillId="20" borderId="12" xfId="3" applyFont="1" applyFill="1" applyBorder="1" applyAlignment="1">
      <alignment horizontal="left" vertical="center" wrapText="1"/>
    </xf>
    <xf numFmtId="4" fontId="29" fillId="5" borderId="0" xfId="18" applyNumberFormat="1" applyAlignment="1">
      <alignment horizontal="left" vertical="center"/>
    </xf>
    <xf numFmtId="0" fontId="71" fillId="0" borderId="13" xfId="37" applyFont="1" applyFill="1" applyAlignment="1">
      <alignment horizontal="center" vertical="center"/>
    </xf>
    <xf numFmtId="4" fontId="29" fillId="5" borderId="42" xfId="18" applyNumberFormat="1" applyBorder="1" applyAlignment="1">
      <alignment horizontal="right" vertical="center" wrapText="1"/>
    </xf>
    <xf numFmtId="0" fontId="29" fillId="5" borderId="42" xfId="18" applyBorder="1" applyAlignment="1">
      <alignment horizontal="center" vertical="center" wrapText="1"/>
    </xf>
    <xf numFmtId="0" fontId="22" fillId="0" borderId="0" xfId="2" applyFont="1"/>
    <xf numFmtId="4" fontId="29" fillId="5" borderId="30" xfId="18" quotePrefix="1" applyNumberFormat="1" applyBorder="1" applyAlignment="1">
      <alignment horizontal="right" wrapText="1"/>
    </xf>
    <xf numFmtId="0" fontId="1" fillId="0" borderId="0" xfId="26" applyFont="1"/>
    <xf numFmtId="3" fontId="2" fillId="0" borderId="0" xfId="26" applyNumberFormat="1"/>
    <xf numFmtId="2" fontId="56" fillId="0" borderId="0" xfId="27" applyNumberFormat="1"/>
    <xf numFmtId="165" fontId="56" fillId="0" borderId="0" xfId="27" applyNumberFormat="1"/>
    <xf numFmtId="43" fontId="11" fillId="0" borderId="0" xfId="2" applyNumberFormat="1"/>
    <xf numFmtId="0" fontId="11" fillId="0" borderId="0" xfId="0" applyFont="1"/>
    <xf numFmtId="0" fontId="73" fillId="0" borderId="43" xfId="39"/>
    <xf numFmtId="0" fontId="32" fillId="6" borderId="13" xfId="20" applyAlignment="1">
      <alignment horizontal="center"/>
    </xf>
    <xf numFmtId="167" fontId="11" fillId="0" borderId="0" xfId="2" applyNumberFormat="1"/>
    <xf numFmtId="0" fontId="41" fillId="9" borderId="17" xfId="25" applyFill="1" applyBorder="1" applyAlignment="1">
      <alignment horizontal="left" vertical="top" wrapText="1"/>
    </xf>
    <xf numFmtId="0" fontId="41" fillId="9" borderId="16" xfId="25" applyFill="1" applyBorder="1" applyAlignment="1">
      <alignment horizontal="left" vertical="top" wrapText="1"/>
    </xf>
    <xf numFmtId="0" fontId="43" fillId="9" borderId="21" xfId="25" applyFont="1" applyFill="1" applyBorder="1" applyAlignment="1">
      <alignment horizontal="left" vertical="top" wrapText="1"/>
    </xf>
    <xf numFmtId="0" fontId="43" fillId="9" borderId="20" xfId="25" applyFont="1" applyFill="1" applyBorder="1" applyAlignment="1">
      <alignment horizontal="left" vertical="top" wrapText="1"/>
    </xf>
    <xf numFmtId="0" fontId="7" fillId="9" borderId="25" xfId="25" applyFont="1" applyFill="1" applyBorder="1" applyAlignment="1">
      <alignment horizontal="left" wrapText="1"/>
    </xf>
    <xf numFmtId="0" fontId="7" fillId="9" borderId="0" xfId="25" applyFont="1" applyFill="1" applyAlignment="1">
      <alignment horizontal="left" wrapText="1"/>
    </xf>
    <xf numFmtId="0" fontId="7" fillId="9" borderId="22" xfId="25" applyFont="1" applyFill="1" applyBorder="1" applyAlignment="1">
      <alignment horizontal="left" wrapText="1"/>
    </xf>
    <xf numFmtId="0" fontId="7" fillId="9" borderId="21" xfId="25" applyFont="1" applyFill="1" applyBorder="1" applyAlignment="1">
      <alignment horizontal="left" wrapText="1"/>
    </xf>
    <xf numFmtId="0" fontId="7" fillId="9" borderId="24" xfId="25" applyFont="1" applyFill="1" applyBorder="1" applyAlignment="1">
      <alignment horizontal="left" vertical="center" wrapText="1" indent="1"/>
    </xf>
    <xf numFmtId="0" fontId="7" fillId="9" borderId="20" xfId="25" applyFont="1" applyFill="1" applyBorder="1" applyAlignment="1">
      <alignment horizontal="left" vertical="center" wrapText="1" indent="1"/>
    </xf>
    <xf numFmtId="0" fontId="41" fillId="9" borderId="23" xfId="25" applyFill="1" applyBorder="1" applyAlignment="1">
      <alignment horizontal="center" vertical="top" wrapText="1"/>
    </xf>
    <xf numFmtId="0" fontId="41" fillId="9" borderId="19" xfId="25" applyFill="1" applyBorder="1" applyAlignment="1">
      <alignment horizontal="center" vertical="top" wrapText="1"/>
    </xf>
    <xf numFmtId="0" fontId="41" fillId="9" borderId="23" xfId="25" applyFill="1" applyBorder="1" applyAlignment="1">
      <alignment horizontal="left" vertical="top" wrapText="1"/>
    </xf>
    <xf numFmtId="0" fontId="41" fillId="9" borderId="19" xfId="25" applyFill="1" applyBorder="1" applyAlignment="1">
      <alignment horizontal="left" vertical="top" wrapText="1"/>
    </xf>
    <xf numFmtId="0" fontId="41" fillId="9" borderId="23" xfId="25" applyFill="1" applyBorder="1" applyAlignment="1">
      <alignment horizontal="left" vertical="top" wrapText="1" indent="1"/>
    </xf>
    <xf numFmtId="0" fontId="41" fillId="9" borderId="19" xfId="25" applyFill="1" applyBorder="1" applyAlignment="1">
      <alignment horizontal="left" vertical="top" wrapText="1" indent="1"/>
    </xf>
    <xf numFmtId="0" fontId="2" fillId="0" borderId="0" xfId="26" applyAlignment="1">
      <alignment horizontal="center"/>
    </xf>
    <xf numFmtId="2" fontId="22" fillId="0" borderId="0" xfId="2" applyNumberFormat="1" applyFont="1"/>
    <xf numFmtId="0" fontId="74" fillId="6" borderId="13" xfId="20" applyFont="1" applyAlignment="1">
      <alignment horizontal="center"/>
    </xf>
  </cellXfs>
  <cellStyles count="40">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1" Type="http://schemas.openxmlformats.org/officeDocument/2006/relationships/image" Target="../media/image73.png"/></Relationships>
</file>

<file path=xl/drawings/_rels/drawing14.xml.rels><?xml version="1.0" encoding="UTF-8" standalone="yes"?>
<Relationships xmlns="http://schemas.openxmlformats.org/package/2006/relationships"><Relationship Id="rId8" Type="http://schemas.openxmlformats.org/officeDocument/2006/relationships/image" Target="../media/image81.png"/><Relationship Id="rId3" Type="http://schemas.openxmlformats.org/officeDocument/2006/relationships/image" Target="../media/image76.emf"/><Relationship Id="rId7" Type="http://schemas.openxmlformats.org/officeDocument/2006/relationships/image" Target="../media/image80.png"/><Relationship Id="rId2" Type="http://schemas.openxmlformats.org/officeDocument/2006/relationships/image" Target="../media/image75.emf"/><Relationship Id="rId1" Type="http://schemas.openxmlformats.org/officeDocument/2006/relationships/image" Target="../media/image74.emf"/><Relationship Id="rId6" Type="http://schemas.openxmlformats.org/officeDocument/2006/relationships/image" Target="../media/image79.png"/><Relationship Id="rId5" Type="http://schemas.openxmlformats.org/officeDocument/2006/relationships/image" Target="../media/image78.emf"/><Relationship Id="rId4" Type="http://schemas.openxmlformats.org/officeDocument/2006/relationships/image" Target="../media/image77.emf"/></Relationships>
</file>

<file path=xl/drawings/_rels/drawing15.xml.rels><?xml version="1.0" encoding="UTF-8" standalone="yes"?>
<Relationships xmlns="http://schemas.openxmlformats.org/package/2006/relationships"><Relationship Id="rId3" Type="http://schemas.openxmlformats.org/officeDocument/2006/relationships/image" Target="../media/image83.png"/><Relationship Id="rId2" Type="http://schemas.openxmlformats.org/officeDocument/2006/relationships/image" Target="../media/image79.png"/><Relationship Id="rId1" Type="http://schemas.openxmlformats.org/officeDocument/2006/relationships/image" Target="../media/image82.emf"/></Relationships>
</file>

<file path=xl/drawings/_rels/drawing16.xml.rels><?xml version="1.0" encoding="UTF-8" standalone="yes"?>
<Relationships xmlns="http://schemas.openxmlformats.org/package/2006/relationships"><Relationship Id="rId8" Type="http://schemas.openxmlformats.org/officeDocument/2006/relationships/image" Target="../media/image91.emf"/><Relationship Id="rId3" Type="http://schemas.openxmlformats.org/officeDocument/2006/relationships/image" Target="../media/image86.png"/><Relationship Id="rId7" Type="http://schemas.openxmlformats.org/officeDocument/2006/relationships/image" Target="../media/image90.png"/><Relationship Id="rId2" Type="http://schemas.openxmlformats.org/officeDocument/2006/relationships/image" Target="../media/image85.emf"/><Relationship Id="rId1" Type="http://schemas.openxmlformats.org/officeDocument/2006/relationships/image" Target="../media/image84.emf"/><Relationship Id="rId6" Type="http://schemas.openxmlformats.org/officeDocument/2006/relationships/image" Target="../media/image89.png"/><Relationship Id="rId11" Type="http://schemas.openxmlformats.org/officeDocument/2006/relationships/image" Target="../media/image92.png"/><Relationship Id="rId5" Type="http://schemas.openxmlformats.org/officeDocument/2006/relationships/image" Target="../media/image88.png"/><Relationship Id="rId10" Type="http://schemas.openxmlformats.org/officeDocument/2006/relationships/chart" Target="../charts/chart2.xml"/><Relationship Id="rId4" Type="http://schemas.openxmlformats.org/officeDocument/2006/relationships/image" Target="../media/image87.png"/><Relationship Id="rId9"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3" Type="http://schemas.openxmlformats.org/officeDocument/2006/relationships/image" Target="../media/image95.png"/><Relationship Id="rId2" Type="http://schemas.openxmlformats.org/officeDocument/2006/relationships/image" Target="../media/image94.png"/><Relationship Id="rId1" Type="http://schemas.openxmlformats.org/officeDocument/2006/relationships/image" Target="../media/image9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 Id="rId5" Type="http://schemas.openxmlformats.org/officeDocument/2006/relationships/image" Target="../media/image65.emf"/><Relationship Id="rId4" Type="http://schemas.openxmlformats.org/officeDocument/2006/relationships/image" Target="../media/image6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0.emf"/><Relationship Id="rId7" Type="http://schemas.openxmlformats.org/officeDocument/2006/relationships/image" Target="../media/image66.emf"/><Relationship Id="rId2" Type="http://schemas.openxmlformats.org/officeDocument/2006/relationships/image" Target="../media/image71.emf"/><Relationship Id="rId1" Type="http://schemas.openxmlformats.org/officeDocument/2006/relationships/image" Target="../media/image72.emf"/><Relationship Id="rId6" Type="http://schemas.openxmlformats.org/officeDocument/2006/relationships/image" Target="../media/image67.emf"/><Relationship Id="rId5" Type="http://schemas.openxmlformats.org/officeDocument/2006/relationships/image" Target="../media/image68.emf"/><Relationship Id="rId4" Type="http://schemas.openxmlformats.org/officeDocument/2006/relationships/image" Target="../media/image69.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2.emf"/><Relationship Id="rId1" Type="http://schemas.openxmlformats.org/officeDocument/2006/relationships/image" Target="../media/image101.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5.emf"/><Relationship Id="rId1" Type="http://schemas.openxmlformats.org/officeDocument/2006/relationships/image" Target="../media/image106.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10.emf"/><Relationship Id="rId2" Type="http://schemas.openxmlformats.org/officeDocument/2006/relationships/image" Target="../media/image109.emf"/><Relationship Id="rId1" Type="http://schemas.openxmlformats.org/officeDocument/2006/relationships/image" Target="../media/image108.emf"/><Relationship Id="rId5" Type="http://schemas.openxmlformats.org/officeDocument/2006/relationships/image" Target="../media/image107.emf"/><Relationship Id="rId4" Type="http://schemas.openxmlformats.org/officeDocument/2006/relationships/image" Target="../media/image111.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16.emf"/><Relationship Id="rId7" Type="http://schemas.openxmlformats.org/officeDocument/2006/relationships/image" Target="../media/image112.emf"/><Relationship Id="rId2" Type="http://schemas.openxmlformats.org/officeDocument/2006/relationships/image" Target="../media/image117.emf"/><Relationship Id="rId1" Type="http://schemas.openxmlformats.org/officeDocument/2006/relationships/image" Target="../media/image118.emf"/><Relationship Id="rId6" Type="http://schemas.openxmlformats.org/officeDocument/2006/relationships/image" Target="../media/image113.emf"/><Relationship Id="rId5" Type="http://schemas.openxmlformats.org/officeDocument/2006/relationships/image" Target="../media/image114.emf"/><Relationship Id="rId4" Type="http://schemas.openxmlformats.org/officeDocument/2006/relationships/image" Target="../media/image115.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119.emf"/><Relationship Id="rId3" Type="http://schemas.openxmlformats.org/officeDocument/2006/relationships/image" Target="../media/image124.emf"/><Relationship Id="rId7" Type="http://schemas.openxmlformats.org/officeDocument/2006/relationships/image" Target="../media/image120.emf"/><Relationship Id="rId2" Type="http://schemas.openxmlformats.org/officeDocument/2006/relationships/image" Target="../media/image125.emf"/><Relationship Id="rId1" Type="http://schemas.openxmlformats.org/officeDocument/2006/relationships/image" Target="../media/image126.emf"/><Relationship Id="rId6" Type="http://schemas.openxmlformats.org/officeDocument/2006/relationships/image" Target="../media/image121.emf"/><Relationship Id="rId5" Type="http://schemas.openxmlformats.org/officeDocument/2006/relationships/image" Target="../media/image122.emf"/><Relationship Id="rId4" Type="http://schemas.openxmlformats.org/officeDocument/2006/relationships/image" Target="../media/image12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28.emf"/><Relationship Id="rId2" Type="http://schemas.openxmlformats.org/officeDocument/2006/relationships/image" Target="../media/image129.emf"/><Relationship Id="rId1" Type="http://schemas.openxmlformats.org/officeDocument/2006/relationships/image" Target="../media/image130.emf"/><Relationship Id="rId4" Type="http://schemas.openxmlformats.org/officeDocument/2006/relationships/image" Target="../media/image127.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132.emf"/><Relationship Id="rId3" Type="http://schemas.openxmlformats.org/officeDocument/2006/relationships/image" Target="../media/image137.emf"/><Relationship Id="rId7" Type="http://schemas.openxmlformats.org/officeDocument/2006/relationships/image" Target="../media/image133.emf"/><Relationship Id="rId2" Type="http://schemas.openxmlformats.org/officeDocument/2006/relationships/image" Target="../media/image138.emf"/><Relationship Id="rId1" Type="http://schemas.openxmlformats.org/officeDocument/2006/relationships/image" Target="../media/image139.emf"/><Relationship Id="rId6" Type="http://schemas.openxmlformats.org/officeDocument/2006/relationships/image" Target="../media/image134.emf"/><Relationship Id="rId5" Type="http://schemas.openxmlformats.org/officeDocument/2006/relationships/image" Target="../media/image135.emf"/><Relationship Id="rId10" Type="http://schemas.openxmlformats.org/officeDocument/2006/relationships/image" Target="../media/image140.emf"/><Relationship Id="rId4" Type="http://schemas.openxmlformats.org/officeDocument/2006/relationships/image" Target="../media/image136.emf"/><Relationship Id="rId9" Type="http://schemas.openxmlformats.org/officeDocument/2006/relationships/image" Target="../media/image131.emf"/></Relationships>
</file>

<file path=xl/drawings/_rels/vmlDrawing31.vml.rels><?xml version="1.0" encoding="UTF-8" standalone="yes"?>
<Relationships xmlns="http://schemas.openxmlformats.org/package/2006/relationships"><Relationship Id="rId8" Type="http://schemas.openxmlformats.org/officeDocument/2006/relationships/image" Target="../media/image141.emf"/><Relationship Id="rId3" Type="http://schemas.openxmlformats.org/officeDocument/2006/relationships/image" Target="../media/image146.emf"/><Relationship Id="rId7" Type="http://schemas.openxmlformats.org/officeDocument/2006/relationships/image" Target="../media/image142.emf"/><Relationship Id="rId2" Type="http://schemas.openxmlformats.org/officeDocument/2006/relationships/image" Target="../media/image147.emf"/><Relationship Id="rId1" Type="http://schemas.openxmlformats.org/officeDocument/2006/relationships/image" Target="../media/image148.emf"/><Relationship Id="rId6" Type="http://schemas.openxmlformats.org/officeDocument/2006/relationships/image" Target="../media/image143.emf"/><Relationship Id="rId5" Type="http://schemas.openxmlformats.org/officeDocument/2006/relationships/image" Target="../media/image144.emf"/><Relationship Id="rId4" Type="http://schemas.openxmlformats.org/officeDocument/2006/relationships/image" Target="../media/image145.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50.emf"/><Relationship Id="rId3" Type="http://schemas.openxmlformats.org/officeDocument/2006/relationships/image" Target="../media/image155.emf"/><Relationship Id="rId7" Type="http://schemas.openxmlformats.org/officeDocument/2006/relationships/image" Target="../media/image151.emf"/><Relationship Id="rId2" Type="http://schemas.openxmlformats.org/officeDocument/2006/relationships/image" Target="../media/image156.emf"/><Relationship Id="rId1" Type="http://schemas.openxmlformats.org/officeDocument/2006/relationships/image" Target="../media/image157.emf"/><Relationship Id="rId6" Type="http://schemas.openxmlformats.org/officeDocument/2006/relationships/image" Target="../media/image152.emf"/><Relationship Id="rId5" Type="http://schemas.openxmlformats.org/officeDocument/2006/relationships/image" Target="../media/image153.emf"/><Relationship Id="rId10" Type="http://schemas.openxmlformats.org/officeDocument/2006/relationships/image" Target="../media/image158.emf"/><Relationship Id="rId4" Type="http://schemas.openxmlformats.org/officeDocument/2006/relationships/image" Target="../media/image154.emf"/><Relationship Id="rId9" Type="http://schemas.openxmlformats.org/officeDocument/2006/relationships/image" Target="../media/image149.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60.emf"/><Relationship Id="rId3" Type="http://schemas.openxmlformats.org/officeDocument/2006/relationships/image" Target="../media/image165.emf"/><Relationship Id="rId7" Type="http://schemas.openxmlformats.org/officeDocument/2006/relationships/image" Target="../media/image161.emf"/><Relationship Id="rId2" Type="http://schemas.openxmlformats.org/officeDocument/2006/relationships/image" Target="../media/image166.emf"/><Relationship Id="rId1" Type="http://schemas.openxmlformats.org/officeDocument/2006/relationships/image" Target="../media/image167.emf"/><Relationship Id="rId6" Type="http://schemas.openxmlformats.org/officeDocument/2006/relationships/image" Target="../media/image162.emf"/><Relationship Id="rId5" Type="http://schemas.openxmlformats.org/officeDocument/2006/relationships/image" Target="../media/image163.emf"/><Relationship Id="rId10" Type="http://schemas.openxmlformats.org/officeDocument/2006/relationships/image" Target="../media/image168.emf"/><Relationship Id="rId4" Type="http://schemas.openxmlformats.org/officeDocument/2006/relationships/image" Target="../media/image164.emf"/><Relationship Id="rId9" Type="http://schemas.openxmlformats.org/officeDocument/2006/relationships/image" Target="../media/image159.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69.emf"/><Relationship Id="rId3" Type="http://schemas.openxmlformats.org/officeDocument/2006/relationships/image" Target="../media/image174.emf"/><Relationship Id="rId7" Type="http://schemas.openxmlformats.org/officeDocument/2006/relationships/image" Target="../media/image170.emf"/><Relationship Id="rId2" Type="http://schemas.openxmlformats.org/officeDocument/2006/relationships/image" Target="../media/image175.emf"/><Relationship Id="rId1" Type="http://schemas.openxmlformats.org/officeDocument/2006/relationships/image" Target="../media/image176.emf"/><Relationship Id="rId6" Type="http://schemas.openxmlformats.org/officeDocument/2006/relationships/image" Target="../media/image171.emf"/><Relationship Id="rId5" Type="http://schemas.openxmlformats.org/officeDocument/2006/relationships/image" Target="../media/image172.emf"/><Relationship Id="rId4" Type="http://schemas.openxmlformats.org/officeDocument/2006/relationships/image" Target="../media/image173.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8.emf"/><Relationship Id="rId3" Type="http://schemas.openxmlformats.org/officeDocument/2006/relationships/image" Target="../media/image183.emf"/><Relationship Id="rId7" Type="http://schemas.openxmlformats.org/officeDocument/2006/relationships/image" Target="../media/image179.emf"/><Relationship Id="rId2" Type="http://schemas.openxmlformats.org/officeDocument/2006/relationships/image" Target="../media/image184.emf"/><Relationship Id="rId1" Type="http://schemas.openxmlformats.org/officeDocument/2006/relationships/image" Target="../media/image185.emf"/><Relationship Id="rId6" Type="http://schemas.openxmlformats.org/officeDocument/2006/relationships/image" Target="../media/image180.emf"/><Relationship Id="rId5" Type="http://schemas.openxmlformats.org/officeDocument/2006/relationships/image" Target="../media/image181.emf"/><Relationship Id="rId10" Type="http://schemas.openxmlformats.org/officeDocument/2006/relationships/image" Target="../media/image186.emf"/><Relationship Id="rId4" Type="http://schemas.openxmlformats.org/officeDocument/2006/relationships/image" Target="../media/image182.emf"/><Relationship Id="rId9" Type="http://schemas.openxmlformats.org/officeDocument/2006/relationships/image" Target="../media/image17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6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6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6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6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6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6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6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7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7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7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7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7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7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7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8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8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8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8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8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8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8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9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9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9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9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9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9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9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A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A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A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B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B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B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B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B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B9D7610-6840-4026-A041-EE28156D87B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5508B1FF-59F6-45AB-8D96-F8AF8D1FA9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D32E76DD-495F-4887-B88C-6BCB744B5DD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6F12FC0F-78F3-4D27-B02B-D38740D21BA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163737D7-D1E9-45BB-B22D-B0E28DCE50F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DF4F3871-2F32-432B-AD55-BF5F79ECC50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FD2D59F5-19C1-49F3-8A42-53A9870E7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23</xdr:col>
      <xdr:colOff>57150</xdr:colOff>
      <xdr:row>69</xdr:row>
      <xdr:rowOff>47625</xdr:rowOff>
    </xdr:from>
    <xdr:ext cx="10809524" cy="5688888"/>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4077950" y="11220450"/>
          <a:ext cx="10809524" cy="5688888"/>
        </a:xfrm>
        <a:prstGeom prst="rect">
          <a:avLst/>
        </a:prstGeom>
      </xdr:spPr>
    </xdr:pic>
    <xdr:clientData/>
  </xdr:oneCellAnchor>
  <xdr:twoCellAnchor>
    <xdr:from>
      <xdr:col>28</xdr:col>
      <xdr:colOff>539749</xdr:colOff>
      <xdr:row>71</xdr:row>
      <xdr:rowOff>21167</xdr:rowOff>
    </xdr:from>
    <xdr:to>
      <xdr:col>29</xdr:col>
      <xdr:colOff>550333</xdr:colOff>
      <xdr:row>106</xdr:row>
      <xdr:rowOff>105834</xdr:rowOff>
    </xdr:to>
    <xdr:sp macro="" textlink="">
      <xdr:nvSpPr>
        <xdr:cNvPr id="3" name="Rectangle 2">
          <a:extLst>
            <a:ext uri="{FF2B5EF4-FFF2-40B4-BE49-F238E27FC236}">
              <a16:creationId xmlns:a16="http://schemas.microsoft.com/office/drawing/2014/main" id="{00000000-0008-0000-0D00-000003000000}"/>
            </a:ext>
          </a:extLst>
        </xdr:cNvPr>
        <xdr:cNvSpPr/>
      </xdr:nvSpPr>
      <xdr:spPr>
        <a:xfrm>
          <a:off x="17608549" y="11517842"/>
          <a:ext cx="620184" cy="5752042"/>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twoCellAnchor>
    <xdr:from>
      <xdr:col>34</xdr:col>
      <xdr:colOff>211666</xdr:colOff>
      <xdr:row>70</xdr:row>
      <xdr:rowOff>137583</xdr:rowOff>
    </xdr:from>
    <xdr:to>
      <xdr:col>35</xdr:col>
      <xdr:colOff>370417</xdr:colOff>
      <xdr:row>106</xdr:row>
      <xdr:rowOff>63500</xdr:rowOff>
    </xdr:to>
    <xdr:sp macro="" textlink="">
      <xdr:nvSpPr>
        <xdr:cNvPr id="4" name="Rectangle 3">
          <a:extLst>
            <a:ext uri="{FF2B5EF4-FFF2-40B4-BE49-F238E27FC236}">
              <a16:creationId xmlns:a16="http://schemas.microsoft.com/office/drawing/2014/main" id="{00000000-0008-0000-0D00-000004000000}"/>
            </a:ext>
          </a:extLst>
        </xdr:cNvPr>
        <xdr:cNvSpPr/>
      </xdr:nvSpPr>
      <xdr:spPr>
        <a:xfrm>
          <a:off x="20938066" y="11472333"/>
          <a:ext cx="768351" cy="5755217"/>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wsDr>
</file>

<file path=xl/drawings/drawing14.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0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7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7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7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7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7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7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7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1C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1C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1D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1D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1D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1E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1E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1E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1F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1F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1F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0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0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0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0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0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1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1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1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1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1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1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1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2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2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2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2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2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2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2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2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3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3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3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4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4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4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4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4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4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4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4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4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4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5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5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5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5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5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5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5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5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6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6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6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6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6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6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6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6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6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6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7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7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7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7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7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7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7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7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7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7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8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8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8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8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8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8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8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8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9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9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9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9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9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9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9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9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9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9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Y4" dT="2020-06-29T15:25:24.51" personId="{308666E5-D28E-418E-B7E7-F6D9F22CA4C0}" id="{E296C19E-5E99-4F45-8B5B-66B4133899E4}">
    <text>set to 40% except where performance is currently lower.</text>
  </threadedComment>
  <threadedComment ref="AB9" dT="2020-06-23T13:50:21.03" personId="{308666E5-D28E-418E-B7E7-F6D9F22CA4C0}" id="{FB7F9219-AD31-463D-984A-FB6CD9261B67}">
    <text>As specified by Eskom</text>
  </threadedComment>
  <threadedComment ref="AC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B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X26" dT="2020-06-25T12:02:46.38" personId="{308666E5-D28E-418E-B7E7-F6D9F22CA4C0}" id="{5DAD8B72-22C7-4B56-B170-AEAC8EDD3369}">
    <text>IRP 2019 Table 6 (Gourikwa)</text>
  </threadedComment>
  <threadedComment ref="AI26" dT="2020-06-25T13:05:35.51" personId="{308666E5-D28E-418E-B7E7-F6D9F22CA4C0}" id="{14CB6CD1-5D17-48D3-9702-DB8F110E3383}">
    <text>Acacia (180), Atlantis(1350), Mossel Bay (Gouwrika 750), Port Rex (180)</text>
  </threadedComment>
  <threadedComment ref="AI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N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K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F10" dT="2020-06-23T13:40:50.05" personId="{308666E5-D28E-418E-B7E7-F6D9F22CA4C0}" id="{17E2CE06-023D-419F-B261-9DC5D1728B4A}">
    <text>https://www.ge.com/news/press-releases/eskoms-kusile-wet-flue-gas-desulphurization-plant-achieves-93-removal-efficiency</text>
  </threadedComment>
  <threadedComment ref="AG10" dT="2020-06-23T13:43:26.93" personId="{308666E5-D28E-418E-B7E7-F6D9F22CA4C0}" id="{7A35F23A-FACE-406F-AFEC-C2B7AE61685B}">
    <text>not sure how those are affected by the FGD</text>
  </threadedComment>
  <threadedComment ref="AX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P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5.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6.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7.xml><?xml version="1.0" encoding="utf-8"?>
<ThreadedComments xmlns="http://schemas.microsoft.com/office/spreadsheetml/2018/threadedcomments" xmlns:x="http://schemas.openxmlformats.org/spreadsheetml/2006/main">
  <threadedComment ref="S93" dT="2020-06-23T09:56:40.49" personId="{308666E5-D28E-418E-B7E7-F6D9F22CA4C0}" id="{F691164E-DA31-4990-8C8E-8B1ED35EF9F4}">
    <text>assumption</text>
  </threadedComment>
  <threadedComment ref="S95" dT="2020-06-23T09:56:40.49" personId="{308666E5-D28E-418E-B7E7-F6D9F22CA4C0}" id="{6DA6EC5F-644D-43D4-9AAD-A27F6FF6F494}">
    <text>assumption</text>
  </threadedComment>
</ThreadedComments>
</file>

<file path=xl/threadedComments/threadedComment8.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9.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0.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1.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2.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5.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0.vml"/><Relationship Id="rId7" Type="http://schemas.openxmlformats.org/officeDocument/2006/relationships/image" Target="../media/image59.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59.xml"/><Relationship Id="rId5" Type="http://schemas.openxmlformats.org/officeDocument/2006/relationships/image" Target="../media/image58.emf"/><Relationship Id="rId4" Type="http://schemas.openxmlformats.org/officeDocument/2006/relationships/control" Target="../activeX/activeX58.xml"/><Relationship Id="rId9" Type="http://schemas.openxmlformats.org/officeDocument/2006/relationships/image" Target="../media/image6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3.xml"/><Relationship Id="rId13" Type="http://schemas.openxmlformats.org/officeDocument/2006/relationships/image" Target="../media/image65.emf"/><Relationship Id="rId3" Type="http://schemas.openxmlformats.org/officeDocument/2006/relationships/vmlDrawing" Target="../drawings/vmlDrawing11.vml"/><Relationship Id="rId7" Type="http://schemas.openxmlformats.org/officeDocument/2006/relationships/image" Target="../media/image62.emf"/><Relationship Id="rId12" Type="http://schemas.openxmlformats.org/officeDocument/2006/relationships/control" Target="../activeX/activeX65.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70.emf"/><Relationship Id="rId18" Type="http://schemas.openxmlformats.org/officeDocument/2006/relationships/comments" Target="../comments8.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70.xml"/><Relationship Id="rId17" Type="http://schemas.openxmlformats.org/officeDocument/2006/relationships/image" Target="../media/image72.emf"/><Relationship Id="rId2" Type="http://schemas.openxmlformats.org/officeDocument/2006/relationships/drawing" Target="../drawings/drawing12.xml"/><Relationship Id="rId16" Type="http://schemas.openxmlformats.org/officeDocument/2006/relationships/control" Target="../activeX/activeX72.xml"/><Relationship Id="rId1" Type="http://schemas.openxmlformats.org/officeDocument/2006/relationships/printerSettings" Target="../printerSettings/printerSettings12.bin"/><Relationship Id="rId6" Type="http://schemas.openxmlformats.org/officeDocument/2006/relationships/control" Target="../activeX/activeX67.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9.xml"/><Relationship Id="rId4" Type="http://schemas.openxmlformats.org/officeDocument/2006/relationships/control" Target="../activeX/activeX66.xml"/><Relationship Id="rId9" Type="http://schemas.openxmlformats.org/officeDocument/2006/relationships/image" Target="../media/image68.emf"/><Relationship Id="rId14" Type="http://schemas.openxmlformats.org/officeDocument/2006/relationships/control" Target="../activeX/activeX71.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microsoft.com/office/2017/10/relationships/threadedComment" Target="../threadedComments/threadedComment7.xml"/><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4.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8.xml"/><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drawing" Target="../drawings/drawing14.xml"/><Relationship Id="rId4" Type="http://schemas.microsoft.com/office/2017/10/relationships/threadedComment" Target="../threadedComments/threadedComment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15.bin"/><Relationship Id="rId4" Type="http://schemas.microsoft.com/office/2017/10/relationships/threadedComment" Target="../threadedComments/threadedComment10.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6.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5.xml"/><Relationship Id="rId1"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6.xml"/><Relationship Id="rId5" Type="http://schemas.openxmlformats.org/officeDocument/2006/relationships/vmlDrawing" Target="../drawings/vmlDrawing20.vml"/><Relationship Id="rId4" Type="http://schemas.openxmlformats.org/officeDocument/2006/relationships/drawing" Target="../drawings/drawing1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microsoft.com/office/2017/10/relationships/threadedComment" Target="../threadedComments/threadedComment12.xml"/><Relationship Id="rId4" Type="http://schemas.openxmlformats.org/officeDocument/2006/relationships/comments" Target="../comments1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http://search.worldbank.org/data?qterm=gdp%20deflator%20%22south%20africa%22&amp;language=EN"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image" Target="../media/image97.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74.xml"/><Relationship Id="rId5" Type="http://schemas.openxmlformats.org/officeDocument/2006/relationships/image" Target="../media/image96.emf"/><Relationship Id="rId4" Type="http://schemas.openxmlformats.org/officeDocument/2006/relationships/control" Target="../activeX/activeX73.xml"/></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77.xml"/><Relationship Id="rId3" Type="http://schemas.openxmlformats.org/officeDocument/2006/relationships/vmlDrawing" Target="../drawings/vmlDrawing23.vml"/><Relationship Id="rId7" Type="http://schemas.openxmlformats.org/officeDocument/2006/relationships/image" Target="../media/image99.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76.xml"/><Relationship Id="rId5" Type="http://schemas.openxmlformats.org/officeDocument/2006/relationships/image" Target="../media/image98.emf"/><Relationship Id="rId4" Type="http://schemas.openxmlformats.org/officeDocument/2006/relationships/control" Target="../activeX/activeX75.xml"/><Relationship Id="rId9" Type="http://schemas.openxmlformats.org/officeDocument/2006/relationships/image" Target="../media/image100.emf"/></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4.vml"/><Relationship Id="rId7" Type="http://schemas.openxmlformats.org/officeDocument/2006/relationships/image" Target="../media/image102.emf"/><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79.xml"/><Relationship Id="rId5" Type="http://schemas.openxmlformats.org/officeDocument/2006/relationships/image" Target="../media/image101.emf"/><Relationship Id="rId4" Type="http://schemas.openxmlformats.org/officeDocument/2006/relationships/control" Target="../activeX/activeX78.xml"/><Relationship Id="rId9" Type="http://schemas.openxmlformats.org/officeDocument/2006/relationships/image" Target="../media/image103.emf"/></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83.xml"/><Relationship Id="rId3" Type="http://schemas.openxmlformats.org/officeDocument/2006/relationships/vmlDrawing" Target="../drawings/vmlDrawing25.vml"/><Relationship Id="rId7" Type="http://schemas.openxmlformats.org/officeDocument/2006/relationships/image" Target="../media/image105.emf"/><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82.xml"/><Relationship Id="rId5" Type="http://schemas.openxmlformats.org/officeDocument/2006/relationships/image" Target="../media/image104.emf"/><Relationship Id="rId4" Type="http://schemas.openxmlformats.org/officeDocument/2006/relationships/control" Target="../activeX/activeX81.xml"/><Relationship Id="rId9" Type="http://schemas.openxmlformats.org/officeDocument/2006/relationships/image" Target="../media/image106.emf"/></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86.xml"/><Relationship Id="rId13" Type="http://schemas.openxmlformats.org/officeDocument/2006/relationships/image" Target="../media/image111.emf"/><Relationship Id="rId3" Type="http://schemas.openxmlformats.org/officeDocument/2006/relationships/vmlDrawing" Target="../drawings/vmlDrawing26.vml"/><Relationship Id="rId7" Type="http://schemas.openxmlformats.org/officeDocument/2006/relationships/image" Target="../media/image108.emf"/><Relationship Id="rId12" Type="http://schemas.openxmlformats.org/officeDocument/2006/relationships/control" Target="../activeX/activeX88.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ntrol" Target="../activeX/activeX85.xml"/><Relationship Id="rId11" Type="http://schemas.openxmlformats.org/officeDocument/2006/relationships/image" Target="../media/image110.emf"/><Relationship Id="rId5" Type="http://schemas.openxmlformats.org/officeDocument/2006/relationships/image" Target="../media/image107.emf"/><Relationship Id="rId10" Type="http://schemas.openxmlformats.org/officeDocument/2006/relationships/control" Target="../activeX/activeX87.xml"/><Relationship Id="rId4" Type="http://schemas.openxmlformats.org/officeDocument/2006/relationships/control" Target="../activeX/activeX84.xml"/><Relationship Id="rId9" Type="http://schemas.openxmlformats.org/officeDocument/2006/relationships/image" Target="../media/image109.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91.xml"/><Relationship Id="rId13" Type="http://schemas.openxmlformats.org/officeDocument/2006/relationships/image" Target="../media/image116.emf"/><Relationship Id="rId18" Type="http://schemas.openxmlformats.org/officeDocument/2006/relationships/comments" Target="../comments18.xml"/><Relationship Id="rId3" Type="http://schemas.openxmlformats.org/officeDocument/2006/relationships/vmlDrawing" Target="../drawings/vmlDrawing27.vml"/><Relationship Id="rId7" Type="http://schemas.openxmlformats.org/officeDocument/2006/relationships/image" Target="../media/image113.emf"/><Relationship Id="rId12" Type="http://schemas.openxmlformats.org/officeDocument/2006/relationships/control" Target="../activeX/activeX93.xml"/><Relationship Id="rId17" Type="http://schemas.openxmlformats.org/officeDocument/2006/relationships/image" Target="../media/image118.emf"/><Relationship Id="rId2" Type="http://schemas.openxmlformats.org/officeDocument/2006/relationships/drawing" Target="../drawings/drawing23.xml"/><Relationship Id="rId16" Type="http://schemas.openxmlformats.org/officeDocument/2006/relationships/control" Target="../activeX/activeX95.xml"/><Relationship Id="rId1" Type="http://schemas.openxmlformats.org/officeDocument/2006/relationships/printerSettings" Target="../printerSettings/printerSettings25.bin"/><Relationship Id="rId6" Type="http://schemas.openxmlformats.org/officeDocument/2006/relationships/control" Target="../activeX/activeX90.xml"/><Relationship Id="rId11" Type="http://schemas.openxmlformats.org/officeDocument/2006/relationships/image" Target="../media/image115.emf"/><Relationship Id="rId5" Type="http://schemas.openxmlformats.org/officeDocument/2006/relationships/image" Target="../media/image112.emf"/><Relationship Id="rId15" Type="http://schemas.openxmlformats.org/officeDocument/2006/relationships/image" Target="../media/image117.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114.emf"/><Relationship Id="rId14" Type="http://schemas.openxmlformats.org/officeDocument/2006/relationships/control" Target="../activeX/activeX94.xml"/></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98.xml"/><Relationship Id="rId13" Type="http://schemas.openxmlformats.org/officeDocument/2006/relationships/image" Target="../media/image123.emf"/><Relationship Id="rId18" Type="http://schemas.openxmlformats.org/officeDocument/2006/relationships/control" Target="../activeX/activeX103.xml"/><Relationship Id="rId3" Type="http://schemas.openxmlformats.org/officeDocument/2006/relationships/vmlDrawing" Target="../drawings/vmlDrawing28.vml"/><Relationship Id="rId7" Type="http://schemas.openxmlformats.org/officeDocument/2006/relationships/image" Target="../media/image120.emf"/><Relationship Id="rId12" Type="http://schemas.openxmlformats.org/officeDocument/2006/relationships/control" Target="../activeX/activeX100.xml"/><Relationship Id="rId17" Type="http://schemas.openxmlformats.org/officeDocument/2006/relationships/image" Target="../media/image125.emf"/><Relationship Id="rId2" Type="http://schemas.openxmlformats.org/officeDocument/2006/relationships/drawing" Target="../drawings/drawing24.xml"/><Relationship Id="rId16" Type="http://schemas.openxmlformats.org/officeDocument/2006/relationships/control" Target="../activeX/activeX102.xml"/><Relationship Id="rId20" Type="http://schemas.openxmlformats.org/officeDocument/2006/relationships/comments" Target="../comments19.xml"/><Relationship Id="rId1" Type="http://schemas.openxmlformats.org/officeDocument/2006/relationships/printerSettings" Target="../printerSettings/printerSettings26.bin"/><Relationship Id="rId6" Type="http://schemas.openxmlformats.org/officeDocument/2006/relationships/control" Target="../activeX/activeX97.xml"/><Relationship Id="rId11" Type="http://schemas.openxmlformats.org/officeDocument/2006/relationships/image" Target="../media/image122.emf"/><Relationship Id="rId5" Type="http://schemas.openxmlformats.org/officeDocument/2006/relationships/image" Target="../media/image119.emf"/><Relationship Id="rId15" Type="http://schemas.openxmlformats.org/officeDocument/2006/relationships/image" Target="../media/image124.emf"/><Relationship Id="rId10" Type="http://schemas.openxmlformats.org/officeDocument/2006/relationships/control" Target="../activeX/activeX99.xml"/><Relationship Id="rId19" Type="http://schemas.openxmlformats.org/officeDocument/2006/relationships/image" Target="../media/image126.emf"/><Relationship Id="rId4" Type="http://schemas.openxmlformats.org/officeDocument/2006/relationships/control" Target="../activeX/activeX96.xml"/><Relationship Id="rId9" Type="http://schemas.openxmlformats.org/officeDocument/2006/relationships/image" Target="../media/image121.emf"/><Relationship Id="rId14" Type="http://schemas.openxmlformats.org/officeDocument/2006/relationships/control" Target="../activeX/activeX101.xml"/></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06.xml"/><Relationship Id="rId3" Type="http://schemas.openxmlformats.org/officeDocument/2006/relationships/vmlDrawing" Target="../drawings/vmlDrawing29.vml"/><Relationship Id="rId7" Type="http://schemas.openxmlformats.org/officeDocument/2006/relationships/image" Target="../media/image128.emf"/><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ontrol" Target="../activeX/activeX105.xml"/><Relationship Id="rId11" Type="http://schemas.openxmlformats.org/officeDocument/2006/relationships/image" Target="../media/image130.emf"/><Relationship Id="rId5" Type="http://schemas.openxmlformats.org/officeDocument/2006/relationships/image" Target="../media/image127.emf"/><Relationship Id="rId10" Type="http://schemas.openxmlformats.org/officeDocument/2006/relationships/control" Target="../activeX/activeX107.xml"/><Relationship Id="rId4" Type="http://schemas.openxmlformats.org/officeDocument/2006/relationships/control" Target="../activeX/activeX104.xml"/><Relationship Id="rId9" Type="http://schemas.openxmlformats.org/officeDocument/2006/relationships/image" Target="../media/image129.emf"/></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0.xml"/><Relationship Id="rId13" Type="http://schemas.openxmlformats.org/officeDocument/2006/relationships/image" Target="../media/image135.emf"/><Relationship Id="rId18" Type="http://schemas.openxmlformats.org/officeDocument/2006/relationships/control" Target="../activeX/activeX115.xml"/><Relationship Id="rId3" Type="http://schemas.openxmlformats.org/officeDocument/2006/relationships/vmlDrawing" Target="../drawings/vmlDrawing30.vml"/><Relationship Id="rId21" Type="http://schemas.openxmlformats.org/officeDocument/2006/relationships/image" Target="../media/image139.emf"/><Relationship Id="rId7" Type="http://schemas.openxmlformats.org/officeDocument/2006/relationships/image" Target="../media/image132.emf"/><Relationship Id="rId12" Type="http://schemas.openxmlformats.org/officeDocument/2006/relationships/control" Target="../activeX/activeX112.xml"/><Relationship Id="rId17" Type="http://schemas.openxmlformats.org/officeDocument/2006/relationships/image" Target="../media/image137.emf"/><Relationship Id="rId2" Type="http://schemas.openxmlformats.org/officeDocument/2006/relationships/drawing" Target="../drawings/drawing26.xml"/><Relationship Id="rId16" Type="http://schemas.openxmlformats.org/officeDocument/2006/relationships/control" Target="../activeX/activeX114.xml"/><Relationship Id="rId20" Type="http://schemas.openxmlformats.org/officeDocument/2006/relationships/control" Target="../activeX/activeX116.xml"/><Relationship Id="rId1" Type="http://schemas.openxmlformats.org/officeDocument/2006/relationships/printerSettings" Target="../printerSettings/printerSettings28.bin"/><Relationship Id="rId6" Type="http://schemas.openxmlformats.org/officeDocument/2006/relationships/control" Target="../activeX/activeX109.xml"/><Relationship Id="rId11" Type="http://schemas.openxmlformats.org/officeDocument/2006/relationships/image" Target="../media/image134.emf"/><Relationship Id="rId5" Type="http://schemas.openxmlformats.org/officeDocument/2006/relationships/image" Target="../media/image131.emf"/><Relationship Id="rId15" Type="http://schemas.openxmlformats.org/officeDocument/2006/relationships/image" Target="../media/image136.emf"/><Relationship Id="rId23" Type="http://schemas.openxmlformats.org/officeDocument/2006/relationships/image" Target="../media/image140.emf"/><Relationship Id="rId10" Type="http://schemas.openxmlformats.org/officeDocument/2006/relationships/control" Target="../activeX/activeX111.xml"/><Relationship Id="rId19" Type="http://schemas.openxmlformats.org/officeDocument/2006/relationships/image" Target="../media/image138.emf"/><Relationship Id="rId4" Type="http://schemas.openxmlformats.org/officeDocument/2006/relationships/control" Target="../activeX/activeX108.xml"/><Relationship Id="rId9" Type="http://schemas.openxmlformats.org/officeDocument/2006/relationships/image" Target="../media/image133.emf"/><Relationship Id="rId14" Type="http://schemas.openxmlformats.org/officeDocument/2006/relationships/control" Target="../activeX/activeX113.xml"/><Relationship Id="rId22" Type="http://schemas.openxmlformats.org/officeDocument/2006/relationships/control" Target="../activeX/activeX117.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0.xml"/><Relationship Id="rId13" Type="http://schemas.openxmlformats.org/officeDocument/2006/relationships/image" Target="../media/image145.emf"/><Relationship Id="rId18" Type="http://schemas.openxmlformats.org/officeDocument/2006/relationships/control" Target="../activeX/activeX125.xml"/><Relationship Id="rId3" Type="http://schemas.openxmlformats.org/officeDocument/2006/relationships/vmlDrawing" Target="../drawings/vmlDrawing31.vml"/><Relationship Id="rId7" Type="http://schemas.openxmlformats.org/officeDocument/2006/relationships/image" Target="../media/image142.emf"/><Relationship Id="rId12" Type="http://schemas.openxmlformats.org/officeDocument/2006/relationships/control" Target="../activeX/activeX122.xml"/><Relationship Id="rId17" Type="http://schemas.openxmlformats.org/officeDocument/2006/relationships/image" Target="../media/image147.emf"/><Relationship Id="rId2" Type="http://schemas.openxmlformats.org/officeDocument/2006/relationships/drawing" Target="../drawings/drawing27.xml"/><Relationship Id="rId16" Type="http://schemas.openxmlformats.org/officeDocument/2006/relationships/control" Target="../activeX/activeX124.xml"/><Relationship Id="rId1" Type="http://schemas.openxmlformats.org/officeDocument/2006/relationships/printerSettings" Target="../printerSettings/printerSettings29.bin"/><Relationship Id="rId6" Type="http://schemas.openxmlformats.org/officeDocument/2006/relationships/control" Target="../activeX/activeX119.xml"/><Relationship Id="rId11" Type="http://schemas.openxmlformats.org/officeDocument/2006/relationships/image" Target="../media/image144.emf"/><Relationship Id="rId5" Type="http://schemas.openxmlformats.org/officeDocument/2006/relationships/image" Target="../media/image141.emf"/><Relationship Id="rId15" Type="http://schemas.openxmlformats.org/officeDocument/2006/relationships/image" Target="../media/image146.emf"/><Relationship Id="rId10" Type="http://schemas.openxmlformats.org/officeDocument/2006/relationships/control" Target="../activeX/activeX121.xml"/><Relationship Id="rId19" Type="http://schemas.openxmlformats.org/officeDocument/2006/relationships/image" Target="../media/image148.emf"/><Relationship Id="rId4" Type="http://schemas.openxmlformats.org/officeDocument/2006/relationships/control" Target="../activeX/activeX118.xml"/><Relationship Id="rId9" Type="http://schemas.openxmlformats.org/officeDocument/2006/relationships/image" Target="../media/image143.emf"/><Relationship Id="rId14" Type="http://schemas.openxmlformats.org/officeDocument/2006/relationships/control" Target="../activeX/activeX123.xml"/></Relationships>
</file>

<file path=xl/worksheets/_rels/sheet40.xml.rels><?xml version="1.0" encoding="UTF-8" standalone="yes"?>
<Relationships xmlns="http://schemas.openxmlformats.org/package/2006/relationships"><Relationship Id="rId8" Type="http://schemas.openxmlformats.org/officeDocument/2006/relationships/image" Target="../media/image151.emf"/><Relationship Id="rId13" Type="http://schemas.openxmlformats.org/officeDocument/2006/relationships/control" Target="../activeX/activeX131.xml"/><Relationship Id="rId18" Type="http://schemas.openxmlformats.org/officeDocument/2006/relationships/image" Target="../media/image156.emf"/><Relationship Id="rId3" Type="http://schemas.openxmlformats.org/officeDocument/2006/relationships/control" Target="../activeX/activeX126.xml"/><Relationship Id="rId21" Type="http://schemas.openxmlformats.org/officeDocument/2006/relationships/control" Target="../activeX/activeX135.xml"/><Relationship Id="rId7" Type="http://schemas.openxmlformats.org/officeDocument/2006/relationships/control" Target="../activeX/activeX128.xml"/><Relationship Id="rId12" Type="http://schemas.openxmlformats.org/officeDocument/2006/relationships/image" Target="../media/image153.emf"/><Relationship Id="rId17" Type="http://schemas.openxmlformats.org/officeDocument/2006/relationships/control" Target="../activeX/activeX133.xml"/><Relationship Id="rId2" Type="http://schemas.openxmlformats.org/officeDocument/2006/relationships/vmlDrawing" Target="../drawings/vmlDrawing32.vml"/><Relationship Id="rId16" Type="http://schemas.openxmlformats.org/officeDocument/2006/relationships/image" Target="../media/image155.emf"/><Relationship Id="rId20" Type="http://schemas.openxmlformats.org/officeDocument/2006/relationships/image" Target="../media/image157.emf"/><Relationship Id="rId1" Type="http://schemas.openxmlformats.org/officeDocument/2006/relationships/drawing" Target="../drawings/drawing28.xml"/><Relationship Id="rId6" Type="http://schemas.openxmlformats.org/officeDocument/2006/relationships/image" Target="../media/image150.emf"/><Relationship Id="rId11" Type="http://schemas.openxmlformats.org/officeDocument/2006/relationships/control" Target="../activeX/activeX130.xml"/><Relationship Id="rId5" Type="http://schemas.openxmlformats.org/officeDocument/2006/relationships/control" Target="../activeX/activeX127.xml"/><Relationship Id="rId15" Type="http://schemas.openxmlformats.org/officeDocument/2006/relationships/control" Target="../activeX/activeX132.xml"/><Relationship Id="rId10" Type="http://schemas.openxmlformats.org/officeDocument/2006/relationships/image" Target="../media/image152.emf"/><Relationship Id="rId19" Type="http://schemas.openxmlformats.org/officeDocument/2006/relationships/control" Target="../activeX/activeX134.xml"/><Relationship Id="rId4" Type="http://schemas.openxmlformats.org/officeDocument/2006/relationships/image" Target="../media/image149.emf"/><Relationship Id="rId9" Type="http://schemas.openxmlformats.org/officeDocument/2006/relationships/control" Target="../activeX/activeX129.xml"/><Relationship Id="rId14" Type="http://schemas.openxmlformats.org/officeDocument/2006/relationships/image" Target="../media/image154.emf"/><Relationship Id="rId22" Type="http://schemas.openxmlformats.org/officeDocument/2006/relationships/image" Target="../media/image158.emf"/></Relationships>
</file>

<file path=xl/worksheets/_rels/sheet41.xml.rels><?xml version="1.0" encoding="UTF-8" standalone="yes"?>
<Relationships xmlns="http://schemas.openxmlformats.org/package/2006/relationships"><Relationship Id="rId8" Type="http://schemas.openxmlformats.org/officeDocument/2006/relationships/image" Target="../media/image161.emf"/><Relationship Id="rId13" Type="http://schemas.openxmlformats.org/officeDocument/2006/relationships/control" Target="../activeX/activeX141.xml"/><Relationship Id="rId18" Type="http://schemas.openxmlformats.org/officeDocument/2006/relationships/image" Target="../media/image166.emf"/><Relationship Id="rId3" Type="http://schemas.openxmlformats.org/officeDocument/2006/relationships/control" Target="../activeX/activeX136.xml"/><Relationship Id="rId21" Type="http://schemas.openxmlformats.org/officeDocument/2006/relationships/control" Target="../activeX/activeX145.xml"/><Relationship Id="rId7" Type="http://schemas.openxmlformats.org/officeDocument/2006/relationships/control" Target="../activeX/activeX138.xml"/><Relationship Id="rId12" Type="http://schemas.openxmlformats.org/officeDocument/2006/relationships/image" Target="../media/image163.emf"/><Relationship Id="rId17" Type="http://schemas.openxmlformats.org/officeDocument/2006/relationships/control" Target="../activeX/activeX143.xml"/><Relationship Id="rId2" Type="http://schemas.openxmlformats.org/officeDocument/2006/relationships/vmlDrawing" Target="../drawings/vmlDrawing33.vml"/><Relationship Id="rId16" Type="http://schemas.openxmlformats.org/officeDocument/2006/relationships/image" Target="../media/image165.emf"/><Relationship Id="rId20" Type="http://schemas.openxmlformats.org/officeDocument/2006/relationships/image" Target="../media/image167.emf"/><Relationship Id="rId1" Type="http://schemas.openxmlformats.org/officeDocument/2006/relationships/drawing" Target="../drawings/drawing29.xml"/><Relationship Id="rId6" Type="http://schemas.openxmlformats.org/officeDocument/2006/relationships/image" Target="../media/image160.emf"/><Relationship Id="rId11" Type="http://schemas.openxmlformats.org/officeDocument/2006/relationships/control" Target="../activeX/activeX140.xml"/><Relationship Id="rId5" Type="http://schemas.openxmlformats.org/officeDocument/2006/relationships/control" Target="../activeX/activeX137.xml"/><Relationship Id="rId15" Type="http://schemas.openxmlformats.org/officeDocument/2006/relationships/control" Target="../activeX/activeX142.xml"/><Relationship Id="rId10" Type="http://schemas.openxmlformats.org/officeDocument/2006/relationships/image" Target="../media/image162.emf"/><Relationship Id="rId19" Type="http://schemas.openxmlformats.org/officeDocument/2006/relationships/control" Target="../activeX/activeX144.xml"/><Relationship Id="rId4" Type="http://schemas.openxmlformats.org/officeDocument/2006/relationships/image" Target="../media/image159.emf"/><Relationship Id="rId9" Type="http://schemas.openxmlformats.org/officeDocument/2006/relationships/control" Target="../activeX/activeX139.xml"/><Relationship Id="rId14" Type="http://schemas.openxmlformats.org/officeDocument/2006/relationships/image" Target="../media/image164.emf"/><Relationship Id="rId22" Type="http://schemas.openxmlformats.org/officeDocument/2006/relationships/image" Target="../media/image168.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48.xml"/><Relationship Id="rId13" Type="http://schemas.openxmlformats.org/officeDocument/2006/relationships/image" Target="../media/image173.emf"/><Relationship Id="rId18" Type="http://schemas.openxmlformats.org/officeDocument/2006/relationships/control" Target="../activeX/activeX153.xml"/><Relationship Id="rId3" Type="http://schemas.openxmlformats.org/officeDocument/2006/relationships/vmlDrawing" Target="../drawings/vmlDrawing34.vml"/><Relationship Id="rId7" Type="http://schemas.openxmlformats.org/officeDocument/2006/relationships/image" Target="../media/image170.emf"/><Relationship Id="rId12" Type="http://schemas.openxmlformats.org/officeDocument/2006/relationships/control" Target="../activeX/activeX150.xml"/><Relationship Id="rId17" Type="http://schemas.openxmlformats.org/officeDocument/2006/relationships/image" Target="../media/image175.emf"/><Relationship Id="rId2" Type="http://schemas.openxmlformats.org/officeDocument/2006/relationships/drawing" Target="../drawings/drawing30.xml"/><Relationship Id="rId16" Type="http://schemas.openxmlformats.org/officeDocument/2006/relationships/control" Target="../activeX/activeX152.xml"/><Relationship Id="rId1" Type="http://schemas.openxmlformats.org/officeDocument/2006/relationships/printerSettings" Target="../printerSettings/printerSettings30.bin"/><Relationship Id="rId6" Type="http://schemas.openxmlformats.org/officeDocument/2006/relationships/control" Target="../activeX/activeX147.xml"/><Relationship Id="rId11" Type="http://schemas.openxmlformats.org/officeDocument/2006/relationships/image" Target="../media/image172.emf"/><Relationship Id="rId5" Type="http://schemas.openxmlformats.org/officeDocument/2006/relationships/image" Target="../media/image169.emf"/><Relationship Id="rId15" Type="http://schemas.openxmlformats.org/officeDocument/2006/relationships/image" Target="../media/image174.emf"/><Relationship Id="rId10" Type="http://schemas.openxmlformats.org/officeDocument/2006/relationships/control" Target="../activeX/activeX149.xml"/><Relationship Id="rId19" Type="http://schemas.openxmlformats.org/officeDocument/2006/relationships/image" Target="../media/image176.emf"/><Relationship Id="rId4" Type="http://schemas.openxmlformats.org/officeDocument/2006/relationships/control" Target="../activeX/activeX146.xml"/><Relationship Id="rId9" Type="http://schemas.openxmlformats.org/officeDocument/2006/relationships/image" Target="../media/image171.emf"/><Relationship Id="rId14" Type="http://schemas.openxmlformats.org/officeDocument/2006/relationships/control" Target="../activeX/activeX151.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56.xml"/><Relationship Id="rId13" Type="http://schemas.openxmlformats.org/officeDocument/2006/relationships/image" Target="../media/image181.emf"/><Relationship Id="rId18" Type="http://schemas.openxmlformats.org/officeDocument/2006/relationships/control" Target="../activeX/activeX161.xml"/><Relationship Id="rId3" Type="http://schemas.openxmlformats.org/officeDocument/2006/relationships/vmlDrawing" Target="../drawings/vmlDrawing35.vml"/><Relationship Id="rId21" Type="http://schemas.openxmlformats.org/officeDocument/2006/relationships/image" Target="../media/image185.emf"/><Relationship Id="rId7" Type="http://schemas.openxmlformats.org/officeDocument/2006/relationships/image" Target="../media/image178.emf"/><Relationship Id="rId12" Type="http://schemas.openxmlformats.org/officeDocument/2006/relationships/control" Target="../activeX/activeX158.xml"/><Relationship Id="rId17" Type="http://schemas.openxmlformats.org/officeDocument/2006/relationships/image" Target="../media/image183.emf"/><Relationship Id="rId2" Type="http://schemas.openxmlformats.org/officeDocument/2006/relationships/drawing" Target="../drawings/drawing31.xml"/><Relationship Id="rId16" Type="http://schemas.openxmlformats.org/officeDocument/2006/relationships/control" Target="../activeX/activeX160.xml"/><Relationship Id="rId20" Type="http://schemas.openxmlformats.org/officeDocument/2006/relationships/control" Target="../activeX/activeX162.xml"/><Relationship Id="rId1" Type="http://schemas.openxmlformats.org/officeDocument/2006/relationships/printerSettings" Target="../printerSettings/printerSettings31.bin"/><Relationship Id="rId6" Type="http://schemas.openxmlformats.org/officeDocument/2006/relationships/control" Target="../activeX/activeX155.xml"/><Relationship Id="rId11" Type="http://schemas.openxmlformats.org/officeDocument/2006/relationships/image" Target="../media/image180.emf"/><Relationship Id="rId5" Type="http://schemas.openxmlformats.org/officeDocument/2006/relationships/image" Target="../media/image177.emf"/><Relationship Id="rId15" Type="http://schemas.openxmlformats.org/officeDocument/2006/relationships/image" Target="../media/image182.emf"/><Relationship Id="rId23" Type="http://schemas.openxmlformats.org/officeDocument/2006/relationships/image" Target="../media/image186.emf"/><Relationship Id="rId10" Type="http://schemas.openxmlformats.org/officeDocument/2006/relationships/control" Target="../activeX/activeX157.xml"/><Relationship Id="rId19" Type="http://schemas.openxmlformats.org/officeDocument/2006/relationships/image" Target="../media/image184.emf"/><Relationship Id="rId4" Type="http://schemas.openxmlformats.org/officeDocument/2006/relationships/control" Target="../activeX/activeX154.xml"/><Relationship Id="rId9" Type="http://schemas.openxmlformats.org/officeDocument/2006/relationships/image" Target="../media/image179.emf"/><Relationship Id="rId14" Type="http://schemas.openxmlformats.org/officeDocument/2006/relationships/control" Target="../activeX/activeX159.xml"/><Relationship Id="rId22" Type="http://schemas.openxmlformats.org/officeDocument/2006/relationships/control" Target="../activeX/activeX1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 workbookViewId="1"/>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dimension ref="B3:C19"/>
  <sheetViews>
    <sheetView workbookViewId="0">
      <selection activeCell="C18" sqref="C18:C19"/>
    </sheetView>
    <sheetView workbookViewId="1">
      <selection activeCell="C20" sqref="C20"/>
    </sheetView>
  </sheetViews>
  <sheetFormatPr defaultRowHeight="12.75" x14ac:dyDescent="0.2"/>
  <cols>
    <col min="2" max="2" width="18.7109375" bestFit="1" customWidth="1"/>
  </cols>
  <sheetData>
    <row r="3" spans="2:3" ht="18" thickBot="1" x14ac:dyDescent="0.35">
      <c r="B3" s="358" t="s">
        <v>1830</v>
      </c>
      <c r="C3" s="358"/>
    </row>
    <row r="4" spans="2:3" ht="13.5" thickTop="1" x14ac:dyDescent="0.2"/>
    <row r="5" spans="2:3" ht="15" x14ac:dyDescent="0.25">
      <c r="B5" s="357" t="s">
        <v>1833</v>
      </c>
      <c r="C5" s="359">
        <v>0</v>
      </c>
    </row>
    <row r="6" spans="2:3" ht="15" x14ac:dyDescent="0.25">
      <c r="B6" s="357" t="s">
        <v>1843</v>
      </c>
      <c r="C6" s="359">
        <v>0</v>
      </c>
    </row>
    <row r="7" spans="2:3" x14ac:dyDescent="0.2">
      <c r="C7">
        <f>IF(OR(C5,C6),1,0)</f>
        <v>0</v>
      </c>
    </row>
    <row r="8" spans="2:3" x14ac:dyDescent="0.2">
      <c r="B8" s="357" t="s">
        <v>1831</v>
      </c>
      <c r="C8" s="357" t="s">
        <v>1832</v>
      </c>
    </row>
    <row r="9" spans="2:3" ht="15" x14ac:dyDescent="0.25">
      <c r="B9" t="str">
        <f ca="1">Processes!A2</f>
        <v>Processes</v>
      </c>
      <c r="C9" s="379">
        <v>1</v>
      </c>
    </row>
    <row r="10" spans="2:3" ht="15" x14ac:dyDescent="0.25">
      <c r="B10" t="str">
        <f ca="1">ProcDataGenPre2012!A2</f>
        <v>ProcDataGenPre2012</v>
      </c>
      <c r="C10" s="359">
        <f>1-$C$7</f>
        <v>1</v>
      </c>
    </row>
    <row r="11" spans="2:3" ht="15" x14ac:dyDescent="0.25">
      <c r="B11" t="str">
        <f ca="1">ProcDataGen2012On!A2</f>
        <v>ProcDataGen2012On</v>
      </c>
      <c r="C11" s="359">
        <f>1-$C$7</f>
        <v>1</v>
      </c>
    </row>
    <row r="12" spans="2:3" ht="15" x14ac:dyDescent="0.25">
      <c r="B12" t="str">
        <f ca="1">ProcDataIRP!A2</f>
        <v>ProcDataIRP</v>
      </c>
      <c r="C12" s="359">
        <f>C5</f>
        <v>0</v>
      </c>
    </row>
    <row r="13" spans="2:3" ht="15" x14ac:dyDescent="0.25">
      <c r="B13" t="str">
        <f ca="1">ProcDataRECostProfiles!A2</f>
        <v>ProcDataRECostProfiles</v>
      </c>
      <c r="C13" s="359">
        <f>1-$C$7</f>
        <v>1</v>
      </c>
    </row>
    <row r="14" spans="2:3" ht="15" x14ac:dyDescent="0.25">
      <c r="B14" t="str">
        <f ca="1">ProcDataTnD!A2</f>
        <v>ProcDataTnD</v>
      </c>
      <c r="C14" s="359">
        <f>1-$C$7</f>
        <v>1</v>
      </c>
    </row>
    <row r="15" spans="2:3" ht="15" x14ac:dyDescent="0.25">
      <c r="B15" t="str">
        <f ca="1">ProcDataExports!A2</f>
        <v>ProcDataExports</v>
      </c>
      <c r="C15" s="359">
        <f>1-$C$7</f>
        <v>1</v>
      </c>
    </row>
    <row r="16" spans="2:3" ht="15" x14ac:dyDescent="0.25">
      <c r="B16" t="str">
        <f ca="1">ProcDataMines!A2</f>
        <v>ProcDataMines</v>
      </c>
      <c r="C16" s="359">
        <f>1-$C$7</f>
        <v>1</v>
      </c>
    </row>
    <row r="17" spans="2:3" ht="15" x14ac:dyDescent="0.25">
      <c r="B17" t="str">
        <f ca="1">Commodities!A2</f>
        <v>Commodities</v>
      </c>
      <c r="C17" s="359">
        <f>1-$C$7</f>
        <v>1</v>
      </c>
    </row>
    <row r="18" spans="2:3" ht="15" x14ac:dyDescent="0.25">
      <c r="B18" t="str">
        <f ca="1">CommData!A2</f>
        <v>CommData</v>
      </c>
      <c r="C18" s="359">
        <f>1-$C$7</f>
        <v>1</v>
      </c>
    </row>
    <row r="19" spans="2:3" ht="15" x14ac:dyDescent="0.25">
      <c r="B19" s="357" t="str">
        <f ca="1">ProcDataRM!A2</f>
        <v>ProcDataRM</v>
      </c>
      <c r="C19" s="359">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heetView workbookViewId="1"/>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IF(INDEX(Index!$C$9:$C$33,MATCH(A2,Index!B9:B33,0)),"Processes","")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324</v>
      </c>
      <c r="D8" s="66"/>
      <c r="E8" s="66"/>
    </row>
    <row r="9" spans="1:6" x14ac:dyDescent="0.2">
      <c r="B9" s="49" t="s">
        <v>323</v>
      </c>
      <c r="C9" s="49" t="s">
        <v>322</v>
      </c>
      <c r="D9" s="66" t="s">
        <v>142</v>
      </c>
      <c r="E9" s="65" t="s">
        <v>246</v>
      </c>
    </row>
    <row r="10" spans="1:6" x14ac:dyDescent="0.2">
      <c r="B10" s="49" t="s">
        <v>321</v>
      </c>
      <c r="C10" s="49" t="s">
        <v>320</v>
      </c>
      <c r="D10" s="66" t="s">
        <v>142</v>
      </c>
      <c r="E10" s="65" t="s">
        <v>246</v>
      </c>
    </row>
    <row r="11" spans="1:6" x14ac:dyDescent="0.2">
      <c r="B11" s="49" t="s">
        <v>319</v>
      </c>
      <c r="C11" s="49" t="s">
        <v>318</v>
      </c>
      <c r="D11" s="66" t="s">
        <v>142</v>
      </c>
      <c r="E11" s="65" t="s">
        <v>246</v>
      </c>
    </row>
    <row r="12" spans="1:6" x14ac:dyDescent="0.2">
      <c r="B12" s="49" t="s">
        <v>317</v>
      </c>
      <c r="C12" s="49" t="s">
        <v>316</v>
      </c>
      <c r="D12" s="66" t="s">
        <v>142</v>
      </c>
      <c r="E12" s="65" t="s">
        <v>246</v>
      </c>
    </row>
    <row r="13" spans="1:6" x14ac:dyDescent="0.2">
      <c r="B13" s="49" t="s">
        <v>315</v>
      </c>
      <c r="C13" s="49" t="s">
        <v>314</v>
      </c>
      <c r="D13" s="66" t="s">
        <v>142</v>
      </c>
      <c r="E13" s="65" t="s">
        <v>246</v>
      </c>
    </row>
    <row r="14" spans="1:6" x14ac:dyDescent="0.2">
      <c r="B14" s="49" t="s">
        <v>313</v>
      </c>
      <c r="C14" s="49" t="s">
        <v>312</v>
      </c>
      <c r="D14" s="66" t="s">
        <v>142</v>
      </c>
      <c r="E14" s="65" t="s">
        <v>246</v>
      </c>
    </row>
    <row r="15" spans="1:6" ht="12" x14ac:dyDescent="0.2">
      <c r="A15" s="53"/>
      <c r="B15" s="49" t="s">
        <v>311</v>
      </c>
      <c r="C15" s="49" t="s">
        <v>310</v>
      </c>
      <c r="D15" s="66" t="s">
        <v>142</v>
      </c>
      <c r="E15" s="65" t="s">
        <v>246</v>
      </c>
    </row>
    <row r="16" spans="1:6" ht="12" x14ac:dyDescent="0.2">
      <c r="A16" s="53"/>
      <c r="B16" s="49" t="s">
        <v>309</v>
      </c>
      <c r="C16" s="49" t="s">
        <v>308</v>
      </c>
      <c r="D16" s="66" t="s">
        <v>142</v>
      </c>
      <c r="E16" s="65" t="s">
        <v>246</v>
      </c>
    </row>
    <row r="17" spans="1:10" ht="12" x14ac:dyDescent="0.2">
      <c r="A17" s="53"/>
      <c r="B17" s="49" t="s">
        <v>307</v>
      </c>
      <c r="C17" s="49" t="s">
        <v>306</v>
      </c>
      <c r="D17" s="66" t="s">
        <v>142</v>
      </c>
      <c r="E17" s="65" t="s">
        <v>246</v>
      </c>
    </row>
    <row r="18" spans="1:10" ht="12" x14ac:dyDescent="0.2">
      <c r="A18" s="53"/>
      <c r="B18" s="49" t="s">
        <v>305</v>
      </c>
      <c r="C18" s="49" t="s">
        <v>304</v>
      </c>
      <c r="D18" s="66" t="s">
        <v>142</v>
      </c>
      <c r="E18" s="65" t="s">
        <v>246</v>
      </c>
    </row>
    <row r="19" spans="1:10" ht="12" x14ac:dyDescent="0.2">
      <c r="A19" s="53"/>
      <c r="B19" s="49" t="s">
        <v>303</v>
      </c>
      <c r="C19" s="49" t="s">
        <v>302</v>
      </c>
      <c r="D19" s="66" t="s">
        <v>142</v>
      </c>
      <c r="E19" s="65" t="s">
        <v>246</v>
      </c>
    </row>
    <row r="20" spans="1:10" ht="12" x14ac:dyDescent="0.2">
      <c r="A20" s="53"/>
      <c r="B20" s="49" t="s">
        <v>301</v>
      </c>
      <c r="C20" s="49" t="s">
        <v>300</v>
      </c>
      <c r="D20" s="66" t="s">
        <v>142</v>
      </c>
      <c r="E20" s="65" t="s">
        <v>246</v>
      </c>
    </row>
    <row r="21" spans="1:10" ht="12" x14ac:dyDescent="0.2">
      <c r="A21" s="53"/>
      <c r="B21" s="49" t="s">
        <v>299</v>
      </c>
      <c r="C21" s="49" t="s">
        <v>298</v>
      </c>
      <c r="D21" s="66" t="s">
        <v>142</v>
      </c>
      <c r="E21" s="65" t="s">
        <v>246</v>
      </c>
    </row>
    <row r="22" spans="1:10" ht="12" x14ac:dyDescent="0.2">
      <c r="A22" s="53"/>
      <c r="B22" s="49" t="s">
        <v>297</v>
      </c>
      <c r="C22" s="49" t="s">
        <v>296</v>
      </c>
      <c r="D22" s="66" t="s">
        <v>142</v>
      </c>
      <c r="E22" s="65" t="s">
        <v>246</v>
      </c>
    </row>
    <row r="23" spans="1:10" ht="12" x14ac:dyDescent="0.2">
      <c r="A23" s="53"/>
      <c r="B23" s="49" t="s">
        <v>295</v>
      </c>
      <c r="C23" s="49" t="s">
        <v>294</v>
      </c>
      <c r="D23" s="66" t="s">
        <v>142</v>
      </c>
      <c r="E23" s="65" t="s">
        <v>246</v>
      </c>
    </row>
    <row r="24" spans="1:10" ht="12.75" x14ac:dyDescent="0.2">
      <c r="A24" s="53"/>
      <c r="B24" s="49" t="s">
        <v>293</v>
      </c>
      <c r="C24" s="49" t="s">
        <v>292</v>
      </c>
      <c r="D24" s="66" t="s">
        <v>142</v>
      </c>
      <c r="E24" s="65" t="s">
        <v>185</v>
      </c>
      <c r="G24" s="48"/>
      <c r="H24" s="48"/>
      <c r="I24" s="19"/>
      <c r="J24" s="19"/>
    </row>
    <row r="25" spans="1:10" x14ac:dyDescent="0.2">
      <c r="A25" s="54"/>
      <c r="B25" s="49" t="s">
        <v>291</v>
      </c>
      <c r="C25" s="49" t="s">
        <v>290</v>
      </c>
      <c r="D25" s="66" t="s">
        <v>142</v>
      </c>
      <c r="E25" s="65" t="s">
        <v>185</v>
      </c>
      <c r="F25" s="19"/>
      <c r="G25" s="51"/>
      <c r="H25" s="51"/>
      <c r="I25" s="66"/>
      <c r="J25" s="66"/>
    </row>
    <row r="26" spans="1:10" x14ac:dyDescent="0.2">
      <c r="A26" s="54"/>
      <c r="B26" s="49" t="s">
        <v>289</v>
      </c>
      <c r="C26" s="49" t="s">
        <v>288</v>
      </c>
      <c r="D26" s="66" t="s">
        <v>142</v>
      </c>
      <c r="E26" s="65" t="s">
        <v>185</v>
      </c>
      <c r="F26" s="19"/>
      <c r="G26" s="51"/>
      <c r="H26" s="51"/>
      <c r="I26" s="66"/>
      <c r="J26" s="66"/>
    </row>
    <row r="27" spans="1:10" x14ac:dyDescent="0.2">
      <c r="A27" s="54"/>
      <c r="B27" s="49" t="s">
        <v>287</v>
      </c>
      <c r="C27" s="49" t="s">
        <v>286</v>
      </c>
      <c r="D27" s="66" t="s">
        <v>142</v>
      </c>
      <c r="E27" s="65" t="s">
        <v>261</v>
      </c>
      <c r="F27" s="19"/>
      <c r="G27" s="51"/>
      <c r="H27" s="51"/>
      <c r="I27" s="66"/>
      <c r="J27" s="66"/>
    </row>
    <row r="28" spans="1:10" x14ac:dyDescent="0.2">
      <c r="A28" s="54"/>
      <c r="B28" s="49" t="s">
        <v>285</v>
      </c>
      <c r="C28" s="49" t="s">
        <v>284</v>
      </c>
      <c r="D28" s="66" t="s">
        <v>142</v>
      </c>
      <c r="E28" s="65" t="s">
        <v>237</v>
      </c>
      <c r="F28" s="19"/>
      <c r="G28" s="51"/>
      <c r="H28" s="51"/>
      <c r="I28" s="66"/>
      <c r="J28" s="66"/>
    </row>
    <row r="29" spans="1:10" ht="12" x14ac:dyDescent="0.2">
      <c r="A29" s="52" t="s">
        <v>283</v>
      </c>
      <c r="D29" s="66"/>
      <c r="E29" s="65"/>
      <c r="F29" s="19"/>
      <c r="G29" s="51"/>
      <c r="H29" s="51"/>
      <c r="I29" s="66"/>
      <c r="J29" s="66"/>
    </row>
    <row r="30" spans="1:10" x14ac:dyDescent="0.2">
      <c r="A30" s="19"/>
      <c r="B30" s="49" t="s">
        <v>282</v>
      </c>
      <c r="C30" s="49" t="s">
        <v>281</v>
      </c>
      <c r="D30" s="66" t="s">
        <v>142</v>
      </c>
      <c r="E30" s="65" t="s">
        <v>246</v>
      </c>
      <c r="F30" s="19"/>
      <c r="G30" s="51"/>
      <c r="H30" s="51"/>
      <c r="I30" s="66"/>
      <c r="J30" s="66"/>
    </row>
    <row r="31" spans="1:10" x14ac:dyDescent="0.2">
      <c r="A31" s="19"/>
      <c r="B31" s="49" t="s">
        <v>280</v>
      </c>
      <c r="C31" s="49" t="s">
        <v>279</v>
      </c>
      <c r="D31" s="66" t="s">
        <v>142</v>
      </c>
      <c r="E31" s="65" t="s">
        <v>246</v>
      </c>
      <c r="F31" s="19"/>
      <c r="G31" s="51"/>
      <c r="H31" s="51"/>
      <c r="I31" s="66"/>
      <c r="J31" s="66"/>
    </row>
    <row r="32" spans="1:10" ht="12" x14ac:dyDescent="0.2">
      <c r="A32" s="52" t="s">
        <v>278</v>
      </c>
      <c r="D32" s="66"/>
      <c r="E32" s="65"/>
      <c r="F32" s="19"/>
      <c r="G32" s="51"/>
      <c r="H32" s="51"/>
      <c r="I32" s="66"/>
      <c r="J32" s="66"/>
    </row>
    <row r="33" spans="1:10" ht="12" x14ac:dyDescent="0.2">
      <c r="A33" s="53"/>
      <c r="B33" s="49" t="s">
        <v>277</v>
      </c>
      <c r="C33" s="49" t="s">
        <v>276</v>
      </c>
      <c r="D33" s="66" t="s">
        <v>142</v>
      </c>
      <c r="E33" s="65" t="s">
        <v>246</v>
      </c>
    </row>
    <row r="34" spans="1:10" ht="12" x14ac:dyDescent="0.2">
      <c r="A34" s="53"/>
      <c r="B34" s="49" t="s">
        <v>275</v>
      </c>
      <c r="C34" s="49" t="s">
        <v>274</v>
      </c>
      <c r="D34" s="66" t="s">
        <v>142</v>
      </c>
      <c r="E34" s="65" t="s">
        <v>246</v>
      </c>
    </row>
    <row r="35" spans="1:10" ht="12" x14ac:dyDescent="0.2">
      <c r="A35" s="53"/>
      <c r="B35" s="49" t="s">
        <v>273</v>
      </c>
      <c r="C35" s="49" t="s">
        <v>272</v>
      </c>
      <c r="D35" s="66" t="s">
        <v>142</v>
      </c>
      <c r="E35" s="65" t="s">
        <v>246</v>
      </c>
    </row>
    <row r="36" spans="1:10" x14ac:dyDescent="0.2">
      <c r="A36" s="19"/>
      <c r="B36" s="49" t="s">
        <v>271</v>
      </c>
      <c r="C36" s="49" t="s">
        <v>270</v>
      </c>
      <c r="D36" s="66" t="s">
        <v>142</v>
      </c>
      <c r="E36" s="65" t="s">
        <v>237</v>
      </c>
      <c r="F36" s="19"/>
      <c r="G36" s="51"/>
      <c r="H36" s="51"/>
      <c r="I36" s="66"/>
      <c r="J36" s="66"/>
    </row>
    <row r="37" spans="1:10" x14ac:dyDescent="0.2">
      <c r="A37" s="19"/>
      <c r="B37" s="49" t="s">
        <v>269</v>
      </c>
      <c r="C37" s="49" t="s">
        <v>268</v>
      </c>
      <c r="D37" s="66" t="s">
        <v>142</v>
      </c>
      <c r="E37" s="65" t="s">
        <v>185</v>
      </c>
      <c r="F37" s="19"/>
      <c r="G37" s="51"/>
      <c r="H37" s="51"/>
      <c r="I37" s="66"/>
      <c r="J37" s="66"/>
    </row>
    <row r="38" spans="1:10" x14ac:dyDescent="0.2">
      <c r="B38" s="49" t="s">
        <v>267</v>
      </c>
      <c r="C38" s="49" t="s">
        <v>266</v>
      </c>
      <c r="D38" s="68" t="s">
        <v>142</v>
      </c>
      <c r="E38" s="69" t="s">
        <v>246</v>
      </c>
      <c r="F38" s="66"/>
    </row>
    <row r="39" spans="1:10" x14ac:dyDescent="0.2">
      <c r="B39" s="49" t="s">
        <v>265</v>
      </c>
      <c r="C39" s="49" t="s">
        <v>264</v>
      </c>
      <c r="D39" s="68" t="s">
        <v>142</v>
      </c>
      <c r="E39" s="67" t="s">
        <v>185</v>
      </c>
    </row>
    <row r="40" spans="1:10" x14ac:dyDescent="0.2">
      <c r="B40" s="49" t="s">
        <v>263</v>
      </c>
      <c r="C40" s="49" t="s">
        <v>262</v>
      </c>
      <c r="D40" s="68" t="s">
        <v>142</v>
      </c>
      <c r="E40" s="67" t="s">
        <v>261</v>
      </c>
      <c r="F40" s="66"/>
    </row>
    <row r="41" spans="1:10" x14ac:dyDescent="0.2">
      <c r="B41" s="49" t="s">
        <v>260</v>
      </c>
      <c r="C41" s="49" t="s">
        <v>259</v>
      </c>
      <c r="D41" s="68" t="s">
        <v>142</v>
      </c>
      <c r="E41" s="67" t="s">
        <v>185</v>
      </c>
      <c r="F41" s="66"/>
    </row>
    <row r="42" spans="1:10" x14ac:dyDescent="0.2">
      <c r="B42" s="49" t="s">
        <v>258</v>
      </c>
      <c r="C42" s="49" t="s">
        <v>257</v>
      </c>
      <c r="D42" s="68" t="s">
        <v>142</v>
      </c>
      <c r="E42" s="67" t="s">
        <v>185</v>
      </c>
      <c r="F42" s="66"/>
    </row>
    <row r="43" spans="1:10" x14ac:dyDescent="0.2">
      <c r="B43" s="49" t="s">
        <v>256</v>
      </c>
      <c r="C43" s="49" t="s">
        <v>255</v>
      </c>
      <c r="D43" s="68" t="s">
        <v>142</v>
      </c>
      <c r="E43" s="67" t="s">
        <v>185</v>
      </c>
      <c r="F43" s="66"/>
    </row>
    <row r="44" spans="1:10" x14ac:dyDescent="0.2">
      <c r="B44" s="49" t="s">
        <v>254</v>
      </c>
      <c r="C44" s="49" t="s">
        <v>253</v>
      </c>
      <c r="D44" s="68" t="s">
        <v>142</v>
      </c>
      <c r="E44" s="67" t="s">
        <v>185</v>
      </c>
      <c r="F44" s="66"/>
    </row>
    <row r="45" spans="1:10" x14ac:dyDescent="0.2">
      <c r="B45" s="49" t="s">
        <v>252</v>
      </c>
      <c r="C45" s="49" t="s">
        <v>251</v>
      </c>
      <c r="D45" s="68" t="s">
        <v>142</v>
      </c>
      <c r="E45" s="67" t="s">
        <v>185</v>
      </c>
    </row>
    <row r="46" spans="1:10" x14ac:dyDescent="0.2">
      <c r="B46" s="49" t="s">
        <v>250</v>
      </c>
      <c r="C46" s="49" t="s">
        <v>249</v>
      </c>
      <c r="D46" s="68" t="s">
        <v>142</v>
      </c>
      <c r="E46" s="67" t="s">
        <v>185</v>
      </c>
    </row>
    <row r="47" spans="1:10" x14ac:dyDescent="0.2">
      <c r="B47" s="49" t="s">
        <v>248</v>
      </c>
      <c r="C47" s="49" t="s">
        <v>247</v>
      </c>
      <c r="D47" s="68" t="s">
        <v>142</v>
      </c>
      <c r="E47" s="67" t="s">
        <v>246</v>
      </c>
    </row>
    <row r="48" spans="1:10" x14ac:dyDescent="0.2">
      <c r="B48" s="49" t="s">
        <v>245</v>
      </c>
      <c r="C48" s="49" t="s">
        <v>244</v>
      </c>
      <c r="D48" s="68" t="s">
        <v>142</v>
      </c>
      <c r="E48" s="67" t="s">
        <v>185</v>
      </c>
    </row>
    <row r="49" spans="1:6" x14ac:dyDescent="0.2">
      <c r="B49" s="49" t="s">
        <v>243</v>
      </c>
      <c r="C49" s="49" t="s">
        <v>242</v>
      </c>
      <c r="D49" s="68" t="s">
        <v>142</v>
      </c>
      <c r="E49" s="67" t="s">
        <v>185</v>
      </c>
      <c r="F49" s="66"/>
    </row>
    <row r="50" spans="1:6" ht="12" customHeight="1" x14ac:dyDescent="0.2">
      <c r="B50" s="49" t="s">
        <v>241</v>
      </c>
      <c r="C50" s="49" t="s">
        <v>240</v>
      </c>
      <c r="D50" s="68" t="s">
        <v>142</v>
      </c>
      <c r="E50" s="67" t="s">
        <v>185</v>
      </c>
      <c r="F50" s="19"/>
    </row>
    <row r="51" spans="1:6" ht="12" customHeight="1" x14ac:dyDescent="0.2">
      <c r="B51" s="49" t="s">
        <v>239</v>
      </c>
      <c r="C51" s="49" t="s">
        <v>238</v>
      </c>
      <c r="D51" s="68" t="s">
        <v>142</v>
      </c>
      <c r="E51" s="65" t="s">
        <v>237</v>
      </c>
      <c r="F51" s="19"/>
    </row>
    <row r="52" spans="1:6" ht="12" x14ac:dyDescent="0.2">
      <c r="A52" s="52" t="s">
        <v>236</v>
      </c>
      <c r="D52" s="68"/>
      <c r="E52" s="67"/>
    </row>
    <row r="53" spans="1:6" ht="11.45" customHeight="1" x14ac:dyDescent="0.2">
      <c r="B53" s="49" t="s">
        <v>235</v>
      </c>
      <c r="C53" s="49" t="s">
        <v>234</v>
      </c>
      <c r="D53" s="68" t="s">
        <v>142</v>
      </c>
      <c r="E53" s="67" t="s">
        <v>185</v>
      </c>
      <c r="F53" s="18"/>
    </row>
    <row r="54" spans="1:6" ht="11.45" customHeight="1" x14ac:dyDescent="0.2">
      <c r="B54" s="49" t="s">
        <v>233</v>
      </c>
      <c r="C54" s="49" t="s">
        <v>232</v>
      </c>
      <c r="D54" s="68" t="s">
        <v>142</v>
      </c>
      <c r="E54" s="67" t="s">
        <v>185</v>
      </c>
      <c r="F54" s="18"/>
    </row>
    <row r="55" spans="1:6" x14ac:dyDescent="0.2">
      <c r="B55" s="49" t="s">
        <v>231</v>
      </c>
      <c r="C55" s="49" t="s">
        <v>230</v>
      </c>
      <c r="D55" s="68" t="s">
        <v>142</v>
      </c>
      <c r="E55" s="67" t="s">
        <v>185</v>
      </c>
    </row>
    <row r="56" spans="1:6" x14ac:dyDescent="0.2">
      <c r="B56" s="49" t="s">
        <v>229</v>
      </c>
      <c r="C56" s="49" t="s">
        <v>228</v>
      </c>
      <c r="D56" s="68" t="s">
        <v>142</v>
      </c>
      <c r="E56" s="67" t="s">
        <v>185</v>
      </c>
      <c r="F56" s="66"/>
    </row>
    <row r="57" spans="1:6" x14ac:dyDescent="0.2">
      <c r="B57" s="49" t="s">
        <v>227</v>
      </c>
      <c r="C57" s="49" t="s">
        <v>226</v>
      </c>
      <c r="D57" s="68" t="s">
        <v>142</v>
      </c>
      <c r="E57" s="67" t="s">
        <v>185</v>
      </c>
      <c r="F57" s="66"/>
    </row>
    <row r="58" spans="1:6" ht="12" x14ac:dyDescent="0.2">
      <c r="A58" s="52" t="s">
        <v>225</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224</v>
      </c>
      <c r="C70" s="49" t="s">
        <v>223</v>
      </c>
      <c r="D70" s="66" t="s">
        <v>118</v>
      </c>
      <c r="E70" s="65" t="s">
        <v>141</v>
      </c>
    </row>
    <row r="71" spans="1:5" x14ac:dyDescent="0.2">
      <c r="B71" s="49" t="s">
        <v>222</v>
      </c>
      <c r="C71" s="49" t="s">
        <v>221</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220</v>
      </c>
      <c r="C80" s="49" t="s">
        <v>219</v>
      </c>
      <c r="D80" s="66" t="s">
        <v>118</v>
      </c>
      <c r="E80" s="65" t="s">
        <v>141</v>
      </c>
    </row>
    <row r="81" spans="1:5" ht="12" x14ac:dyDescent="0.2">
      <c r="A81" s="52" t="s">
        <v>218</v>
      </c>
    </row>
    <row r="82" spans="1:5" ht="12.75" x14ac:dyDescent="0.2">
      <c r="A82" s="64"/>
      <c r="B82" s="49" t="s">
        <v>128</v>
      </c>
      <c r="C82" s="49" t="s">
        <v>129</v>
      </c>
      <c r="D82" s="66" t="s">
        <v>142</v>
      </c>
      <c r="E82" s="65" t="s">
        <v>148</v>
      </c>
    </row>
    <row r="83" spans="1:5" ht="12.75" x14ac:dyDescent="0.2">
      <c r="A83" s="64"/>
      <c r="B83" s="49" t="s">
        <v>217</v>
      </c>
      <c r="C83" s="49" t="s">
        <v>216</v>
      </c>
      <c r="D83" s="66" t="s">
        <v>142</v>
      </c>
      <c r="E83" s="65" t="s">
        <v>185</v>
      </c>
    </row>
    <row r="84" spans="1:5" ht="12.75" x14ac:dyDescent="0.2">
      <c r="A84" s="64"/>
      <c r="B84" s="49" t="s">
        <v>215</v>
      </c>
      <c r="C84" s="49" t="s">
        <v>214</v>
      </c>
      <c r="D84" s="66" t="s">
        <v>142</v>
      </c>
      <c r="E84" s="65" t="s">
        <v>185</v>
      </c>
    </row>
    <row r="85" spans="1:5" ht="12.75" x14ac:dyDescent="0.2">
      <c r="A85" s="64"/>
      <c r="B85" s="49" t="s">
        <v>213</v>
      </c>
      <c r="C85" s="49" t="s">
        <v>212</v>
      </c>
      <c r="D85" s="66" t="s">
        <v>142</v>
      </c>
      <c r="E85" s="65" t="s">
        <v>185</v>
      </c>
    </row>
    <row r="86" spans="1:5" ht="12.75" x14ac:dyDescent="0.2">
      <c r="A86" s="64"/>
      <c r="B86" s="49" t="s">
        <v>211</v>
      </c>
      <c r="C86" s="49" t="s">
        <v>210</v>
      </c>
      <c r="D86" s="66" t="s">
        <v>142</v>
      </c>
      <c r="E86" s="65" t="s">
        <v>185</v>
      </c>
    </row>
    <row r="87" spans="1:5" ht="12.75" x14ac:dyDescent="0.2">
      <c r="A87" s="64"/>
      <c r="B87" s="49" t="s">
        <v>209</v>
      </c>
      <c r="C87" s="49" t="s">
        <v>208</v>
      </c>
      <c r="D87" s="66" t="s">
        <v>142</v>
      </c>
      <c r="E87" s="65" t="s">
        <v>185</v>
      </c>
    </row>
    <row r="88" spans="1:5" ht="12.75" x14ac:dyDescent="0.2">
      <c r="A88" s="64"/>
      <c r="B88" s="49" t="s">
        <v>207</v>
      </c>
      <c r="C88" s="49" t="s">
        <v>206</v>
      </c>
      <c r="D88" s="66" t="s">
        <v>142</v>
      </c>
      <c r="E88" s="65" t="s">
        <v>185</v>
      </c>
    </row>
    <row r="89" spans="1:5" ht="12.75" x14ac:dyDescent="0.2">
      <c r="A89" s="64"/>
      <c r="B89" s="49" t="s">
        <v>205</v>
      </c>
      <c r="C89" s="49" t="s">
        <v>204</v>
      </c>
      <c r="D89" s="66" t="s">
        <v>142</v>
      </c>
      <c r="E89" s="65" t="s">
        <v>185</v>
      </c>
    </row>
    <row r="90" spans="1:5" ht="12.75" x14ac:dyDescent="0.2">
      <c r="A90" s="64"/>
      <c r="B90" s="49" t="s">
        <v>203</v>
      </c>
      <c r="C90" s="49" t="s">
        <v>202</v>
      </c>
      <c r="D90" s="66" t="s">
        <v>142</v>
      </c>
      <c r="E90" s="65" t="s">
        <v>185</v>
      </c>
    </row>
    <row r="91" spans="1:5" ht="12.75" x14ac:dyDescent="0.2">
      <c r="A91" s="64"/>
      <c r="B91" s="49" t="s">
        <v>201</v>
      </c>
      <c r="C91" s="49" t="s">
        <v>200</v>
      </c>
      <c r="D91" s="66" t="s">
        <v>142</v>
      </c>
      <c r="E91" s="65" t="s">
        <v>185</v>
      </c>
    </row>
    <row r="92" spans="1:5" ht="12.75" x14ac:dyDescent="0.2">
      <c r="A92" s="64"/>
      <c r="B92" s="49" t="s">
        <v>199</v>
      </c>
      <c r="C92" s="49" t="s">
        <v>198</v>
      </c>
      <c r="D92" s="66" t="s">
        <v>142</v>
      </c>
      <c r="E92" s="65" t="s">
        <v>185</v>
      </c>
    </row>
    <row r="93" spans="1:5" ht="12.75" x14ac:dyDescent="0.2">
      <c r="A93" s="64"/>
      <c r="B93" s="49" t="s">
        <v>197</v>
      </c>
      <c r="C93" s="49" t="s">
        <v>196</v>
      </c>
      <c r="D93" s="66" t="s">
        <v>142</v>
      </c>
      <c r="E93" s="65" t="s">
        <v>185</v>
      </c>
    </row>
    <row r="94" spans="1:5" ht="12.75" x14ac:dyDescent="0.2">
      <c r="A94" s="64"/>
      <c r="B94" s="49" t="s">
        <v>195</v>
      </c>
      <c r="C94" s="49" t="s">
        <v>194</v>
      </c>
      <c r="D94" s="66" t="s">
        <v>142</v>
      </c>
      <c r="E94" s="65" t="s">
        <v>185</v>
      </c>
    </row>
    <row r="95" spans="1:5" ht="12.75" x14ac:dyDescent="0.2">
      <c r="A95" s="64"/>
      <c r="B95" s="49" t="s">
        <v>193</v>
      </c>
      <c r="C95" s="49" t="s">
        <v>192</v>
      </c>
      <c r="D95" s="66" t="s">
        <v>142</v>
      </c>
      <c r="E95" s="65" t="s">
        <v>185</v>
      </c>
    </row>
    <row r="96" spans="1:5" ht="12.75" x14ac:dyDescent="0.2">
      <c r="A96" s="64"/>
      <c r="B96" s="49" t="s">
        <v>191</v>
      </c>
      <c r="C96" s="49" t="s">
        <v>190</v>
      </c>
      <c r="D96" s="66" t="s">
        <v>142</v>
      </c>
      <c r="E96" s="65" t="s">
        <v>185</v>
      </c>
    </row>
    <row r="97" spans="1:5" ht="12.75" x14ac:dyDescent="0.2">
      <c r="A97" s="64"/>
      <c r="B97" s="49" t="s">
        <v>189</v>
      </c>
      <c r="C97" s="49" t="s">
        <v>188</v>
      </c>
      <c r="D97" s="66" t="s">
        <v>142</v>
      </c>
      <c r="E97" s="65" t="s">
        <v>185</v>
      </c>
    </row>
    <row r="98" spans="1:5" ht="12.75" x14ac:dyDescent="0.2">
      <c r="A98" s="64"/>
      <c r="B98" s="49" t="s">
        <v>187</v>
      </c>
      <c r="C98" s="49" t="s">
        <v>186</v>
      </c>
      <c r="D98" s="66" t="s">
        <v>142</v>
      </c>
      <c r="E98" s="65" t="s">
        <v>185</v>
      </c>
    </row>
    <row r="99" spans="1:5" ht="12" x14ac:dyDescent="0.2">
      <c r="A99" s="52" t="s">
        <v>1817</v>
      </c>
      <c r="D99" s="66"/>
      <c r="E99" s="65"/>
    </row>
    <row r="100" spans="1:5" ht="12.75" x14ac:dyDescent="0.2">
      <c r="A100" s="64"/>
      <c r="B100" s="49" t="s">
        <v>1818</v>
      </c>
      <c r="C100" s="49" t="s">
        <v>1819</v>
      </c>
      <c r="D100" s="66" t="s">
        <v>118</v>
      </c>
      <c r="E100" s="65" t="s">
        <v>167</v>
      </c>
    </row>
    <row r="101" spans="1:5" ht="12" x14ac:dyDescent="0.2">
      <c r="A101" s="52" t="s">
        <v>184</v>
      </c>
      <c r="D101" s="66"/>
      <c r="E101" s="65"/>
    </row>
    <row r="102" spans="1:5" ht="12.75" x14ac:dyDescent="0.2">
      <c r="A102" s="64"/>
      <c r="B102" s="49" t="s">
        <v>183</v>
      </c>
      <c r="C102" s="49" t="s">
        <v>182</v>
      </c>
      <c r="D102" s="66" t="s">
        <v>118</v>
      </c>
      <c r="E102" s="65" t="s">
        <v>140</v>
      </c>
    </row>
    <row r="103" spans="1:5" ht="12.75" x14ac:dyDescent="0.2">
      <c r="A103" s="64"/>
      <c r="B103" s="49" t="s">
        <v>181</v>
      </c>
      <c r="C103" s="49" t="s">
        <v>180</v>
      </c>
      <c r="D103" s="66" t="s">
        <v>118</v>
      </c>
      <c r="E103" s="65" t="s">
        <v>140</v>
      </c>
    </row>
    <row r="104" spans="1:5" ht="12.75" x14ac:dyDescent="0.2">
      <c r="A104" s="64"/>
      <c r="B104" s="49" t="s">
        <v>179</v>
      </c>
      <c r="C104" s="49" t="s">
        <v>178</v>
      </c>
      <c r="D104" s="66" t="s">
        <v>118</v>
      </c>
      <c r="E104" s="65" t="s">
        <v>140</v>
      </c>
    </row>
    <row r="105" spans="1:5" ht="12.75" x14ac:dyDescent="0.2">
      <c r="A105" s="64"/>
      <c r="B105" s="49" t="s">
        <v>177</v>
      </c>
      <c r="C105" s="49" t="s">
        <v>176</v>
      </c>
      <c r="D105" s="66" t="s">
        <v>118</v>
      </c>
      <c r="E105" s="65" t="s">
        <v>140</v>
      </c>
    </row>
    <row r="106" spans="1:5" ht="12.75" x14ac:dyDescent="0.2">
      <c r="A106" s="64"/>
      <c r="B106" s="49" t="s">
        <v>175</v>
      </c>
      <c r="C106" s="49" t="s">
        <v>174</v>
      </c>
      <c r="D106" s="66" t="s">
        <v>118</v>
      </c>
      <c r="E106" s="65" t="s">
        <v>167</v>
      </c>
    </row>
    <row r="107" spans="1:5" ht="12.75" x14ac:dyDescent="0.2">
      <c r="A107" s="64"/>
      <c r="B107" s="49" t="s">
        <v>173</v>
      </c>
      <c r="C107" s="49" t="s">
        <v>172</v>
      </c>
      <c r="D107" s="66" t="s">
        <v>118</v>
      </c>
      <c r="E107" s="65" t="s">
        <v>167</v>
      </c>
    </row>
    <row r="108" spans="1:5" ht="12.75" x14ac:dyDescent="0.2">
      <c r="A108" s="64"/>
      <c r="B108" s="49" t="s">
        <v>171</v>
      </c>
      <c r="C108" s="49" t="s">
        <v>170</v>
      </c>
      <c r="D108" s="66" t="s">
        <v>118</v>
      </c>
      <c r="E108" s="65" t="s">
        <v>167</v>
      </c>
    </row>
    <row r="109" spans="1:5" ht="12.75" x14ac:dyDescent="0.2">
      <c r="A109" s="64"/>
      <c r="B109" s="49" t="s">
        <v>169</v>
      </c>
      <c r="C109" s="49" t="s">
        <v>168</v>
      </c>
      <c r="D109" s="66" t="s">
        <v>118</v>
      </c>
      <c r="E109" s="65" t="s">
        <v>167</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J30"/>
  <sheetViews>
    <sheetView workbookViewId="0">
      <selection activeCell="V9" sqref="V9"/>
    </sheetView>
    <sheetView tabSelected="1" workbookViewId="1">
      <selection activeCell="H24" sqref="H2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2" ht="11.25" customHeight="1" x14ac:dyDescent="0.2">
      <c r="A1" s="70" t="str">
        <f ca="1">IF(INDEX(Index!$C$9:$C$33,MATCH(A2,Index!B9:B33,0)),"ProcData","")</f>
        <v>ProcData</v>
      </c>
      <c r="B1" s="19" t="s">
        <v>138</v>
      </c>
    </row>
    <row r="2" spans="1:62" ht="11.25" customHeight="1" x14ac:dyDescent="0.2">
      <c r="A2" s="64" t="str">
        <f ca="1">MID(CELL("filename",A1),FIND("]",CELL("filename",A1))+1,255)</f>
        <v>ProcDataGenPre2012</v>
      </c>
    </row>
    <row r="3" spans="1:62" ht="34.5" customHeight="1" x14ac:dyDescent="0.2">
      <c r="H3" s="83" t="s">
        <v>153</v>
      </c>
      <c r="I3" s="83" t="s">
        <v>395</v>
      </c>
      <c r="J3" s="83" t="s">
        <v>394</v>
      </c>
      <c r="K3" s="83" t="s">
        <v>393</v>
      </c>
      <c r="L3" s="83" t="s">
        <v>392</v>
      </c>
      <c r="M3" s="83" t="s">
        <v>163</v>
      </c>
      <c r="N3" s="83" t="s">
        <v>151</v>
      </c>
      <c r="O3" s="83" t="s">
        <v>391</v>
      </c>
      <c r="R3" s="49" t="s">
        <v>390</v>
      </c>
      <c r="S3" s="49" t="s">
        <v>390</v>
      </c>
      <c r="T3" s="49" t="s">
        <v>390</v>
      </c>
      <c r="U3" s="49" t="s">
        <v>390</v>
      </c>
      <c r="V3" s="49" t="s">
        <v>390</v>
      </c>
      <c r="W3" s="49" t="s">
        <v>389</v>
      </c>
      <c r="X3" s="49" t="s">
        <v>389</v>
      </c>
      <c r="Y3" s="49" t="s">
        <v>389</v>
      </c>
      <c r="Z3" s="49" t="s">
        <v>388</v>
      </c>
      <c r="AA3" s="49" t="s">
        <v>387</v>
      </c>
      <c r="AB3" s="49" t="s">
        <v>386</v>
      </c>
      <c r="AI3" s="49" t="s">
        <v>150</v>
      </c>
    </row>
    <row r="4" spans="1:62" ht="21.75" customHeight="1" x14ac:dyDescent="0.2">
      <c r="E4" s="82"/>
      <c r="F4" s="82"/>
      <c r="G4" s="82"/>
      <c r="H4" s="67" t="s">
        <v>121</v>
      </c>
      <c r="I4" s="67" t="s">
        <v>385</v>
      </c>
      <c r="J4" s="67" t="s">
        <v>120</v>
      </c>
      <c r="K4" s="67" t="s">
        <v>156</v>
      </c>
      <c r="L4" s="67" t="s">
        <v>384</v>
      </c>
      <c r="M4" s="67" t="s">
        <v>383</v>
      </c>
      <c r="N4" s="67" t="s">
        <v>119</v>
      </c>
      <c r="O4" s="67" t="s">
        <v>382</v>
      </c>
      <c r="P4" s="81" t="s">
        <v>381</v>
      </c>
      <c r="Q4" s="81" t="s">
        <v>381</v>
      </c>
      <c r="R4" s="81" t="s">
        <v>380</v>
      </c>
      <c r="S4" s="81" t="s">
        <v>380</v>
      </c>
      <c r="T4" s="81" t="s">
        <v>380</v>
      </c>
      <c r="U4" s="81" t="s">
        <v>380</v>
      </c>
      <c r="V4" s="81" t="s">
        <v>380</v>
      </c>
      <c r="W4" s="81" t="s">
        <v>379</v>
      </c>
      <c r="X4" s="81" t="s">
        <v>379</v>
      </c>
      <c r="Y4" s="81" t="s">
        <v>379</v>
      </c>
      <c r="Z4" s="81" t="s">
        <v>378</v>
      </c>
      <c r="AA4" s="81" t="s">
        <v>377</v>
      </c>
      <c r="AB4" s="81" t="s">
        <v>376</v>
      </c>
      <c r="AC4" s="81" t="s">
        <v>376</v>
      </c>
      <c r="AD4" s="81" t="s">
        <v>376</v>
      </c>
      <c r="AE4" s="81" t="s">
        <v>376</v>
      </c>
      <c r="AF4" s="81" t="s">
        <v>376</v>
      </c>
      <c r="AG4" s="81" t="s">
        <v>376</v>
      </c>
      <c r="AH4" s="81" t="s">
        <v>376</v>
      </c>
      <c r="AI4" s="81" t="s">
        <v>154</v>
      </c>
      <c r="AJ4" s="81" t="s">
        <v>154</v>
      </c>
      <c r="AK4" s="81" t="s">
        <v>154</v>
      </c>
      <c r="AL4" s="81" t="s">
        <v>154</v>
      </c>
      <c r="AM4" s="81" t="s">
        <v>154</v>
      </c>
      <c r="AN4" s="81" t="s">
        <v>154</v>
      </c>
      <c r="AO4" s="81" t="s">
        <v>154</v>
      </c>
      <c r="AP4" s="81" t="s">
        <v>154</v>
      </c>
      <c r="AQ4" s="81" t="s">
        <v>154</v>
      </c>
      <c r="AR4" s="81" t="s">
        <v>154</v>
      </c>
      <c r="AS4" s="81" t="s">
        <v>154</v>
      </c>
      <c r="AT4" s="81" t="s">
        <v>154</v>
      </c>
      <c r="AU4" s="81" t="s">
        <v>154</v>
      </c>
      <c r="AV4" s="81" t="s">
        <v>154</v>
      </c>
      <c r="AW4" s="81" t="s">
        <v>154</v>
      </c>
      <c r="AX4" s="81" t="s">
        <v>154</v>
      </c>
      <c r="AY4" s="81" t="s">
        <v>154</v>
      </c>
      <c r="AZ4" s="81" t="s">
        <v>154</v>
      </c>
      <c r="BA4" s="81" t="s">
        <v>154</v>
      </c>
      <c r="BB4" s="81" t="s">
        <v>154</v>
      </c>
      <c r="BC4" s="81" t="s">
        <v>154</v>
      </c>
      <c r="BD4" s="81" t="s">
        <v>154</v>
      </c>
      <c r="BE4" s="81" t="s">
        <v>154</v>
      </c>
      <c r="BF4" s="81" t="s">
        <v>154</v>
      </c>
      <c r="BG4" s="81" t="s">
        <v>154</v>
      </c>
      <c r="BH4" s="81" t="s">
        <v>154</v>
      </c>
      <c r="BI4" s="81" t="s">
        <v>154</v>
      </c>
      <c r="BJ4" s="81" t="s">
        <v>154</v>
      </c>
    </row>
    <row r="5" spans="1:62" ht="16.5" customHeight="1" x14ac:dyDescent="0.2">
      <c r="H5" s="67" t="s">
        <v>27</v>
      </c>
      <c r="I5" s="67"/>
      <c r="J5" s="67"/>
      <c r="N5" s="80"/>
      <c r="O5" s="67" t="s">
        <v>122</v>
      </c>
      <c r="R5" s="67"/>
      <c r="S5" s="67"/>
      <c r="T5" s="67"/>
      <c r="U5" s="67"/>
      <c r="V5" s="67"/>
      <c r="W5" s="67"/>
      <c r="X5" s="67"/>
      <c r="Y5" s="67"/>
      <c r="Z5" s="67" t="s">
        <v>27</v>
      </c>
      <c r="AA5" s="67" t="s">
        <v>375</v>
      </c>
      <c r="AB5" s="67" t="s">
        <v>374</v>
      </c>
      <c r="AC5" s="67" t="s">
        <v>373</v>
      </c>
      <c r="AD5" s="67" t="s">
        <v>372</v>
      </c>
      <c r="AE5" s="67" t="s">
        <v>371</v>
      </c>
      <c r="AF5" s="67" t="s">
        <v>370</v>
      </c>
      <c r="AG5" s="67" t="s">
        <v>369</v>
      </c>
      <c r="AH5" s="67" t="s">
        <v>368</v>
      </c>
      <c r="AM5" s="67"/>
      <c r="AN5" s="67"/>
    </row>
    <row r="6" spans="1:62" ht="17.25" customHeight="1" x14ac:dyDescent="0.2">
      <c r="H6" s="67" t="s">
        <v>122</v>
      </c>
      <c r="I6" s="67"/>
      <c r="J6" s="67"/>
      <c r="N6" s="80"/>
      <c r="Z6" s="67" t="s">
        <v>367</v>
      </c>
      <c r="AA6" s="67" t="s">
        <v>122</v>
      </c>
      <c r="AB6" s="67" t="s">
        <v>122</v>
      </c>
      <c r="AC6" s="67" t="s">
        <v>122</v>
      </c>
      <c r="AD6" s="67" t="s">
        <v>122</v>
      </c>
      <c r="AE6" s="67" t="s">
        <v>122</v>
      </c>
      <c r="AF6" s="67" t="s">
        <v>122</v>
      </c>
      <c r="AG6" s="67" t="s">
        <v>122</v>
      </c>
      <c r="AH6" s="67" t="s">
        <v>122</v>
      </c>
      <c r="AI6" s="67"/>
      <c r="AJ6" s="67"/>
      <c r="AK6" s="67"/>
      <c r="AL6" s="67"/>
    </row>
    <row r="7" spans="1:62"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2025</v>
      </c>
      <c r="V7" s="49">
        <v>2030</v>
      </c>
      <c r="W7" s="49">
        <v>2012</v>
      </c>
      <c r="X7" s="49">
        <v>2017</v>
      </c>
      <c r="Y7" s="49">
        <v>2020</v>
      </c>
      <c r="AD7" s="56"/>
      <c r="AE7" s="56"/>
      <c r="AI7" s="49">
        <v>2012</v>
      </c>
      <c r="AJ7" s="49">
        <v>2017</v>
      </c>
      <c r="AK7" s="49">
        <v>2019</v>
      </c>
      <c r="AL7" s="49">
        <v>2020</v>
      </c>
      <c r="AM7" s="49">
        <v>2021</v>
      </c>
      <c r="AN7" s="49">
        <v>2022</v>
      </c>
      <c r="AO7" s="49">
        <v>2023</v>
      </c>
      <c r="AP7" s="49">
        <v>2024</v>
      </c>
      <c r="AQ7" s="49">
        <v>2025</v>
      </c>
      <c r="AR7" s="49">
        <v>2026</v>
      </c>
      <c r="AS7" s="49">
        <v>2027</v>
      </c>
      <c r="AT7" s="49">
        <v>2028</v>
      </c>
      <c r="AU7" s="49">
        <v>2029</v>
      </c>
      <c r="AV7" s="49">
        <v>2030</v>
      </c>
      <c r="AW7" s="49">
        <v>2031</v>
      </c>
      <c r="AX7" s="49">
        <v>2032</v>
      </c>
      <c r="AY7" s="49">
        <v>2033</v>
      </c>
      <c r="AZ7" s="49">
        <v>2034</v>
      </c>
      <c r="BA7" s="49">
        <v>2035</v>
      </c>
      <c r="BB7" s="49">
        <v>2036</v>
      </c>
      <c r="BC7" s="49">
        <v>2037</v>
      </c>
      <c r="BD7" s="49">
        <v>2038</v>
      </c>
      <c r="BE7" s="49">
        <v>2039</v>
      </c>
      <c r="BF7" s="49">
        <v>2040</v>
      </c>
      <c r="BG7" s="49">
        <v>2045</v>
      </c>
      <c r="BH7" s="49">
        <v>2050</v>
      </c>
      <c r="BI7" s="49">
        <v>2060</v>
      </c>
      <c r="BJ7" s="49">
        <v>2070</v>
      </c>
    </row>
    <row r="8" spans="1:62" ht="11.25" customHeight="1" x14ac:dyDescent="0.2">
      <c r="A8" s="52" t="s">
        <v>1834</v>
      </c>
      <c r="F8" s="55"/>
      <c r="Q8" s="56"/>
      <c r="AA8" s="56"/>
      <c r="AD8" s="56"/>
      <c r="AE8" s="56"/>
      <c r="AM8" s="56"/>
    </row>
    <row r="9" spans="1:62"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7.4268904506673925</v>
      </c>
      <c r="K9" s="58">
        <f>INDEX(ElecBY!$O$82:$O$103,MATCH(B9,ElecBY!$D$82:$D$103,0))</f>
        <v>309.48734235538109</v>
      </c>
      <c r="L9" s="58">
        <f>INDEX(ElecBY!$K$82:$K$103,MATCH(B9,ElecBY!$D$82:$D$103,0))</f>
        <v>7328.9464331138006</v>
      </c>
      <c r="M9" s="72">
        <v>30</v>
      </c>
      <c r="N9" s="49">
        <v>31.536000000000001</v>
      </c>
      <c r="O9" s="49">
        <v>1</v>
      </c>
      <c r="P9" s="56">
        <v>5</v>
      </c>
      <c r="Q9" s="56">
        <v>0</v>
      </c>
      <c r="R9" s="74">
        <f>INDEX('eskom production 2009-YTD'!$J$84:$T$99,MATCH($C9,'eskom production 2009-YTD'!$A$84:$A$99,0),MATCH(R$7,'eskom production 2009-YTD'!$J$65:$T$65,0))</f>
        <v>0.65972201228153049</v>
      </c>
      <c r="S9" s="74">
        <f>INDEX('eskom production 2009-YTD'!$J$84:$T$99,MATCH($C9,'eskom production 2009-YTD'!$A$84:$A$99,0),MATCH(S$7,'eskom production 2009-YTD'!$J$65:$T$65,0))</f>
        <v>0.54111740129475128</v>
      </c>
      <c r="T9" s="74">
        <f>INDEX('eskom production 2009-YTD'!$J$84:$T$99,MATCH($C9,'eskom production 2009-YTD'!$A$84:$A$99,0),MATCH(T$7,'eskom production 2009-YTD'!$J$65:$T$65,0))</f>
        <v>0.56546768435301509</v>
      </c>
      <c r="U9" s="74">
        <f>INDEX('eskom production 2009-YTD'!$J$84:$T$99,MATCH($C9,'eskom production 2009-YTD'!$A$84:$A$99,0),MATCH(U$7,'eskom production 2009-YTD'!$J$65:$T$65,0))</f>
        <v>0.6</v>
      </c>
      <c r="V9" s="74">
        <f>INDEX('eskom production 2009-YTD'!$J$84:$T$99,MATCH($C9,'eskom production 2009-YTD'!$A$84:$A$99,0),MATCH(V$7,'eskom production 2009-YTD'!$J$65:$T$65,0))</f>
        <v>0.6</v>
      </c>
      <c r="W9" s="74">
        <f t="shared" ref="W9:W22" si="1">R9</f>
        <v>0.65972201228153049</v>
      </c>
      <c r="X9" s="74">
        <f t="shared" ref="X9:X22" si="2">S9</f>
        <v>0.54111740129475128</v>
      </c>
      <c r="Y9" s="74">
        <v>0.4</v>
      </c>
      <c r="Z9" s="74"/>
      <c r="AA9" s="56">
        <v>277.77800000000002</v>
      </c>
      <c r="AB9" s="74">
        <v>96.25</v>
      </c>
      <c r="AC9" s="56">
        <v>1E-3</v>
      </c>
      <c r="AD9" s="56">
        <v>1.5E-3</v>
      </c>
      <c r="AE9" s="56">
        <v>0.62619999999999998</v>
      </c>
      <c r="AF9" s="56">
        <v>0.3</v>
      </c>
      <c r="AG9" s="56">
        <v>0.02</v>
      </c>
      <c r="AH9" s="56">
        <v>5.0000000000000001E-3</v>
      </c>
      <c r="AI9" s="77">
        <f>INDEX('eskom production 2009-YTD'!$J$66:$T$80,MATCH($C9,'eskom production 2009-YTD'!$A$66:$A$80,0),MATCH(AI$7,'eskom production 2009-YTD'!$J$65:$Q$65,0))/1000</f>
        <v>1.45</v>
      </c>
      <c r="AJ9" s="77">
        <f>INDEX('eskom production 2009-YTD'!$J$66:$T$80,MATCH($C9,'eskom production 2009-YTD'!$A$66:$A$80,0),MATCH(AJ$7,'eskom production 2009-YTD'!$J$65:$Q$65,0))/1000</f>
        <v>1.4810000000000001</v>
      </c>
      <c r="AK9" s="77">
        <f>INDEX('eskom production 2009-YTD'!$J$66:$T$80,MATCH($C9,'eskom production 2009-YTD'!$A$66:$A$80,0),MATCH(AK$7,'eskom production 2009-YTD'!$J$65:$Q$65,0))/1000</f>
        <v>1.4810000000000001</v>
      </c>
      <c r="AL9" s="77">
        <f>DecomSchedule!O4</f>
        <v>1.4810000000000001</v>
      </c>
      <c r="AM9" s="77">
        <f>DecomSchedule!P4</f>
        <v>1.4810000000000001</v>
      </c>
      <c r="AN9" s="77">
        <f>DecomSchedule!Q4</f>
        <v>1.4810000000000001</v>
      </c>
      <c r="AO9" s="77">
        <f>DecomSchedule!R4</f>
        <v>1.4810000000000001</v>
      </c>
      <c r="AP9" s="77">
        <f>DecomSchedule!S4</f>
        <v>1.4810000000000001</v>
      </c>
      <c r="AQ9" s="77">
        <f>DecomSchedule!T4</f>
        <v>1.1107500000000001</v>
      </c>
      <c r="AR9" s="77">
        <f>DecomSchedule!U4</f>
        <v>0.74050000000000016</v>
      </c>
      <c r="AS9" s="77">
        <f>DecomSchedule!V4</f>
        <v>0.37025000000000013</v>
      </c>
      <c r="AT9" s="77">
        <f>DecomSchedule!W4</f>
        <v>0</v>
      </c>
      <c r="AU9" s="77">
        <f>DecomSchedule!X4</f>
        <v>0</v>
      </c>
      <c r="AV9" s="77">
        <f>DecomSchedule!Y4</f>
        <v>0</v>
      </c>
      <c r="AW9" s="77">
        <f>DecomSchedule!Z4</f>
        <v>0</v>
      </c>
      <c r="AX9" s="77">
        <f>DecomSchedule!AA4</f>
        <v>0</v>
      </c>
      <c r="AY9" s="77">
        <f>DecomSchedule!AB4</f>
        <v>0</v>
      </c>
      <c r="AZ9" s="77">
        <f>DecomSchedule!AC4</f>
        <v>0</v>
      </c>
      <c r="BA9" s="77">
        <f>DecomSchedule!AD4</f>
        <v>0</v>
      </c>
      <c r="BB9" s="77">
        <f>DecomSchedule!AE4</f>
        <v>0</v>
      </c>
      <c r="BC9" s="77">
        <f>DecomSchedule!AF4</f>
        <v>0</v>
      </c>
      <c r="BD9" s="77">
        <f>DecomSchedule!AG4</f>
        <v>0</v>
      </c>
      <c r="BE9" s="77">
        <f>DecomSchedule!AH4</f>
        <v>0</v>
      </c>
      <c r="BF9" s="77">
        <f>DecomSchedule!AI4</f>
        <v>0</v>
      </c>
      <c r="BG9" s="77">
        <f>INDEX(DecomSchedule!$AJ4:$AS4,1,MATCH(BG$7,DecomSchedule!$AJ$3:$AS$3,0))</f>
        <v>0</v>
      </c>
      <c r="BH9" s="77">
        <f>INDEX(DecomSchedule!$AJ4:$AS4,1,MATCH(BH$7,DecomSchedule!$AJ$3:$AS$3,0))</f>
        <v>0</v>
      </c>
      <c r="BI9" s="77">
        <v>0</v>
      </c>
      <c r="BJ9" s="77">
        <v>0</v>
      </c>
    </row>
    <row r="10" spans="1:62"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7.4268904506673925</v>
      </c>
      <c r="K10" s="58">
        <f>INDEX(ElecBY!$O$82:$O$103,MATCH(B10,ElecBY!$D$82:$D$103,0))</f>
        <v>309.48734235538109</v>
      </c>
      <c r="L10" s="58">
        <f>INDEX(ElecBY!$K$82:$K$103,MATCH(B10,ElecBY!$D$82:$D$103,0))</f>
        <v>7328.9464331137997</v>
      </c>
      <c r="M10" s="72">
        <v>30</v>
      </c>
      <c r="N10" s="49">
        <v>31.536000000000001</v>
      </c>
      <c r="O10" s="49">
        <v>1</v>
      </c>
      <c r="P10" s="56">
        <v>5</v>
      </c>
      <c r="Q10" s="56">
        <v>0</v>
      </c>
      <c r="R10" s="74">
        <f>INDEX('eskom production 2009-YTD'!$J$84:$T$99,MATCH($C10,'eskom production 2009-YTD'!$A$84:$A$99,0),MATCH(R$7,'eskom production 2009-YTD'!$J$65:$T$65,0))</f>
        <v>0.57508902014997276</v>
      </c>
      <c r="S10" s="74">
        <f>INDEX('eskom production 2009-YTD'!$J$84:$T$99,MATCH($C10,'eskom production 2009-YTD'!$A$84:$A$99,0),MATCH(S$7,'eskom production 2009-YTD'!$J$65:$T$65,0))</f>
        <v>0.36749690039180255</v>
      </c>
      <c r="T10" s="74">
        <f>INDEX('eskom production 2009-YTD'!$J$84:$T$99,MATCH($C10,'eskom production 2009-YTD'!$A$84:$A$99,0),MATCH(T$7,'eskom production 2009-YTD'!$J$65:$T$65,0))</f>
        <v>0.38403426090943366</v>
      </c>
      <c r="U10" s="74">
        <f>T10</f>
        <v>0.38403426090943366</v>
      </c>
      <c r="V10" s="74">
        <f>INDEX('eskom production 2009-YTD'!$J$84:$T$99,MATCH($C10,'eskom production 2009-YTD'!$A$84:$A$99,0),MATCH(V$7,'eskom production 2009-YTD'!$J$65:$T$65,0))</f>
        <v>0</v>
      </c>
      <c r="W10" s="74">
        <f t="shared" si="1"/>
        <v>0.57508902014997276</v>
      </c>
      <c r="X10" s="74">
        <f t="shared" si="2"/>
        <v>0.36749690039180255</v>
      </c>
      <c r="Y10" s="74">
        <v>0.38</v>
      </c>
      <c r="Z10" s="74"/>
      <c r="AA10" s="56">
        <v>277.77800000000002</v>
      </c>
      <c r="AB10" s="74">
        <f t="shared" ref="AB10:AB22" si="3">AB9</f>
        <v>96.25</v>
      </c>
      <c r="AC10" s="74">
        <f t="shared" ref="AC10:AC22" si="4">AC9</f>
        <v>1E-3</v>
      </c>
      <c r="AD10" s="76">
        <f t="shared" ref="AD10:AD22" si="5">AD9</f>
        <v>1.5E-3</v>
      </c>
      <c r="AE10" s="74">
        <f t="shared" ref="AE10:AE22" si="6">AE9</f>
        <v>0.62619999999999998</v>
      </c>
      <c r="AF10" s="74">
        <f t="shared" ref="AF10:AF22" si="7">AF9</f>
        <v>0.3</v>
      </c>
      <c r="AG10" s="74">
        <f t="shared" ref="AG10:AG22" si="8">AG9</f>
        <v>0.02</v>
      </c>
      <c r="AH10" s="74">
        <f t="shared" ref="AH10:AH22" si="9">AH9</f>
        <v>5.0000000000000001E-3</v>
      </c>
      <c r="AI10" s="77">
        <f>INDEX('eskom production 2009-YTD'!$J$66:$T$80,MATCH($C10,'eskom production 2009-YTD'!$A$66:$A$80,0),MATCH(AI$7,'eskom production 2009-YTD'!$J$65:$Q$65,0))/1000</f>
        <v>1.0900000000000001</v>
      </c>
      <c r="AJ10" s="77">
        <f>INDEX('eskom production 2009-YTD'!$J$66:$T$80,MATCH($C10,'eskom production 2009-YTD'!$A$66:$A$80,0),MATCH(AJ$7,'eskom production 2009-YTD'!$J$65:$Q$65,0))/1000</f>
        <v>1.1200000000000001</v>
      </c>
      <c r="AK10" s="77">
        <f>INDEX('eskom production 2009-YTD'!$J$66:$T$80,MATCH($C10,'eskom production 2009-YTD'!$A$66:$A$80,0),MATCH(AK$7,'eskom production 2009-YTD'!$J$65:$Q$65,0))/1000</f>
        <v>0.56999999999999995</v>
      </c>
      <c r="AL10" s="77">
        <f>DecomSchedule!O5</f>
        <v>0.56999999999999995</v>
      </c>
      <c r="AM10" s="77">
        <f>DecomSchedule!P5</f>
        <v>0.19</v>
      </c>
      <c r="AN10" s="77">
        <f>DecomSchedule!Q5</f>
        <v>0</v>
      </c>
      <c r="AO10" s="77">
        <f>DecomSchedule!R5</f>
        <v>0</v>
      </c>
      <c r="AP10" s="77">
        <f>DecomSchedule!S5</f>
        <v>0</v>
      </c>
      <c r="AQ10" s="77">
        <f>DecomSchedule!T5</f>
        <v>0</v>
      </c>
      <c r="AR10" s="77">
        <f>DecomSchedule!U5</f>
        <v>0</v>
      </c>
      <c r="AS10" s="77">
        <f>DecomSchedule!V5</f>
        <v>0</v>
      </c>
      <c r="AT10" s="77">
        <f>DecomSchedule!W5</f>
        <v>0</v>
      </c>
      <c r="AU10" s="77">
        <f>DecomSchedule!X5</f>
        <v>0</v>
      </c>
      <c r="AV10" s="77">
        <f>DecomSchedule!Y5</f>
        <v>0</v>
      </c>
      <c r="AW10" s="77">
        <f>DecomSchedule!Z5</f>
        <v>0</v>
      </c>
      <c r="AX10" s="77">
        <f>DecomSchedule!AA5</f>
        <v>0</v>
      </c>
      <c r="AY10" s="77">
        <f>DecomSchedule!AB5</f>
        <v>0</v>
      </c>
      <c r="AZ10" s="77">
        <f>DecomSchedule!AC5</f>
        <v>0</v>
      </c>
      <c r="BA10" s="77">
        <f>DecomSchedule!AD5</f>
        <v>0</v>
      </c>
      <c r="BB10" s="77">
        <f>DecomSchedule!AE5</f>
        <v>0</v>
      </c>
      <c r="BC10" s="77">
        <f>DecomSchedule!AF5</f>
        <v>0</v>
      </c>
      <c r="BD10" s="77">
        <f>DecomSchedule!AG5</f>
        <v>0</v>
      </c>
      <c r="BE10" s="77">
        <f>DecomSchedule!AH5</f>
        <v>0</v>
      </c>
      <c r="BF10" s="77">
        <f>DecomSchedule!AI5</f>
        <v>0</v>
      </c>
      <c r="BG10" s="77">
        <f>INDEX(DecomSchedule!$AJ5:$AS5,1,MATCH(BG$7,DecomSchedule!$AJ$3:$AS$3,0))</f>
        <v>0</v>
      </c>
      <c r="BH10" s="77">
        <f>INDEX(DecomSchedule!$AJ5:$AS5,1,MATCH(BH$7,DecomSchedule!$AJ$3:$AS$3,0))</f>
        <v>0</v>
      </c>
      <c r="BI10" s="77">
        <v>0</v>
      </c>
      <c r="BJ10" s="77">
        <v>0</v>
      </c>
    </row>
    <row r="11" spans="1:62"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7.4268904506673925</v>
      </c>
      <c r="K11" s="58">
        <f>INDEX(ElecBY!$O$82:$O$103,MATCH(B11,ElecBY!$D$82:$D$103,0))</f>
        <v>309.48734235538109</v>
      </c>
      <c r="L11" s="58">
        <f>INDEX(ElecBY!$K$82:$K$103,MATCH(B11,ElecBY!$D$82:$D$103,0))</f>
        <v>7328.9464331138006</v>
      </c>
      <c r="M11" s="72">
        <v>30</v>
      </c>
      <c r="N11" s="49">
        <v>31.536000000000001</v>
      </c>
      <c r="O11" s="49">
        <v>1</v>
      </c>
      <c r="P11" s="56">
        <v>5</v>
      </c>
      <c r="Q11" s="56">
        <v>0</v>
      </c>
      <c r="R11" s="74">
        <f>INDEX('eskom production 2009-YTD'!$J$84:$T$99,MATCH($C11,'eskom production 2009-YTD'!$A$84:$A$99,0),MATCH(R$7,'eskom production 2009-YTD'!$J$65:$T$65,0))</f>
        <v>0.59229473702440127</v>
      </c>
      <c r="S11" s="74">
        <f>INDEX('eskom production 2009-YTD'!$J$84:$T$99,MATCH($C11,'eskom production 2009-YTD'!$A$84:$A$99,0),MATCH(S$7,'eskom production 2009-YTD'!$J$65:$T$65,0))</f>
        <v>0.33923410885870708</v>
      </c>
      <c r="T11" s="74">
        <f>INDEX('eskom production 2009-YTD'!$J$84:$T$99,MATCH($C11,'eskom production 2009-YTD'!$A$84:$A$99,0),MATCH(T$7,'eskom production 2009-YTD'!$J$65:$T$65,0))</f>
        <v>0.35449964375734888</v>
      </c>
      <c r="U11" s="77">
        <f>T11</f>
        <v>0.35449964375734888</v>
      </c>
      <c r="V11" s="74">
        <f>INDEX('eskom production 2009-YTD'!$J$84:$T$99,MATCH($C11,'eskom production 2009-YTD'!$A$84:$A$99,0),MATCH(V$7,'eskom production 2009-YTD'!$J$65:$T$65,0))</f>
        <v>0</v>
      </c>
      <c r="W11" s="74">
        <f t="shared" si="1"/>
        <v>0.59229473702440127</v>
      </c>
      <c r="X11" s="74">
        <f t="shared" si="2"/>
        <v>0.33923410885870708</v>
      </c>
      <c r="Y11" s="74">
        <v>0.35</v>
      </c>
      <c r="Z11" s="74"/>
      <c r="AA11" s="56">
        <v>277.77800000000002</v>
      </c>
      <c r="AB11" s="74">
        <f t="shared" si="3"/>
        <v>96.25</v>
      </c>
      <c r="AC11" s="74">
        <f t="shared" si="4"/>
        <v>1E-3</v>
      </c>
      <c r="AD11" s="76">
        <f t="shared" si="5"/>
        <v>1.5E-3</v>
      </c>
      <c r="AE11" s="74">
        <f t="shared" si="6"/>
        <v>0.62619999999999998</v>
      </c>
      <c r="AF11" s="74">
        <f t="shared" si="7"/>
        <v>0.3</v>
      </c>
      <c r="AG11" s="74">
        <f t="shared" si="8"/>
        <v>0.02</v>
      </c>
      <c r="AH11" s="74">
        <f t="shared" si="9"/>
        <v>5.0000000000000001E-3</v>
      </c>
      <c r="AI11" s="77">
        <f>INDEX('eskom production 2009-YTD'!$J$66:$T$80,MATCH($C11,'eskom production 2009-YTD'!$A$66:$A$80,0),MATCH(AI$7,'eskom production 2009-YTD'!$J$65:$Q$65,0))/1000</f>
        <v>0.79100000000000004</v>
      </c>
      <c r="AJ11" s="77">
        <f>INDEX('eskom production 2009-YTD'!$J$66:$T$80,MATCH($C11,'eskom production 2009-YTD'!$A$66:$A$80,0),MATCH(AJ$7,'eskom production 2009-YTD'!$J$65:$Q$65,0))/1000</f>
        <v>0.90400000000000003</v>
      </c>
      <c r="AK11" s="77">
        <f>INDEX('eskom production 2009-YTD'!$J$66:$T$80,MATCH($C11,'eskom production 2009-YTD'!$A$66:$A$80,0),MATCH(AK$7,'eskom production 2009-YTD'!$J$65:$Q$65,0))/1000</f>
        <v>0.41</v>
      </c>
      <c r="AL11" s="77">
        <f>DecomSchedule!O6</f>
        <v>0.20499999999999999</v>
      </c>
      <c r="AM11" s="77">
        <f>DecomSchedule!P6</f>
        <v>0.10249999999999999</v>
      </c>
      <c r="AN11" s="77">
        <f>DecomSchedule!Q6</f>
        <v>0</v>
      </c>
      <c r="AO11" s="77">
        <f>DecomSchedule!R6</f>
        <v>0</v>
      </c>
      <c r="AP11" s="77">
        <f>DecomSchedule!S6</f>
        <v>0</v>
      </c>
      <c r="AQ11" s="77">
        <f>DecomSchedule!T6</f>
        <v>0</v>
      </c>
      <c r="AR11" s="77">
        <f>DecomSchedule!U6</f>
        <v>0</v>
      </c>
      <c r="AS11" s="77">
        <f>DecomSchedule!V6</f>
        <v>0</v>
      </c>
      <c r="AT11" s="77">
        <f>DecomSchedule!W6</f>
        <v>0</v>
      </c>
      <c r="AU11" s="77">
        <f>DecomSchedule!X6</f>
        <v>0</v>
      </c>
      <c r="AV11" s="77">
        <f>DecomSchedule!Y6</f>
        <v>0</v>
      </c>
      <c r="AW11" s="77">
        <f>DecomSchedule!Z6</f>
        <v>0</v>
      </c>
      <c r="AX11" s="77">
        <f>DecomSchedule!AA6</f>
        <v>0</v>
      </c>
      <c r="AY11" s="77">
        <f>DecomSchedule!AB6</f>
        <v>0</v>
      </c>
      <c r="AZ11" s="77">
        <f>DecomSchedule!AC6</f>
        <v>0</v>
      </c>
      <c r="BA11" s="77">
        <f>DecomSchedule!AD6</f>
        <v>0</v>
      </c>
      <c r="BB11" s="77">
        <f>DecomSchedule!AE6</f>
        <v>0</v>
      </c>
      <c r="BC11" s="77">
        <f>DecomSchedule!AF6</f>
        <v>0</v>
      </c>
      <c r="BD11" s="77">
        <f>DecomSchedule!AG6</f>
        <v>0</v>
      </c>
      <c r="BE11" s="77">
        <f>DecomSchedule!AH6</f>
        <v>0</v>
      </c>
      <c r="BF11" s="77">
        <f>DecomSchedule!AI6</f>
        <v>0</v>
      </c>
      <c r="BG11" s="77">
        <f>INDEX(DecomSchedule!$AJ6:$AS6,1,MATCH(BG$7,DecomSchedule!$AJ$3:$AS$3,0))</f>
        <v>0</v>
      </c>
      <c r="BH11" s="77">
        <f>INDEX(DecomSchedule!$AJ6:$AS6,1,MATCH(BH$7,DecomSchedule!$AJ$3:$AS$3,0))</f>
        <v>0</v>
      </c>
      <c r="BI11" s="77">
        <v>0</v>
      </c>
      <c r="BJ11" s="77">
        <v>0</v>
      </c>
    </row>
    <row r="12" spans="1:62"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7.4268904506673925</v>
      </c>
      <c r="K12" s="58">
        <f>INDEX(ElecBY!$O$82:$O$103,MATCH(B12,ElecBY!$D$82:$D$103,0))</f>
        <v>309.48734235538109</v>
      </c>
      <c r="L12" s="58">
        <f>INDEX(ElecBY!$K$82:$K$103,MATCH(B12,ElecBY!$D$82:$D$103,0))</f>
        <v>7328.9464331137997</v>
      </c>
      <c r="M12" s="72">
        <v>30</v>
      </c>
      <c r="N12" s="49">
        <v>31.536000000000001</v>
      </c>
      <c r="O12" s="49">
        <v>1</v>
      </c>
      <c r="P12" s="56">
        <v>5</v>
      </c>
      <c r="Q12" s="56">
        <v>0</v>
      </c>
      <c r="R12" s="74">
        <f>INDEX('eskom production 2009-YTD'!$J$84:$T$99,MATCH($C12,'eskom production 2009-YTD'!$A$84:$A$99,0),MATCH(R$7,'eskom production 2009-YTD'!$J$65:$T$65,0))</f>
        <v>0.61122143050031918</v>
      </c>
      <c r="S12" s="74">
        <f>INDEX('eskom production 2009-YTD'!$J$84:$T$99,MATCH($C12,'eskom production 2009-YTD'!$A$84:$A$99,0),MATCH(S$7,'eskom production 2009-YTD'!$J$65:$T$65,0))</f>
        <v>0.52901509650216993</v>
      </c>
      <c r="T12" s="74">
        <f>INDEX('eskom production 2009-YTD'!$J$84:$T$99,MATCH($C12,'eskom production 2009-YTD'!$A$84:$A$99,0),MATCH(T$7,'eskom production 2009-YTD'!$J$65:$T$65,0))</f>
        <v>0.55282077584476752</v>
      </c>
      <c r="U12" s="74">
        <f>INDEX('eskom production 2009-YTD'!$J$84:$T$99,MATCH($C12,'eskom production 2009-YTD'!$A$84:$A$99,0),MATCH(U$7,'eskom production 2009-YTD'!$J$65:$T$65,0))</f>
        <v>0.65500000000000003</v>
      </c>
      <c r="V12" s="74">
        <f>INDEX('eskom production 2009-YTD'!$J$84:$T$99,MATCH($C12,'eskom production 2009-YTD'!$A$84:$A$99,0),MATCH(V$7,'eskom production 2009-YTD'!$J$65:$T$65,0))</f>
        <v>0.54579999999999995</v>
      </c>
      <c r="W12" s="74">
        <f t="shared" si="1"/>
        <v>0.61122143050031918</v>
      </c>
      <c r="X12" s="74">
        <f t="shared" si="2"/>
        <v>0.52901509650216993</v>
      </c>
      <c r="Y12" s="74">
        <v>0.4</v>
      </c>
      <c r="Z12" s="74"/>
      <c r="AA12" s="56">
        <v>277.77800000000002</v>
      </c>
      <c r="AB12" s="74">
        <f t="shared" si="3"/>
        <v>96.25</v>
      </c>
      <c r="AC12" s="74">
        <f t="shared" si="4"/>
        <v>1E-3</v>
      </c>
      <c r="AD12" s="76">
        <f t="shared" si="5"/>
        <v>1.5E-3</v>
      </c>
      <c r="AE12" s="74">
        <f t="shared" si="6"/>
        <v>0.62619999999999998</v>
      </c>
      <c r="AF12" s="74">
        <f t="shared" si="7"/>
        <v>0.3</v>
      </c>
      <c r="AG12" s="74">
        <f t="shared" si="8"/>
        <v>0.02</v>
      </c>
      <c r="AH12" s="74">
        <f t="shared" si="9"/>
        <v>5.0000000000000001E-3</v>
      </c>
      <c r="AI12" s="77">
        <f>INDEX('eskom production 2009-YTD'!$J$66:$T$80,MATCH($C12,'eskom production 2009-YTD'!$A$66:$A$80,0),MATCH(AI$7,'eskom production 2009-YTD'!$J$65:$Q$65,0))/1000</f>
        <v>2.2320000000000002</v>
      </c>
      <c r="AJ12" s="77">
        <f>INDEX('eskom production 2009-YTD'!$J$66:$T$80,MATCH($C12,'eskom production 2009-YTD'!$A$66:$A$80,0),MATCH(AJ$7,'eskom production 2009-YTD'!$J$65:$Q$65,0))/1000</f>
        <v>2.2320000000000002</v>
      </c>
      <c r="AK12" s="77">
        <f>INDEX('eskom production 2009-YTD'!$J$66:$T$80,MATCH($C12,'eskom production 2009-YTD'!$A$66:$A$80,0),MATCH(AK$7,'eskom production 2009-YTD'!$J$65:$Q$65,0))/1000</f>
        <v>2.2320000000000002</v>
      </c>
      <c r="AL12" s="77">
        <f>DecomSchedule!O7</f>
        <v>2.2320000000000002</v>
      </c>
      <c r="AM12" s="77">
        <f>DecomSchedule!P7</f>
        <v>1.86</v>
      </c>
      <c r="AN12" s="77">
        <f>DecomSchedule!Q7</f>
        <v>1.86</v>
      </c>
      <c r="AO12" s="77">
        <f>DecomSchedule!R7</f>
        <v>1.86</v>
      </c>
      <c r="AP12" s="77">
        <f>DecomSchedule!S7</f>
        <v>1.86</v>
      </c>
      <c r="AQ12" s="77">
        <f>DecomSchedule!T7</f>
        <v>1.86</v>
      </c>
      <c r="AR12" s="77">
        <f>DecomSchedule!U7</f>
        <v>1.1160000000000001</v>
      </c>
      <c r="AS12" s="77">
        <f>DecomSchedule!V7</f>
        <v>0.74399999999999999</v>
      </c>
      <c r="AT12" s="77">
        <f>DecomSchedule!W7</f>
        <v>0.74399999999999999</v>
      </c>
      <c r="AU12" s="77">
        <f>DecomSchedule!X7</f>
        <v>0</v>
      </c>
      <c r="AV12" s="77">
        <f>DecomSchedule!Y7</f>
        <v>0</v>
      </c>
      <c r="AW12" s="77">
        <f>DecomSchedule!Z7</f>
        <v>0</v>
      </c>
      <c r="AX12" s="77">
        <f>DecomSchedule!AA7</f>
        <v>0</v>
      </c>
      <c r="AY12" s="77">
        <f>DecomSchedule!AB7</f>
        <v>0</v>
      </c>
      <c r="AZ12" s="77">
        <f>DecomSchedule!AC7</f>
        <v>0</v>
      </c>
      <c r="BA12" s="77">
        <f>DecomSchedule!AD7</f>
        <v>0</v>
      </c>
      <c r="BB12" s="77">
        <f>DecomSchedule!AE7</f>
        <v>0</v>
      </c>
      <c r="BC12" s="77">
        <f>DecomSchedule!AF7</f>
        <v>0</v>
      </c>
      <c r="BD12" s="77">
        <f>DecomSchedule!AG7</f>
        <v>0</v>
      </c>
      <c r="BE12" s="77">
        <f>DecomSchedule!AH7</f>
        <v>0</v>
      </c>
      <c r="BF12" s="77">
        <f>DecomSchedule!AI7</f>
        <v>0</v>
      </c>
      <c r="BG12" s="77">
        <f>INDEX(DecomSchedule!$AJ7:$AS7,1,MATCH(BG$7,DecomSchedule!$AJ$3:$AS$3,0))</f>
        <v>0</v>
      </c>
      <c r="BH12" s="77">
        <f>INDEX(DecomSchedule!$AJ7:$AS7,1,MATCH(BH$7,DecomSchedule!$AJ$3:$AS$3,0))</f>
        <v>0</v>
      </c>
      <c r="BI12" s="77">
        <v>0</v>
      </c>
      <c r="BJ12" s="77">
        <v>0</v>
      </c>
    </row>
    <row r="13" spans="1:62"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7.4268904506673925</v>
      </c>
      <c r="K13" s="58">
        <f>INDEX(ElecBY!$O$82:$O$103,MATCH(B13,ElecBY!$D$82:$D$103,0))</f>
        <v>309.48734235538109</v>
      </c>
      <c r="L13" s="58">
        <f>INDEX(ElecBY!$K$82:$K$103,MATCH(B13,ElecBY!$D$82:$D$103,0))</f>
        <v>7328.9464331137997</v>
      </c>
      <c r="M13" s="72">
        <v>30</v>
      </c>
      <c r="N13" s="49">
        <v>31.536000000000001</v>
      </c>
      <c r="O13" s="49">
        <v>1</v>
      </c>
      <c r="P13" s="56">
        <v>5</v>
      </c>
      <c r="Q13" s="56">
        <v>0</v>
      </c>
      <c r="R13" s="74">
        <f>INDEX('eskom production 2009-YTD'!$J$84:$T$99,MATCH($C13,'eskom production 2009-YTD'!$A$84:$A$99,0),MATCH(R$7,'eskom production 2009-YTD'!$J$65:$T$65,0))</f>
        <v>0.57620157501158098</v>
      </c>
      <c r="S13" s="74">
        <f>INDEX('eskom production 2009-YTD'!$J$84:$T$99,MATCH($C13,'eskom production 2009-YTD'!$A$84:$A$99,0),MATCH(S$7,'eskom production 2009-YTD'!$J$65:$T$65,0))</f>
        <v>0.5492283190063032</v>
      </c>
      <c r="T13" s="74">
        <f>INDEX('eskom production 2009-YTD'!$J$84:$T$99,MATCH($C13,'eskom production 2009-YTD'!$A$84:$A$99,0),MATCH(T$7,'eskom production 2009-YTD'!$J$65:$T$65,0))</f>
        <v>0.57394359336158685</v>
      </c>
      <c r="U13" s="74">
        <f>INDEX('eskom production 2009-YTD'!$J$84:$T$99,MATCH($C13,'eskom production 2009-YTD'!$A$84:$A$99,0),MATCH(U$7,'eskom production 2009-YTD'!$J$65:$T$65,0))</f>
        <v>0.61119999999999997</v>
      </c>
      <c r="V13" s="74">
        <f>INDEX('eskom production 2009-YTD'!$J$84:$T$99,MATCH($C13,'eskom production 2009-YTD'!$A$84:$A$99,0),MATCH(V$7,'eskom production 2009-YTD'!$J$65:$T$65,0))</f>
        <v>0.60209999999999997</v>
      </c>
      <c r="W13" s="74">
        <f t="shared" si="1"/>
        <v>0.57620157501158098</v>
      </c>
      <c r="X13" s="74">
        <f t="shared" si="2"/>
        <v>0.5492283190063032</v>
      </c>
      <c r="Y13" s="74">
        <v>0.4</v>
      </c>
      <c r="Z13" s="74"/>
      <c r="AA13" s="56">
        <v>277.77800000000002</v>
      </c>
      <c r="AB13" s="74">
        <f t="shared" si="3"/>
        <v>96.25</v>
      </c>
      <c r="AC13" s="74">
        <f t="shared" si="4"/>
        <v>1E-3</v>
      </c>
      <c r="AD13" s="76">
        <f t="shared" si="5"/>
        <v>1.5E-3</v>
      </c>
      <c r="AE13" s="74">
        <f t="shared" si="6"/>
        <v>0.62619999999999998</v>
      </c>
      <c r="AF13" s="74">
        <f t="shared" si="7"/>
        <v>0.3</v>
      </c>
      <c r="AG13" s="74">
        <f t="shared" si="8"/>
        <v>0.02</v>
      </c>
      <c r="AH13" s="74">
        <f t="shared" si="9"/>
        <v>5.0000000000000001E-3</v>
      </c>
      <c r="AI13" s="77">
        <f>INDEX('eskom production 2009-YTD'!$J$66:$T$80,MATCH($C13,'eskom production 2009-YTD'!$A$66:$A$80,0),MATCH(AI$7,'eskom production 2009-YTD'!$J$65:$Q$65,0))/1000</f>
        <v>3.45</v>
      </c>
      <c r="AJ13" s="77">
        <f>INDEX('eskom production 2009-YTD'!$J$66:$T$80,MATCH($C13,'eskom production 2009-YTD'!$A$66:$A$80,0),MATCH(AJ$7,'eskom production 2009-YTD'!$J$65:$Q$65,0))/1000</f>
        <v>2.875</v>
      </c>
      <c r="AK13" s="77">
        <f>INDEX('eskom production 2009-YTD'!$J$66:$T$80,MATCH($C13,'eskom production 2009-YTD'!$A$66:$A$80,0),MATCH(AK$7,'eskom production 2009-YTD'!$J$65:$Q$65,0))/1000</f>
        <v>2.875</v>
      </c>
      <c r="AL13" s="77">
        <f>DecomSchedule!O8</f>
        <v>2.875</v>
      </c>
      <c r="AM13" s="77">
        <f>DecomSchedule!P8</f>
        <v>2.875</v>
      </c>
      <c r="AN13" s="77">
        <f>DecomSchedule!Q8</f>
        <v>2.875</v>
      </c>
      <c r="AO13" s="77">
        <f>DecomSchedule!R8</f>
        <v>2.875</v>
      </c>
      <c r="AP13" s="77">
        <f>DecomSchedule!S8</f>
        <v>2.875</v>
      </c>
      <c r="AQ13" s="77">
        <f>DecomSchedule!T8</f>
        <v>2.875</v>
      </c>
      <c r="AR13" s="77">
        <f>DecomSchedule!U8</f>
        <v>2.875</v>
      </c>
      <c r="AS13" s="77">
        <f>DecomSchedule!V8</f>
        <v>2.875</v>
      </c>
      <c r="AT13" s="77">
        <f>DecomSchedule!W8</f>
        <v>2.875</v>
      </c>
      <c r="AU13" s="77">
        <f>DecomSchedule!X8</f>
        <v>2.875</v>
      </c>
      <c r="AV13" s="77">
        <f>DecomSchedule!Y8</f>
        <v>2.875</v>
      </c>
      <c r="AW13" s="77">
        <f>DecomSchedule!Z8</f>
        <v>1.9166666666666665</v>
      </c>
      <c r="AX13" s="77">
        <f>DecomSchedule!AA8</f>
        <v>1.4374999999999998</v>
      </c>
      <c r="AY13" s="77">
        <f>DecomSchedule!AB8</f>
        <v>0.47916666666666641</v>
      </c>
      <c r="AZ13" s="77">
        <f>DecomSchedule!AC8</f>
        <v>0</v>
      </c>
      <c r="BA13" s="77">
        <f>DecomSchedule!AD8</f>
        <v>0</v>
      </c>
      <c r="BB13" s="77">
        <f>DecomSchedule!AE8</f>
        <v>0</v>
      </c>
      <c r="BC13" s="77">
        <f>DecomSchedule!AF8</f>
        <v>0</v>
      </c>
      <c r="BD13" s="77">
        <f>DecomSchedule!AG8</f>
        <v>0</v>
      </c>
      <c r="BE13" s="77">
        <f>DecomSchedule!AH8</f>
        <v>0</v>
      </c>
      <c r="BF13" s="77">
        <f>DecomSchedule!AI8</f>
        <v>0</v>
      </c>
      <c r="BG13" s="77">
        <f>INDEX(DecomSchedule!$AJ8:$AS8,1,MATCH(BG$7,DecomSchedule!$AJ$3:$AS$3,0))</f>
        <v>0</v>
      </c>
      <c r="BH13" s="77">
        <f>INDEX(DecomSchedule!$AJ8:$AS8,1,MATCH(BH$7,DecomSchedule!$AJ$3:$AS$3,0))</f>
        <v>0</v>
      </c>
      <c r="BI13" s="77">
        <v>0</v>
      </c>
      <c r="BJ13" s="77">
        <v>0</v>
      </c>
    </row>
    <row r="14" spans="1:62"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7.4268904506673925</v>
      </c>
      <c r="K14" s="58">
        <f>INDEX(ElecBY!$O$82:$O$103,MATCH(B14,ElecBY!$D$82:$D$103,0))</f>
        <v>309.48734235538109</v>
      </c>
      <c r="L14" s="58">
        <f>INDEX(ElecBY!$K$82:$K$103,MATCH(B14,ElecBY!$D$82:$D$103,0))</f>
        <v>7328.9464331138006</v>
      </c>
      <c r="M14" s="72">
        <v>30</v>
      </c>
      <c r="N14" s="49">
        <v>31.536000000000001</v>
      </c>
      <c r="O14" s="49">
        <v>1</v>
      </c>
      <c r="P14" s="56">
        <v>5</v>
      </c>
      <c r="Q14" s="56">
        <v>0</v>
      </c>
      <c r="R14" s="74">
        <f>INDEX('eskom production 2009-YTD'!$J$84:$T$99,MATCH($C14,'eskom production 2009-YTD'!$A$84:$A$99,0),MATCH(R$7,'eskom production 2009-YTD'!$J$65:$T$65,0))</f>
        <v>0.58083642440045535</v>
      </c>
      <c r="S14" s="74">
        <f>INDEX('eskom production 2009-YTD'!$J$84:$T$99,MATCH($C14,'eskom production 2009-YTD'!$A$84:$A$99,0),MATCH(S$7,'eskom production 2009-YTD'!$J$65:$T$65,0))</f>
        <v>0.55583709036115203</v>
      </c>
      <c r="T14" s="74">
        <f>INDEX('eskom production 2009-YTD'!$J$84:$T$99,MATCH($C14,'eskom production 2009-YTD'!$A$84:$A$99,0),MATCH(T$7,'eskom production 2009-YTD'!$J$65:$T$65,0))</f>
        <v>0.5808497594274038</v>
      </c>
      <c r="U14" s="74">
        <f>INDEX('eskom production 2009-YTD'!$J$84:$T$99,MATCH($C14,'eskom production 2009-YTD'!$A$84:$A$99,0),MATCH(U$7,'eskom production 2009-YTD'!$J$65:$T$65,0))</f>
        <v>0.60929999999999995</v>
      </c>
      <c r="V14" s="74">
        <f>INDEX('eskom production 2009-YTD'!$J$84:$T$99,MATCH($C14,'eskom production 2009-YTD'!$A$84:$A$99,0),MATCH(V$7,'eskom production 2009-YTD'!$J$65:$T$65,0))</f>
        <v>0</v>
      </c>
      <c r="W14" s="74">
        <f t="shared" si="1"/>
        <v>0.58083642440045535</v>
      </c>
      <c r="X14" s="74">
        <f t="shared" si="2"/>
        <v>0.55583709036115203</v>
      </c>
      <c r="Y14" s="74">
        <v>0.4</v>
      </c>
      <c r="Z14" s="74"/>
      <c r="AA14" s="56">
        <v>277.77800000000002</v>
      </c>
      <c r="AB14" s="74">
        <f t="shared" si="3"/>
        <v>96.25</v>
      </c>
      <c r="AC14" s="74">
        <f t="shared" si="4"/>
        <v>1E-3</v>
      </c>
      <c r="AD14" s="76">
        <f t="shared" si="5"/>
        <v>1.5E-3</v>
      </c>
      <c r="AE14" s="74">
        <f t="shared" si="6"/>
        <v>0.62619999999999998</v>
      </c>
      <c r="AF14" s="74">
        <f t="shared" si="7"/>
        <v>0.3</v>
      </c>
      <c r="AG14" s="74">
        <f t="shared" si="8"/>
        <v>0.02</v>
      </c>
      <c r="AH14" s="74">
        <f t="shared" si="9"/>
        <v>5.0000000000000001E-3</v>
      </c>
      <c r="AI14" s="77">
        <f>INDEX('eskom production 2009-YTD'!$J$66:$T$80,MATCH($C14,'eskom production 2009-YTD'!$A$66:$A$80,0),MATCH(AI$7,'eskom production 2009-YTD'!$J$65:$Q$65,0))/1000</f>
        <v>1.865</v>
      </c>
      <c r="AJ14" s="77">
        <f>INDEX('eskom production 2009-YTD'!$J$66:$T$80,MATCH($C14,'eskom production 2009-YTD'!$A$66:$A$80,0),MATCH(AJ$7,'eskom production 2009-YTD'!$J$65:$Q$65,0))/1000</f>
        <v>1.6379999999999999</v>
      </c>
      <c r="AK14" s="77">
        <f>INDEX('eskom production 2009-YTD'!$J$66:$T$80,MATCH($C14,'eskom production 2009-YTD'!$A$66:$A$80,0),MATCH(AK$7,'eskom production 2009-YTD'!$J$65:$Q$65,0))/1000</f>
        <v>1.2929999999999999</v>
      </c>
      <c r="AL14" s="77">
        <f>DecomSchedule!O9</f>
        <v>1.2929999999999999</v>
      </c>
      <c r="AM14" s="77">
        <f>DecomSchedule!P9</f>
        <v>1.1082857142857143</v>
      </c>
      <c r="AN14" s="77">
        <f>DecomSchedule!Q9</f>
        <v>0.73885714285714288</v>
      </c>
      <c r="AO14" s="77">
        <f>DecomSchedule!R9</f>
        <v>0.36942857142857149</v>
      </c>
      <c r="AP14" s="77">
        <f>DecomSchedule!S9</f>
        <v>0.36942857142857149</v>
      </c>
      <c r="AQ14" s="77">
        <f>DecomSchedule!T9</f>
        <v>0.1847142857142858</v>
      </c>
      <c r="AR14" s="77">
        <f>DecomSchedule!U9</f>
        <v>0</v>
      </c>
      <c r="AS14" s="77">
        <f>DecomSchedule!V9</f>
        <v>0</v>
      </c>
      <c r="AT14" s="77">
        <f>DecomSchedule!W9</f>
        <v>0</v>
      </c>
      <c r="AU14" s="77">
        <f>DecomSchedule!X9</f>
        <v>0</v>
      </c>
      <c r="AV14" s="77">
        <f>DecomSchedule!Y9</f>
        <v>0</v>
      </c>
      <c r="AW14" s="77">
        <f>DecomSchedule!Z9</f>
        <v>0</v>
      </c>
      <c r="AX14" s="77">
        <f>DecomSchedule!AA9</f>
        <v>0</v>
      </c>
      <c r="AY14" s="77">
        <f>DecomSchedule!AB9</f>
        <v>0</v>
      </c>
      <c r="AZ14" s="77">
        <f>DecomSchedule!AC9</f>
        <v>0</v>
      </c>
      <c r="BA14" s="77">
        <f>DecomSchedule!AD9</f>
        <v>0</v>
      </c>
      <c r="BB14" s="77">
        <f>DecomSchedule!AE9</f>
        <v>0</v>
      </c>
      <c r="BC14" s="77">
        <f>DecomSchedule!AF9</f>
        <v>0</v>
      </c>
      <c r="BD14" s="77">
        <f>DecomSchedule!AG9</f>
        <v>0</v>
      </c>
      <c r="BE14" s="77">
        <f>DecomSchedule!AH9</f>
        <v>0</v>
      </c>
      <c r="BF14" s="77">
        <f>DecomSchedule!AI9</f>
        <v>0</v>
      </c>
      <c r="BG14" s="77">
        <f>INDEX(DecomSchedule!$AJ9:$AS9,1,MATCH(BG$7,DecomSchedule!$AJ$3:$AS$3,0))</f>
        <v>0</v>
      </c>
      <c r="BH14" s="77">
        <f>INDEX(DecomSchedule!$AJ9:$AS9,1,MATCH(BH$7,DecomSchedule!$AJ$3:$AS$3,0))</f>
        <v>0</v>
      </c>
      <c r="BI14" s="77">
        <v>0</v>
      </c>
      <c r="BJ14" s="77">
        <v>0</v>
      </c>
    </row>
    <row r="15" spans="1:62"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7.4268904506673925</v>
      </c>
      <c r="K15" s="58">
        <f>INDEX(ElecBY!$O$82:$O$103,MATCH(B15,ElecBY!$D$82:$D$103,0))</f>
        <v>309.48734235538103</v>
      </c>
      <c r="L15" s="58">
        <f>INDEX(ElecBY!$K$82:$K$103,MATCH(B15,ElecBY!$D$82:$D$103,0))</f>
        <v>7328.9464331137988</v>
      </c>
      <c r="M15" s="72">
        <v>30</v>
      </c>
      <c r="N15" s="49">
        <v>31.536000000000001</v>
      </c>
      <c r="O15" s="49">
        <v>1</v>
      </c>
      <c r="P15" s="56">
        <v>5</v>
      </c>
      <c r="Q15" s="56">
        <v>0</v>
      </c>
      <c r="R15" s="74">
        <f>INDEX('eskom production 2009-YTD'!$J$84:$T$99,MATCH($C15,'eskom production 2009-YTD'!$A$84:$A$99,0),MATCH(R$7,'eskom production 2009-YTD'!$J$65:$T$65,0))</f>
        <v>0.7788275601693303</v>
      </c>
      <c r="S15" s="74">
        <f>INDEX('eskom production 2009-YTD'!$J$84:$T$99,MATCH($C15,'eskom production 2009-YTD'!$A$84:$A$99,0),MATCH(S$7,'eskom production 2009-YTD'!$J$65:$T$65,0))</f>
        <v>0.7392028286823541</v>
      </c>
      <c r="T15" s="74">
        <f>INDEX('eskom production 2009-YTD'!$J$84:$T$99,MATCH($C15,'eskom production 2009-YTD'!$A$84:$A$99,0),MATCH(T$7,'eskom production 2009-YTD'!$J$65:$T$65,0))</f>
        <v>0.77246695597306003</v>
      </c>
      <c r="U15" s="74">
        <f>INDEX('eskom production 2009-YTD'!$J$84:$T$99,MATCH($C15,'eskom production 2009-YTD'!$A$84:$A$99,0),MATCH(U$7,'eskom production 2009-YTD'!$J$65:$T$65,0))</f>
        <v>0.74139999999999995</v>
      </c>
      <c r="V15" s="74">
        <f>INDEX('eskom production 2009-YTD'!$J$84:$T$99,MATCH($C15,'eskom production 2009-YTD'!$A$84:$A$99,0),MATCH(V$7,'eskom production 2009-YTD'!$J$65:$T$65,0))</f>
        <v>0.72940000000000005</v>
      </c>
      <c r="W15" s="74">
        <f t="shared" si="1"/>
        <v>0.7788275601693303</v>
      </c>
      <c r="X15" s="74">
        <f t="shared" si="2"/>
        <v>0.7392028286823541</v>
      </c>
      <c r="Y15" s="74">
        <v>0.4</v>
      </c>
      <c r="Z15" s="74"/>
      <c r="AA15" s="56">
        <v>277.77800000000002</v>
      </c>
      <c r="AB15" s="74">
        <f t="shared" si="3"/>
        <v>96.25</v>
      </c>
      <c r="AC15" s="74">
        <f t="shared" si="4"/>
        <v>1E-3</v>
      </c>
      <c r="AD15" s="76">
        <f t="shared" si="5"/>
        <v>1.5E-3</v>
      </c>
      <c r="AE15" s="74">
        <f t="shared" si="6"/>
        <v>0.62619999999999998</v>
      </c>
      <c r="AF15" s="74">
        <f t="shared" si="7"/>
        <v>0.3</v>
      </c>
      <c r="AG15" s="74">
        <f t="shared" si="8"/>
        <v>0.02</v>
      </c>
      <c r="AH15" s="74">
        <f t="shared" si="9"/>
        <v>5.0000000000000001E-3</v>
      </c>
      <c r="AI15" s="77">
        <f>INDEX('eskom production 2009-YTD'!$J$66:$T$80,MATCH($C15,'eskom production 2009-YTD'!$A$66:$A$80,0),MATCH(AI$7,'eskom production 2009-YTD'!$J$65:$Q$65,0))/1000</f>
        <v>3.84</v>
      </c>
      <c r="AJ15" s="77">
        <f>INDEX('eskom production 2009-YTD'!$J$66:$T$80,MATCH($C15,'eskom production 2009-YTD'!$A$66:$A$80,0),MATCH(AJ$7,'eskom production 2009-YTD'!$J$65:$Q$65,0))/1000</f>
        <v>3.84</v>
      </c>
      <c r="AK15" s="77">
        <f>INDEX('eskom production 2009-YTD'!$J$66:$T$80,MATCH($C15,'eskom production 2009-YTD'!$A$66:$A$80,0),MATCH(AK$7,'eskom production 2009-YTD'!$J$65:$Q$65,0))/1000</f>
        <v>3.84</v>
      </c>
      <c r="AL15" s="77">
        <f>DecomSchedule!O10</f>
        <v>3.84</v>
      </c>
      <c r="AM15" s="77">
        <f>DecomSchedule!P10</f>
        <v>3.84</v>
      </c>
      <c r="AN15" s="77">
        <f>DecomSchedule!Q10</f>
        <v>3.84</v>
      </c>
      <c r="AO15" s="77">
        <f>DecomSchedule!R10</f>
        <v>3.84</v>
      </c>
      <c r="AP15" s="77">
        <f>DecomSchedule!S10</f>
        <v>3.84</v>
      </c>
      <c r="AQ15" s="77">
        <f>DecomSchedule!T10</f>
        <v>3.84</v>
      </c>
      <c r="AR15" s="77">
        <f>DecomSchedule!U10</f>
        <v>3.84</v>
      </c>
      <c r="AS15" s="77">
        <f>DecomSchedule!V10</f>
        <v>3.84</v>
      </c>
      <c r="AT15" s="77">
        <f>DecomSchedule!W10</f>
        <v>3.84</v>
      </c>
      <c r="AU15" s="77">
        <f>DecomSchedule!X10</f>
        <v>3.84</v>
      </c>
      <c r="AV15" s="77">
        <f>DecomSchedule!Y10</f>
        <v>3.84</v>
      </c>
      <c r="AW15" s="77">
        <f>DecomSchedule!Z10</f>
        <v>3.84</v>
      </c>
      <c r="AX15" s="77">
        <f>DecomSchedule!AA10</f>
        <v>3.84</v>
      </c>
      <c r="AY15" s="77">
        <f>DecomSchedule!AB10</f>
        <v>3.84</v>
      </c>
      <c r="AZ15" s="77">
        <f>DecomSchedule!AC10</f>
        <v>3.84</v>
      </c>
      <c r="BA15" s="77">
        <f>DecomSchedule!AD10</f>
        <v>3.84</v>
      </c>
      <c r="BB15" s="77">
        <f>DecomSchedule!AE10</f>
        <v>3.84</v>
      </c>
      <c r="BC15" s="77">
        <f>DecomSchedule!AF10</f>
        <v>3.84</v>
      </c>
      <c r="BD15" s="77">
        <f>DecomSchedule!AG10</f>
        <v>3.84</v>
      </c>
      <c r="BE15" s="77">
        <f>DecomSchedule!AH10</f>
        <v>3.1999999999999997</v>
      </c>
      <c r="BF15" s="77">
        <f>DecomSchedule!AI10</f>
        <v>3.1999999999999997</v>
      </c>
      <c r="BG15" s="77">
        <f>INDEX(DecomSchedule!$AJ10:$AS10,1,MATCH(BG$7,DecomSchedule!$AJ$3:$AS$3,0))</f>
        <v>0</v>
      </c>
      <c r="BH15" s="77">
        <f>INDEX(DecomSchedule!$AJ10:$AS10,1,MATCH(BH$7,DecomSchedule!$AJ$3:$AS$3,0))</f>
        <v>0</v>
      </c>
      <c r="BI15" s="77">
        <v>0</v>
      </c>
      <c r="BJ15" s="77">
        <v>0</v>
      </c>
    </row>
    <row r="16" spans="1:62"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7.4268904506673925</v>
      </c>
      <c r="K16" s="58">
        <f>INDEX(ElecBY!$O$82:$O$103,MATCH(B16,ElecBY!$D$82:$D$103,0))</f>
        <v>309.48734235538109</v>
      </c>
      <c r="L16" s="58">
        <f>INDEX(ElecBY!$K$82:$K$103,MATCH(B16,ElecBY!$D$82:$D$103,0))</f>
        <v>7328.9464331138006</v>
      </c>
      <c r="M16" s="72">
        <v>30</v>
      </c>
      <c r="N16" s="49">
        <v>31.536000000000001</v>
      </c>
      <c r="O16" s="49">
        <v>1</v>
      </c>
      <c r="P16" s="56">
        <v>5</v>
      </c>
      <c r="Q16" s="56">
        <v>0</v>
      </c>
      <c r="R16" s="74">
        <f>INDEX('eskom production 2009-YTD'!$J$84:$T$99,MATCH($C16,'eskom production 2009-YTD'!$A$84:$A$99,0),MATCH(R$7,'eskom production 2009-YTD'!$J$65:$T$65,0))</f>
        <v>0.66373023311703916</v>
      </c>
      <c r="S16" s="74">
        <f>INDEX('eskom production 2009-YTD'!$J$84:$T$99,MATCH($C16,'eskom production 2009-YTD'!$A$84:$A$99,0),MATCH(S$7,'eskom production 2009-YTD'!$J$65:$T$65,0))</f>
        <v>0.51428303219089555</v>
      </c>
      <c r="T16" s="74">
        <f>INDEX('eskom production 2009-YTD'!$J$84:$T$99,MATCH($C16,'eskom production 2009-YTD'!$A$84:$A$99,0),MATCH(T$7,'eskom production 2009-YTD'!$J$65:$T$65,0))</f>
        <v>0.53742576863948577</v>
      </c>
      <c r="U16" s="74">
        <f>INDEX('eskom production 2009-YTD'!$J$84:$T$99,MATCH($C16,'eskom production 2009-YTD'!$A$84:$A$99,0),MATCH(U$7,'eskom production 2009-YTD'!$J$65:$T$65,0))</f>
        <v>0.64439999999999997</v>
      </c>
      <c r="V16" s="74">
        <f>INDEX('eskom production 2009-YTD'!$J$84:$T$99,MATCH($C16,'eskom production 2009-YTD'!$A$84:$A$99,0),MATCH(V$7,'eskom production 2009-YTD'!$J$65:$T$65,0))</f>
        <v>0.64149999999999996</v>
      </c>
      <c r="W16" s="74">
        <f t="shared" si="1"/>
        <v>0.66373023311703916</v>
      </c>
      <c r="X16" s="74">
        <f t="shared" si="2"/>
        <v>0.51428303219089555</v>
      </c>
      <c r="Y16" s="74">
        <v>0.4</v>
      </c>
      <c r="Z16" s="74"/>
      <c r="AA16" s="56">
        <v>277.77800000000002</v>
      </c>
      <c r="AB16" s="74">
        <f t="shared" si="3"/>
        <v>96.25</v>
      </c>
      <c r="AC16" s="74">
        <f t="shared" si="4"/>
        <v>1E-3</v>
      </c>
      <c r="AD16" s="76">
        <f t="shared" si="5"/>
        <v>1.5E-3</v>
      </c>
      <c r="AE16" s="74">
        <f t="shared" si="6"/>
        <v>0.62619999999999998</v>
      </c>
      <c r="AF16" s="74">
        <f t="shared" si="7"/>
        <v>0.3</v>
      </c>
      <c r="AG16" s="74">
        <f t="shared" si="8"/>
        <v>0.02</v>
      </c>
      <c r="AH16" s="74">
        <f t="shared" si="9"/>
        <v>5.0000000000000001E-3</v>
      </c>
      <c r="AI16" s="77">
        <f>INDEX('eskom production 2009-YTD'!$J$66:$T$80,MATCH($C16,'eskom production 2009-YTD'!$A$66:$A$80,0),MATCH(AI$7,'eskom production 2009-YTD'!$J$65:$Q$65,0))/1000</f>
        <v>2.85</v>
      </c>
      <c r="AJ16" s="77">
        <f>INDEX('eskom production 2009-YTD'!$J$66:$T$80,MATCH($C16,'eskom production 2009-YTD'!$A$66:$A$80,0),MATCH(AJ$7,'eskom production 2009-YTD'!$J$65:$Q$65,0))/1000</f>
        <v>2.85</v>
      </c>
      <c r="AK16" s="77">
        <f>INDEX('eskom production 2009-YTD'!$J$66:$T$80,MATCH($C16,'eskom production 2009-YTD'!$A$66:$A$80,0),MATCH(AK$7,'eskom production 2009-YTD'!$J$65:$Q$65,0))/1000</f>
        <v>2.85</v>
      </c>
      <c r="AL16" s="77">
        <f>DecomSchedule!O11</f>
        <v>2.85</v>
      </c>
      <c r="AM16" s="77">
        <f>DecomSchedule!P11</f>
        <v>2.85</v>
      </c>
      <c r="AN16" s="77">
        <f>DecomSchedule!Q11</f>
        <v>2.85</v>
      </c>
      <c r="AO16" s="77">
        <f>DecomSchedule!R11</f>
        <v>2.85</v>
      </c>
      <c r="AP16" s="77">
        <f>DecomSchedule!S11</f>
        <v>2.85</v>
      </c>
      <c r="AQ16" s="77">
        <f>DecomSchedule!T11</f>
        <v>2.85</v>
      </c>
      <c r="AR16" s="77">
        <f>DecomSchedule!U11</f>
        <v>2.375</v>
      </c>
      <c r="AS16" s="77">
        <f>DecomSchedule!V11</f>
        <v>1.9</v>
      </c>
      <c r="AT16" s="77">
        <f>DecomSchedule!W11</f>
        <v>1.4249999999999998</v>
      </c>
      <c r="AU16" s="77">
        <f>DecomSchedule!X11</f>
        <v>0.47499999999999976</v>
      </c>
      <c r="AV16" s="77">
        <f>DecomSchedule!Y11</f>
        <v>0</v>
      </c>
      <c r="AW16" s="77">
        <f>DecomSchedule!Z11</f>
        <v>0</v>
      </c>
      <c r="AX16" s="77">
        <f>DecomSchedule!AA11</f>
        <v>0</v>
      </c>
      <c r="AY16" s="77">
        <f>DecomSchedule!AB11</f>
        <v>0</v>
      </c>
      <c r="AZ16" s="77">
        <f>DecomSchedule!AC11</f>
        <v>0</v>
      </c>
      <c r="BA16" s="77">
        <f>DecomSchedule!AD11</f>
        <v>0</v>
      </c>
      <c r="BB16" s="77">
        <f>DecomSchedule!AE11</f>
        <v>0</v>
      </c>
      <c r="BC16" s="77">
        <f>DecomSchedule!AF11</f>
        <v>0</v>
      </c>
      <c r="BD16" s="77">
        <f>DecomSchedule!AG11</f>
        <v>0</v>
      </c>
      <c r="BE16" s="77">
        <f>DecomSchedule!AH11</f>
        <v>0</v>
      </c>
      <c r="BF16" s="77">
        <f>DecomSchedule!AI11</f>
        <v>0</v>
      </c>
      <c r="BG16" s="77">
        <f>INDEX(DecomSchedule!$AJ11:$AS11,1,MATCH(BG$7,DecomSchedule!$AJ$3:$AS$3,0))</f>
        <v>0</v>
      </c>
      <c r="BH16" s="77">
        <f>INDEX(DecomSchedule!$AJ11:$AS11,1,MATCH(BH$7,DecomSchedule!$AJ$3:$AS$3,0))</f>
        <v>0</v>
      </c>
      <c r="BI16" s="77">
        <v>0</v>
      </c>
      <c r="BJ16" s="77">
        <v>0</v>
      </c>
    </row>
    <row r="17" spans="2:62"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7.4268904506673925</v>
      </c>
      <c r="K17" s="58">
        <f>INDEX(ElecBY!$O$82:$O$103,MATCH(B17,ElecBY!$D$82:$D$103,0))</f>
        <v>309.48734235538109</v>
      </c>
      <c r="L17" s="58">
        <f>INDEX(ElecBY!$K$82:$K$103,MATCH(B17,ElecBY!$D$82:$D$103,0))</f>
        <v>7328.9464331138006</v>
      </c>
      <c r="M17" s="72">
        <v>30</v>
      </c>
      <c r="N17" s="49">
        <v>31.536000000000001</v>
      </c>
      <c r="O17" s="49">
        <v>1</v>
      </c>
      <c r="P17" s="56">
        <v>5</v>
      </c>
      <c r="Q17" s="56">
        <v>0</v>
      </c>
      <c r="R17" s="74">
        <f>INDEX('eskom production 2009-YTD'!$J$84:$T$99,MATCH($C17,'eskom production 2009-YTD'!$A$84:$A$99,0),MATCH(R$7,'eskom production 2009-YTD'!$J$65:$T$65,0))</f>
        <v>0.72125732480152771</v>
      </c>
      <c r="S17" s="74">
        <f>INDEX('eskom production 2009-YTD'!$J$84:$T$99,MATCH($C17,'eskom production 2009-YTD'!$A$84:$A$99,0),MATCH(S$7,'eskom production 2009-YTD'!$J$65:$T$65,0))</f>
        <v>0.61629073285527491</v>
      </c>
      <c r="T17" s="74">
        <f>INDEX('eskom production 2009-YTD'!$J$84:$T$99,MATCH($C17,'eskom production 2009-YTD'!$A$84:$A$99,0),MATCH(T$7,'eskom production 2009-YTD'!$J$65:$T$65,0))</f>
        <v>0.64402381583376223</v>
      </c>
      <c r="U17" s="74">
        <f>INDEX('eskom production 2009-YTD'!$J$84:$T$99,MATCH($C17,'eskom production 2009-YTD'!$A$84:$A$99,0),MATCH(U$7,'eskom production 2009-YTD'!$J$65:$T$65,0))</f>
        <v>0.74880000000000002</v>
      </c>
      <c r="V17" s="74">
        <f>INDEX('eskom production 2009-YTD'!$J$84:$T$99,MATCH($C17,'eskom production 2009-YTD'!$A$84:$A$99,0),MATCH(V$7,'eskom production 2009-YTD'!$J$65:$T$65,0))</f>
        <v>0.70930000000000004</v>
      </c>
      <c r="W17" s="74">
        <f t="shared" si="1"/>
        <v>0.72125732480152771</v>
      </c>
      <c r="X17" s="74">
        <f t="shared" si="2"/>
        <v>0.61629073285527491</v>
      </c>
      <c r="Y17" s="74">
        <v>0.4</v>
      </c>
      <c r="Z17" s="74"/>
      <c r="AA17" s="56">
        <v>277.77800000000002</v>
      </c>
      <c r="AB17" s="74">
        <f t="shared" si="3"/>
        <v>96.25</v>
      </c>
      <c r="AC17" s="74">
        <f t="shared" si="4"/>
        <v>1E-3</v>
      </c>
      <c r="AD17" s="76">
        <f t="shared" si="5"/>
        <v>1.5E-3</v>
      </c>
      <c r="AE17" s="74">
        <f t="shared" si="6"/>
        <v>0.62619999999999998</v>
      </c>
      <c r="AF17" s="74">
        <f t="shared" si="7"/>
        <v>0.3</v>
      </c>
      <c r="AG17" s="74">
        <f t="shared" si="8"/>
        <v>0.02</v>
      </c>
      <c r="AH17" s="74">
        <f t="shared" si="9"/>
        <v>5.0000000000000001E-3</v>
      </c>
      <c r="AI17" s="77">
        <f>INDEX('eskom production 2009-YTD'!$J$66:$T$80,MATCH($C17,'eskom production 2009-YTD'!$A$66:$A$80,0),MATCH(AI$7,'eskom production 2009-YTD'!$J$65:$Q$65,0))/1000</f>
        <v>3.5579999999999998</v>
      </c>
      <c r="AJ17" s="77">
        <f>INDEX('eskom production 2009-YTD'!$J$66:$T$80,MATCH($C17,'eskom production 2009-YTD'!$A$66:$A$80,0),MATCH(AJ$7,'eskom production 2009-YTD'!$J$65:$Q$65,0))/1000</f>
        <v>3.5579999999999998</v>
      </c>
      <c r="AK17" s="77">
        <f>INDEX('eskom production 2009-YTD'!$J$66:$T$80,MATCH($C17,'eskom production 2009-YTD'!$A$66:$A$80,0),MATCH(AK$7,'eskom production 2009-YTD'!$J$65:$Q$65,0))/1000</f>
        <v>3.5579999999999998</v>
      </c>
      <c r="AL17" s="77">
        <f>DecomSchedule!O12</f>
        <v>3.5579999999999998</v>
      </c>
      <c r="AM17" s="77">
        <f>DecomSchedule!P12</f>
        <v>3.5579999999999998</v>
      </c>
      <c r="AN17" s="77">
        <f>DecomSchedule!Q12</f>
        <v>3.5579999999999998</v>
      </c>
      <c r="AO17" s="77">
        <f>DecomSchedule!R12</f>
        <v>3.5579999999999998</v>
      </c>
      <c r="AP17" s="77">
        <f>DecomSchedule!S12</f>
        <v>3.5579999999999998</v>
      </c>
      <c r="AQ17" s="77">
        <f>DecomSchedule!T12</f>
        <v>3.5579999999999998</v>
      </c>
      <c r="AR17" s="77">
        <f>DecomSchedule!U12</f>
        <v>3.5579999999999998</v>
      </c>
      <c r="AS17" s="77">
        <f>DecomSchedule!V12</f>
        <v>3.5579999999999998</v>
      </c>
      <c r="AT17" s="77">
        <f>DecomSchedule!W12</f>
        <v>3.5579999999999998</v>
      </c>
      <c r="AU17" s="77">
        <f>DecomSchedule!X12</f>
        <v>3.5579999999999998</v>
      </c>
      <c r="AV17" s="77">
        <f>DecomSchedule!Y12</f>
        <v>3.5579999999999998</v>
      </c>
      <c r="AW17" s="77">
        <f>DecomSchedule!Z12</f>
        <v>3.5579999999999998</v>
      </c>
      <c r="AX17" s="77">
        <f>DecomSchedule!AA12</f>
        <v>3.5579999999999998</v>
      </c>
      <c r="AY17" s="77">
        <f>DecomSchedule!AB12</f>
        <v>3.5579999999999998</v>
      </c>
      <c r="AZ17" s="77">
        <f>DecomSchedule!AC12</f>
        <v>3.5579999999999998</v>
      </c>
      <c r="BA17" s="77">
        <f>DecomSchedule!AD12</f>
        <v>3.5579999999999998</v>
      </c>
      <c r="BB17" s="77">
        <f>DecomSchedule!AE12</f>
        <v>2.9649999999999999</v>
      </c>
      <c r="BC17" s="77">
        <f>DecomSchedule!AF12</f>
        <v>1.7789999999999999</v>
      </c>
      <c r="BD17" s="77">
        <f>DecomSchedule!AG12</f>
        <v>1.1859999999999999</v>
      </c>
      <c r="BE17" s="77">
        <f>DecomSchedule!AH12</f>
        <v>1.1859999999999999</v>
      </c>
      <c r="BF17" s="77">
        <f>DecomSchedule!AI12</f>
        <v>0.59299999999999997</v>
      </c>
      <c r="BG17" s="77">
        <f>INDEX(DecomSchedule!$AJ12:$AS12,1,MATCH(BG$7,DecomSchedule!$AJ$3:$AS$3,0))</f>
        <v>0</v>
      </c>
      <c r="BH17" s="77">
        <f>INDEX(DecomSchedule!$AJ12:$AS12,1,MATCH(BH$7,DecomSchedule!$AJ$3:$AS$3,0))</f>
        <v>0</v>
      </c>
      <c r="BI17" s="77">
        <v>0</v>
      </c>
      <c r="BJ17" s="77">
        <v>0</v>
      </c>
    </row>
    <row r="18" spans="2:62" ht="11.25" customHeight="1" x14ac:dyDescent="0.2">
      <c r="B18" s="49" t="str">
        <f>Processes!B18</f>
        <v>ETCLEMAJD-E</v>
      </c>
      <c r="C18" s="49" t="str">
        <f>Processes!C18</f>
        <v>MAJUBA DRY</v>
      </c>
      <c r="D18" s="49" t="str">
        <f>Processes!D18</f>
        <v>PJ,GW</v>
      </c>
      <c r="E18" s="62" t="s">
        <v>350</v>
      </c>
      <c r="F18" s="49" t="s">
        <v>132</v>
      </c>
      <c r="H18" s="58">
        <v>0.3</v>
      </c>
      <c r="I18" s="58"/>
      <c r="J18" s="58">
        <f>INDEX(ElecBY!$S$82:$S$103,MATCH(B18,ElecBY!$D$82:$D$103,0))</f>
        <v>7.4268904506673925</v>
      </c>
      <c r="K18" s="58">
        <f>INDEX(ElecBY!$O$82:$O$103,MATCH(B18,ElecBY!$D$82:$D$103,0))</f>
        <v>309.48734235538109</v>
      </c>
      <c r="L18" s="58">
        <f>INDEX(ElecBY!$K$82:$K$103,MATCH(B18,ElecBY!$D$82:$D$103,0))</f>
        <v>7328.9464331137988</v>
      </c>
      <c r="M18" s="72">
        <v>30</v>
      </c>
      <c r="N18" s="49">
        <v>31.536000000000001</v>
      </c>
      <c r="O18" s="49">
        <v>1</v>
      </c>
      <c r="P18" s="56">
        <v>5</v>
      </c>
      <c r="Q18" s="56">
        <v>0</v>
      </c>
      <c r="R18" s="74">
        <f>INDEX('eskom production 2009-YTD'!$J$84:$T$99,MATCH("majuba",'eskom production 2009-YTD'!$A$84:$A$99,0),MATCH(R$7,'eskom production 2009-YTD'!$J$65:$T$65,0))</f>
        <v>0.73613454813769208</v>
      </c>
      <c r="S18" s="74">
        <f>INDEX('eskom production 2009-YTD'!$J$84:$T$99,MATCH("majuba",'eskom production 2009-YTD'!$A$84:$A$99,0),MATCH(S$7,'eskom production 2009-YTD'!$J$65:$T$65,0))</f>
        <v>0.69869089871477885</v>
      </c>
      <c r="T18" s="74">
        <f>INDEX('eskom production 2009-YTD'!$J$84:$T$99,MATCH("majuba",'eskom production 2009-YTD'!$A$84:$A$99,0),MATCH(T$7,'eskom production 2009-YTD'!$J$65:$T$65,0))</f>
        <v>0.73013198915694388</v>
      </c>
      <c r="U18" s="74">
        <f>INDEX('eskom production 2009-YTD'!$J$84:$T$99,MATCH("majuba",'eskom production 2009-YTD'!$A$84:$A$99,0),MATCH(U$7,'eskom production 2009-YTD'!$J$65:$T$65,0))</f>
        <v>0.77</v>
      </c>
      <c r="V18" s="74">
        <f>INDEX('eskom production 2009-YTD'!$J$84:$T$99,MATCH("majuba",'eskom production 2009-YTD'!$A$84:$A$99,0),MATCH(V$7,'eskom production 2009-YTD'!$J$65:$T$65,0))</f>
        <v>0.70930000000000004</v>
      </c>
      <c r="W18" s="74">
        <f t="shared" si="1"/>
        <v>0.73613454813769208</v>
      </c>
      <c r="X18" s="74">
        <f t="shared" si="2"/>
        <v>0.69869089871477885</v>
      </c>
      <c r="Y18" s="74">
        <v>0.4</v>
      </c>
      <c r="Z18" s="74"/>
      <c r="AA18" s="56">
        <v>277.77800000000002</v>
      </c>
      <c r="AB18" s="74">
        <f t="shared" si="3"/>
        <v>96.25</v>
      </c>
      <c r="AC18" s="74">
        <f t="shared" si="4"/>
        <v>1E-3</v>
      </c>
      <c r="AD18" s="76">
        <f t="shared" si="5"/>
        <v>1.5E-3</v>
      </c>
      <c r="AE18" s="74">
        <f t="shared" si="6"/>
        <v>0.62619999999999998</v>
      </c>
      <c r="AF18" s="74">
        <f t="shared" si="7"/>
        <v>0.3</v>
      </c>
      <c r="AG18" s="74">
        <f t="shared" si="8"/>
        <v>0.02</v>
      </c>
      <c r="AH18" s="74">
        <f t="shared" si="9"/>
        <v>5.0000000000000001E-3</v>
      </c>
      <c r="AI18" s="77">
        <f>INDEX('eskom production 2009-YTD'!$J$66:$T$80,MATCH("majuba",'eskom production 2009-YTD'!$A$66:$A$80,0),MATCH(AI$7,'eskom production 2009-YTD'!$J$65:$Q$65,0))/1000-AI19</f>
        <v>1.8330000000000002</v>
      </c>
      <c r="AJ18" s="77">
        <f>INDEX('eskom production 2009-YTD'!$J$66:$T$80,MATCH("majuba",'eskom production 2009-YTD'!$A$66:$A$80,0),MATCH(AJ$7,'eskom production 2009-YTD'!$J$65:$Q$65,0))/1000-AJ19</f>
        <v>1.8330000000000002</v>
      </c>
      <c r="AK18" s="77">
        <f>INDEX('eskom production 2009-YTD'!$J$66:$T$80,MATCH("majuba",'eskom production 2009-YTD'!$A$66:$A$80,0),MATCH(AK$7,'eskom production 2009-YTD'!$J$65:$Q$65,0))/1000-AK19</f>
        <v>1.8330000000000002</v>
      </c>
      <c r="AL18" s="77">
        <f>DecomSchedule!O13</f>
        <v>1.8330000000000002</v>
      </c>
      <c r="AM18" s="77">
        <f>DecomSchedule!P13</f>
        <v>1.8330000000000002</v>
      </c>
      <c r="AN18" s="77">
        <f>DecomSchedule!Q13</f>
        <v>1.8330000000000002</v>
      </c>
      <c r="AO18" s="77">
        <f>DecomSchedule!R13</f>
        <v>1.8330000000000002</v>
      </c>
      <c r="AP18" s="77">
        <f>DecomSchedule!S13</f>
        <v>1.8330000000000002</v>
      </c>
      <c r="AQ18" s="77">
        <f>DecomSchedule!T13</f>
        <v>1.8330000000000002</v>
      </c>
      <c r="AR18" s="77">
        <f>DecomSchedule!U13</f>
        <v>1.8330000000000002</v>
      </c>
      <c r="AS18" s="77">
        <f>DecomSchedule!V13</f>
        <v>1.8330000000000002</v>
      </c>
      <c r="AT18" s="77">
        <f>DecomSchedule!W13</f>
        <v>1.8330000000000002</v>
      </c>
      <c r="AU18" s="77">
        <f>DecomSchedule!X13</f>
        <v>1.8330000000000002</v>
      </c>
      <c r="AV18" s="77">
        <f>DecomSchedule!Y13</f>
        <v>1.8330000000000002</v>
      </c>
      <c r="AW18" s="77">
        <f>DecomSchedule!Z13</f>
        <v>1.8330000000000002</v>
      </c>
      <c r="AX18" s="77">
        <f>DecomSchedule!AA13</f>
        <v>1.8330000000000002</v>
      </c>
      <c r="AY18" s="77">
        <f>DecomSchedule!AB13</f>
        <v>1.8330000000000002</v>
      </c>
      <c r="AZ18" s="77">
        <f>DecomSchedule!AC13</f>
        <v>1.8330000000000002</v>
      </c>
      <c r="BA18" s="77">
        <f>DecomSchedule!AD13</f>
        <v>1.8330000000000002</v>
      </c>
      <c r="BB18" s="77">
        <f>DecomSchedule!AE13</f>
        <v>1.8330000000000002</v>
      </c>
      <c r="BC18" s="77">
        <f>DecomSchedule!AF13</f>
        <v>1.8330000000000002</v>
      </c>
      <c r="BD18" s="77">
        <f>DecomSchedule!AG13</f>
        <v>1.8330000000000002</v>
      </c>
      <c r="BE18" s="77">
        <f>DecomSchedule!AH13</f>
        <v>1.8330000000000002</v>
      </c>
      <c r="BF18" s="77">
        <f>DecomSchedule!AI13</f>
        <v>1.8330000000000002</v>
      </c>
      <c r="BG18" s="77">
        <f>INDEX(DecomSchedule!$AJ13:$AS13,1,MATCH(BG$7,DecomSchedule!$AJ$3:$AS$3,0))</f>
        <v>1.8330000000000002</v>
      </c>
      <c r="BH18" s="77">
        <f>INDEX(DecomSchedule!$AJ13:$AS13,1,MATCH(BH$7,DecomSchedule!$AJ$3:$AS$3,0))</f>
        <v>0</v>
      </c>
      <c r="BI18" s="77">
        <v>0</v>
      </c>
      <c r="BJ18" s="77">
        <v>0</v>
      </c>
    </row>
    <row r="19" spans="2:62" ht="11.25" customHeight="1" x14ac:dyDescent="0.2">
      <c r="B19" s="49" t="str">
        <f>Processes!B19</f>
        <v>ETCLEMAJW-E</v>
      </c>
      <c r="C19" s="49" t="str">
        <f>Processes!C19</f>
        <v>MAJUBA WET</v>
      </c>
      <c r="D19" s="49" t="str">
        <f>Processes!D19</f>
        <v>PJ,GW</v>
      </c>
      <c r="E19" s="62" t="s">
        <v>350</v>
      </c>
      <c r="F19" s="49" t="s">
        <v>132</v>
      </c>
      <c r="H19" s="58">
        <v>0.31</v>
      </c>
      <c r="I19" s="58"/>
      <c r="J19" s="58">
        <f>INDEX(ElecBY!$S$82:$S$103,MATCH(B19,ElecBY!$D$82:$D$103,0))</f>
        <v>7.4268904506673925</v>
      </c>
      <c r="K19" s="58">
        <f>INDEX(ElecBY!$O$82:$O$103,MATCH(B19,ElecBY!$D$82:$D$103,0))</f>
        <v>309.48734235538109</v>
      </c>
      <c r="L19" s="58">
        <f>INDEX(ElecBY!$K$82:$K$103,MATCH(B19,ElecBY!$D$82:$D$103,0))</f>
        <v>7328.9464331138006</v>
      </c>
      <c r="M19" s="72">
        <v>30</v>
      </c>
      <c r="N19" s="49">
        <v>31.536000000000001</v>
      </c>
      <c r="O19" s="49">
        <v>1</v>
      </c>
      <c r="P19" s="56">
        <v>5</v>
      </c>
      <c r="Q19" s="56">
        <v>0</v>
      </c>
      <c r="R19" s="74">
        <f>R18</f>
        <v>0.73613454813769208</v>
      </c>
      <c r="S19" s="74">
        <f>S18</f>
        <v>0.69869089871477885</v>
      </c>
      <c r="T19" s="74">
        <f>T18</f>
        <v>0.73013198915694388</v>
      </c>
      <c r="U19" s="74">
        <f>U18</f>
        <v>0.77</v>
      </c>
      <c r="V19" s="74">
        <f>V18</f>
        <v>0.70930000000000004</v>
      </c>
      <c r="W19" s="74">
        <f t="shared" si="1"/>
        <v>0.73613454813769208</v>
      </c>
      <c r="X19" s="74">
        <f t="shared" si="2"/>
        <v>0.69869089871477885</v>
      </c>
      <c r="Y19" s="74">
        <v>0.4</v>
      </c>
      <c r="Z19" s="74"/>
      <c r="AA19" s="56">
        <v>277.77800000000002</v>
      </c>
      <c r="AB19" s="74">
        <f t="shared" si="3"/>
        <v>96.25</v>
      </c>
      <c r="AC19" s="74">
        <f t="shared" si="4"/>
        <v>1E-3</v>
      </c>
      <c r="AD19" s="76">
        <f t="shared" si="5"/>
        <v>1.5E-3</v>
      </c>
      <c r="AE19" s="74">
        <f t="shared" si="6"/>
        <v>0.62619999999999998</v>
      </c>
      <c r="AF19" s="74">
        <f t="shared" si="7"/>
        <v>0.3</v>
      </c>
      <c r="AG19" s="74">
        <f t="shared" si="8"/>
        <v>0.02</v>
      </c>
      <c r="AH19" s="74">
        <f t="shared" si="9"/>
        <v>5.0000000000000001E-3</v>
      </c>
      <c r="AI19" s="77">
        <v>2.0099999999999998</v>
      </c>
      <c r="AJ19" s="77">
        <v>2.0099999999999998</v>
      </c>
      <c r="AK19" s="77">
        <v>2.0099999999999998</v>
      </c>
      <c r="AL19" s="77">
        <f>DecomSchedule!O14</f>
        <v>2.0099999999999998</v>
      </c>
      <c r="AM19" s="77">
        <f>DecomSchedule!P14</f>
        <v>2.0099999999999998</v>
      </c>
      <c r="AN19" s="77">
        <f>DecomSchedule!Q14</f>
        <v>2.0099999999999998</v>
      </c>
      <c r="AO19" s="77">
        <f>DecomSchedule!R14</f>
        <v>2.0099999999999998</v>
      </c>
      <c r="AP19" s="77">
        <f>DecomSchedule!S14</f>
        <v>2.0099999999999998</v>
      </c>
      <c r="AQ19" s="77">
        <f>DecomSchedule!T14</f>
        <v>2.0099999999999998</v>
      </c>
      <c r="AR19" s="77">
        <f>DecomSchedule!U14</f>
        <v>2.0099999999999998</v>
      </c>
      <c r="AS19" s="77">
        <f>DecomSchedule!V14</f>
        <v>2.0099999999999998</v>
      </c>
      <c r="AT19" s="77">
        <f>DecomSchedule!W14</f>
        <v>2.0099999999999998</v>
      </c>
      <c r="AU19" s="77">
        <f>DecomSchedule!X14</f>
        <v>2.0099999999999998</v>
      </c>
      <c r="AV19" s="77">
        <f>DecomSchedule!Y14</f>
        <v>2.0099999999999998</v>
      </c>
      <c r="AW19" s="77">
        <f>DecomSchedule!Z14</f>
        <v>2.0099999999999998</v>
      </c>
      <c r="AX19" s="77">
        <f>DecomSchedule!AA14</f>
        <v>2.0099999999999998</v>
      </c>
      <c r="AY19" s="77">
        <f>DecomSchedule!AB14</f>
        <v>2.0099999999999998</v>
      </c>
      <c r="AZ19" s="77">
        <f>DecomSchedule!AC14</f>
        <v>2.0099999999999998</v>
      </c>
      <c r="BA19" s="77">
        <f>DecomSchedule!AD14</f>
        <v>2.0099999999999998</v>
      </c>
      <c r="BB19" s="77">
        <f>DecomSchedule!AE14</f>
        <v>2.0099999999999998</v>
      </c>
      <c r="BC19" s="77">
        <f>DecomSchedule!AF14</f>
        <v>2.0099999999999998</v>
      </c>
      <c r="BD19" s="77">
        <f>DecomSchedule!AG14</f>
        <v>2.0099999999999998</v>
      </c>
      <c r="BE19" s="77">
        <f>DecomSchedule!AH14</f>
        <v>2.0099999999999998</v>
      </c>
      <c r="BF19" s="77">
        <f>DecomSchedule!AI14</f>
        <v>2.0099999999999998</v>
      </c>
      <c r="BG19" s="77">
        <f>INDEX(DecomSchedule!$AJ14:$AS14,1,MATCH(BG$7,DecomSchedule!$AJ$3:$AS$3,0))</f>
        <v>2.0099999999999998</v>
      </c>
      <c r="BH19" s="77">
        <f>INDEX(DecomSchedule!$AJ14:$AS14,1,MATCH(BH$7,DecomSchedule!$AJ$3:$AS$3,0))</f>
        <v>0.66999999999999993</v>
      </c>
      <c r="BI19" s="77">
        <v>0</v>
      </c>
      <c r="BJ19" s="77">
        <v>0</v>
      </c>
    </row>
    <row r="20" spans="2:62"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7.4268904506673925</v>
      </c>
      <c r="K20" s="58">
        <f>INDEX(ElecBY!$O$82:$O$103,MATCH(B20,ElecBY!$D$82:$D$103,0))</f>
        <v>309.48734235538109</v>
      </c>
      <c r="L20" s="58">
        <f>INDEX(ElecBY!$K$82:$K$103,MATCH(B20,ElecBY!$D$82:$D$103,0))</f>
        <v>7328.9464331138006</v>
      </c>
      <c r="M20" s="72">
        <v>30</v>
      </c>
      <c r="N20" s="49">
        <v>31.536000000000001</v>
      </c>
      <c r="O20" s="49">
        <v>1</v>
      </c>
      <c r="P20" s="56">
        <v>5</v>
      </c>
      <c r="Q20" s="56">
        <v>0</v>
      </c>
      <c r="R20" s="74">
        <f>INDEX('eskom production 2009-YTD'!$J$84:$T$99,MATCH($C20,'eskom production 2009-YTD'!$A$84:$A$99,0),MATCH(R$7,'eskom production 2009-YTD'!$J$65:$T$65,0))</f>
        <v>0.82643832522800109</v>
      </c>
      <c r="S20" s="74">
        <f>INDEX('eskom production 2009-YTD'!$J$84:$T$99,MATCH($C20,'eskom production 2009-YTD'!$A$84:$A$99,0),MATCH(S$7,'eskom production 2009-YTD'!$J$65:$T$65,0))</f>
        <v>0.8094138159760893</v>
      </c>
      <c r="T20" s="74">
        <f>INDEX('eskom production 2009-YTD'!$J$84:$T$99,MATCH($C20,'eskom production 2009-YTD'!$A$84:$A$99,0),MATCH(T$7,'eskom production 2009-YTD'!$J$65:$T$65,0))</f>
        <v>0.82643832522800109</v>
      </c>
      <c r="U20" s="74">
        <f>INDEX('eskom production 2009-YTD'!$J$84:$T$99,MATCH($C20,'eskom production 2009-YTD'!$A$84:$A$99,0),MATCH(U$7,'eskom production 2009-YTD'!$J$65:$T$65,0))</f>
        <v>0.78369999999999995</v>
      </c>
      <c r="V20" s="74">
        <f>INDEX('eskom production 2009-YTD'!$J$84:$T$99,MATCH($C20,'eskom production 2009-YTD'!$A$84:$A$99,0),MATCH(V$7,'eskom production 2009-YTD'!$J$65:$T$65,0))</f>
        <v>0.79410000000000003</v>
      </c>
      <c r="W20" s="74">
        <f t="shared" si="1"/>
        <v>0.82643832522800109</v>
      </c>
      <c r="X20" s="74">
        <f t="shared" si="2"/>
        <v>0.8094138159760893</v>
      </c>
      <c r="Y20" s="74">
        <v>0.4</v>
      </c>
      <c r="Z20" s="74"/>
      <c r="AA20" s="56">
        <v>277.77800000000002</v>
      </c>
      <c r="AB20" s="74">
        <f t="shared" si="3"/>
        <v>96.25</v>
      </c>
      <c r="AC20" s="74">
        <f t="shared" si="4"/>
        <v>1E-3</v>
      </c>
      <c r="AD20" s="76">
        <f t="shared" si="5"/>
        <v>1.5E-3</v>
      </c>
      <c r="AE20" s="74">
        <f t="shared" si="6"/>
        <v>0.62619999999999998</v>
      </c>
      <c r="AF20" s="74">
        <f t="shared" si="7"/>
        <v>0.3</v>
      </c>
      <c r="AG20" s="74">
        <f t="shared" si="8"/>
        <v>0.02</v>
      </c>
      <c r="AH20" s="74">
        <f t="shared" si="9"/>
        <v>5.0000000000000001E-3</v>
      </c>
      <c r="AI20" s="77">
        <f>INDEX('eskom production 2009-YTD'!$J$66:$T$80,MATCH($C20,'eskom production 2009-YTD'!$A$66:$A$80,0),MATCH(AI$7,'eskom production 2009-YTD'!$J$65:$Q$65,0))/1000</f>
        <v>3.69</v>
      </c>
      <c r="AJ20" s="77">
        <f>INDEX('eskom production 2009-YTD'!$J$66:$T$80,MATCH($C20,'eskom production 2009-YTD'!$A$66:$A$80,0),MATCH(AJ$7,'eskom production 2009-YTD'!$J$65:$Q$65,0))/1000</f>
        <v>3.69</v>
      </c>
      <c r="AK20" s="77">
        <f>INDEX('eskom production 2009-YTD'!$J$66:$T$80,MATCH($C20,'eskom production 2009-YTD'!$A$66:$A$80,0),MATCH(AK$7,'eskom production 2009-YTD'!$J$65:$Q$65,0))/1000</f>
        <v>3.69</v>
      </c>
      <c r="AL20" s="77">
        <f>DecomSchedule!O15</f>
        <v>3.69</v>
      </c>
      <c r="AM20" s="77">
        <f>DecomSchedule!P15</f>
        <v>3.69</v>
      </c>
      <c r="AN20" s="77">
        <f>DecomSchedule!Q15</f>
        <v>3.69</v>
      </c>
      <c r="AO20" s="77">
        <f>DecomSchedule!R15</f>
        <v>3.69</v>
      </c>
      <c r="AP20" s="77">
        <f>DecomSchedule!S15</f>
        <v>3.69</v>
      </c>
      <c r="AQ20" s="77">
        <f>DecomSchedule!T15</f>
        <v>3.69</v>
      </c>
      <c r="AR20" s="77">
        <f>DecomSchedule!U15</f>
        <v>3.69</v>
      </c>
      <c r="AS20" s="77">
        <f>DecomSchedule!V15</f>
        <v>3.69</v>
      </c>
      <c r="AT20" s="77">
        <f>DecomSchedule!W15</f>
        <v>3.69</v>
      </c>
      <c r="AU20" s="77">
        <f>DecomSchedule!X15</f>
        <v>3.69</v>
      </c>
      <c r="AV20" s="77">
        <f>DecomSchedule!Y15</f>
        <v>3.69</v>
      </c>
      <c r="AW20" s="77">
        <f>DecomSchedule!Z15</f>
        <v>3.69</v>
      </c>
      <c r="AX20" s="77">
        <f>DecomSchedule!AA15</f>
        <v>3.69</v>
      </c>
      <c r="AY20" s="77">
        <f>DecomSchedule!AB15</f>
        <v>3.69</v>
      </c>
      <c r="AZ20" s="77">
        <f>DecomSchedule!AC15</f>
        <v>3.69</v>
      </c>
      <c r="BA20" s="77">
        <f>DecomSchedule!AD15</f>
        <v>3.69</v>
      </c>
      <c r="BB20" s="77">
        <f>DecomSchedule!AE15</f>
        <v>3.69</v>
      </c>
      <c r="BC20" s="77">
        <f>DecomSchedule!AF15</f>
        <v>3.69</v>
      </c>
      <c r="BD20" s="77">
        <f>DecomSchedule!AG15</f>
        <v>2.46</v>
      </c>
      <c r="BE20" s="77">
        <f>DecomSchedule!AH15</f>
        <v>1.845</v>
      </c>
      <c r="BF20" s="77">
        <f>DecomSchedule!AI15</f>
        <v>1.23</v>
      </c>
      <c r="BG20" s="77">
        <f>INDEX(DecomSchedule!$AJ15:$AS15,1,MATCH(BG$7,DecomSchedule!$AJ$3:$AS$3,0))</f>
        <v>0</v>
      </c>
      <c r="BH20" s="77">
        <f>INDEX(DecomSchedule!$AJ15:$AS15,1,MATCH(BH$7,DecomSchedule!$AJ$3:$AS$3,0))</f>
        <v>0</v>
      </c>
      <c r="BI20" s="77">
        <v>0</v>
      </c>
      <c r="BJ20" s="77">
        <v>0</v>
      </c>
    </row>
    <row r="21" spans="2:62"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7.4268904506673925</v>
      </c>
      <c r="K21" s="58">
        <f>INDEX(ElecBY!$O$82:$O$103,MATCH(B21,ElecBY!$D$82:$D$103,0))</f>
        <v>309.48734235538109</v>
      </c>
      <c r="L21" s="58">
        <f>INDEX(ElecBY!$K$82:$K$103,MATCH(B21,ElecBY!$D$82:$D$103,0))</f>
        <v>7328.9464331137997</v>
      </c>
      <c r="M21" s="72">
        <v>30</v>
      </c>
      <c r="N21" s="49">
        <v>31.536000000000001</v>
      </c>
      <c r="O21" s="49">
        <v>1</v>
      </c>
      <c r="P21" s="56">
        <v>5</v>
      </c>
      <c r="Q21" s="56">
        <v>0</v>
      </c>
      <c r="R21" s="74">
        <f>INDEX('eskom production 2009-YTD'!$J$84:$T$99,MATCH($C21,'eskom production 2009-YTD'!$A$84:$A$99,0),MATCH(R$7,'eskom production 2009-YTD'!$J$65:$T$65,0))</f>
        <v>0.72595096287472705</v>
      </c>
      <c r="S21" s="74">
        <f>INDEX('eskom production 2009-YTD'!$J$84:$T$99,MATCH($C21,'eskom production 2009-YTD'!$A$84:$A$99,0),MATCH(S$7,'eskom production 2009-YTD'!$J$65:$T$65,0))</f>
        <v>0.64697127709025493</v>
      </c>
      <c r="T21" s="74">
        <f>INDEX('eskom production 2009-YTD'!$J$84:$T$99,MATCH($C21,'eskom production 2009-YTD'!$A$84:$A$99,0),MATCH(T$7,'eskom production 2009-YTD'!$J$65:$T$65,0))</f>
        <v>0.67608498455931632</v>
      </c>
      <c r="U21" s="74">
        <f>INDEX('eskom production 2009-YTD'!$J$84:$T$99,MATCH($C21,'eskom production 2009-YTD'!$A$84:$A$99,0),MATCH(U$7,'eskom production 2009-YTD'!$J$65:$T$65,0))</f>
        <v>0.70530000000000004</v>
      </c>
      <c r="V21" s="74">
        <f>INDEX('eskom production 2009-YTD'!$J$84:$T$99,MATCH($C21,'eskom production 2009-YTD'!$A$84:$A$99,0),MATCH(V$7,'eskom production 2009-YTD'!$J$65:$T$65,0))</f>
        <v>0.6976</v>
      </c>
      <c r="W21" s="74">
        <f t="shared" si="1"/>
        <v>0.72595096287472705</v>
      </c>
      <c r="X21" s="74">
        <f t="shared" si="2"/>
        <v>0.64697127709025493</v>
      </c>
      <c r="Y21" s="74">
        <v>0.4</v>
      </c>
      <c r="Z21" s="74"/>
      <c r="AA21" s="56">
        <v>277.77800000000002</v>
      </c>
      <c r="AB21" s="74">
        <f t="shared" si="3"/>
        <v>96.25</v>
      </c>
      <c r="AC21" s="74">
        <f t="shared" si="4"/>
        <v>1E-3</v>
      </c>
      <c r="AD21" s="76">
        <f t="shared" si="5"/>
        <v>1.5E-3</v>
      </c>
      <c r="AE21" s="74">
        <f t="shared" si="6"/>
        <v>0.62619999999999998</v>
      </c>
      <c r="AF21" s="74">
        <f t="shared" si="7"/>
        <v>0.3</v>
      </c>
      <c r="AG21" s="74">
        <f t="shared" si="8"/>
        <v>0.02</v>
      </c>
      <c r="AH21" s="74">
        <f t="shared" si="9"/>
        <v>5.0000000000000001E-3</v>
      </c>
      <c r="AI21" s="77">
        <f>INDEX('eskom production 2009-YTD'!$J$66:$T$80,MATCH($C21,'eskom production 2009-YTD'!$A$66:$A$80,0),MATCH(AI$7,'eskom production 2009-YTD'!$J$65:$Q$65,0))/1000</f>
        <v>3.45</v>
      </c>
      <c r="AJ21" s="77">
        <f>INDEX('eskom production 2009-YTD'!$J$66:$T$80,MATCH($C21,'eskom production 2009-YTD'!$A$66:$A$80,0),MATCH(AJ$7,'eskom production 2009-YTD'!$J$65:$Q$65,0))/1000</f>
        <v>3.45</v>
      </c>
      <c r="AK21" s="77">
        <f>INDEX('eskom production 2009-YTD'!$J$66:$T$80,MATCH($C21,'eskom production 2009-YTD'!$A$66:$A$80,0),MATCH(AK$7,'eskom production 2009-YTD'!$J$65:$Q$65,0))/1000</f>
        <v>3.45</v>
      </c>
      <c r="AL21" s="77">
        <f>DecomSchedule!O16</f>
        <v>3.45</v>
      </c>
      <c r="AM21" s="77">
        <f>DecomSchedule!P16</f>
        <v>3.45</v>
      </c>
      <c r="AN21" s="77">
        <f>DecomSchedule!Q16</f>
        <v>3.45</v>
      </c>
      <c r="AO21" s="77">
        <f>DecomSchedule!R16</f>
        <v>3.45</v>
      </c>
      <c r="AP21" s="77">
        <f>DecomSchedule!S16</f>
        <v>3.45</v>
      </c>
      <c r="AQ21" s="77">
        <f>DecomSchedule!T16</f>
        <v>3.45</v>
      </c>
      <c r="AR21" s="77">
        <f>DecomSchedule!U16</f>
        <v>3.45</v>
      </c>
      <c r="AS21" s="77">
        <f>DecomSchedule!V16</f>
        <v>3.45</v>
      </c>
      <c r="AT21" s="77">
        <f>DecomSchedule!W16</f>
        <v>3.45</v>
      </c>
      <c r="AU21" s="77">
        <f>DecomSchedule!X16</f>
        <v>3.45</v>
      </c>
      <c r="AV21" s="77">
        <f>DecomSchedule!Y16</f>
        <v>2.875</v>
      </c>
      <c r="AW21" s="77">
        <f>DecomSchedule!Z16</f>
        <v>1.7249999999999999</v>
      </c>
      <c r="AX21" s="77">
        <f>DecomSchedule!AA16</f>
        <v>1.1499999999999999</v>
      </c>
      <c r="AY21" s="77">
        <f>DecomSchedule!AB16</f>
        <v>0.57499999999999984</v>
      </c>
      <c r="AZ21" s="77">
        <f>DecomSchedule!AC16</f>
        <v>0</v>
      </c>
      <c r="BA21" s="77">
        <f>DecomSchedule!AD16</f>
        <v>0</v>
      </c>
      <c r="BB21" s="77">
        <f>DecomSchedule!AE16</f>
        <v>0</v>
      </c>
      <c r="BC21" s="77">
        <f>DecomSchedule!AF16</f>
        <v>0</v>
      </c>
      <c r="BD21" s="77">
        <f>DecomSchedule!AG16</f>
        <v>0</v>
      </c>
      <c r="BE21" s="77">
        <f>DecomSchedule!AH16</f>
        <v>0</v>
      </c>
      <c r="BF21" s="77">
        <f>DecomSchedule!AI16</f>
        <v>0</v>
      </c>
      <c r="BG21" s="77">
        <f>INDEX(DecomSchedule!$AJ16:$AS16,1,MATCH(BG$7,DecomSchedule!$AJ$3:$AS$3,0))</f>
        <v>0</v>
      </c>
      <c r="BH21" s="77">
        <f>INDEX(DecomSchedule!$AJ16:$AS16,1,MATCH(BH$7,DecomSchedule!$AJ$3:$AS$3,0))</f>
        <v>0</v>
      </c>
      <c r="BI21" s="77">
        <v>0</v>
      </c>
      <c r="BJ21" s="77">
        <v>0</v>
      </c>
    </row>
    <row r="22" spans="2:62"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7.4268904506673925</v>
      </c>
      <c r="K22" s="58">
        <f>INDEX(ElecBY!$O$82:$O$103,MATCH(B22,ElecBY!$D$82:$D$103,0))</f>
        <v>309.48734235538114</v>
      </c>
      <c r="L22" s="58">
        <f>INDEX(ElecBY!$K$82:$K$103,MATCH(B22,ElecBY!$D$82:$D$103,0))</f>
        <v>7328.9464331137997</v>
      </c>
      <c r="M22" s="72">
        <v>30</v>
      </c>
      <c r="N22" s="49">
        <v>31.536000000000001</v>
      </c>
      <c r="O22" s="49">
        <v>1</v>
      </c>
      <c r="P22" s="56">
        <v>5</v>
      </c>
      <c r="Q22" s="56">
        <v>0</v>
      </c>
      <c r="R22" s="74">
        <f>INDEX('eskom production 2009-YTD'!$J$84:$T$99,MATCH($C22,'eskom production 2009-YTD'!$A$84:$A$99,0),MATCH(R$7,'eskom production 2009-YTD'!$J$65:$T$65,0))</f>
        <v>0.62790490965148504</v>
      </c>
      <c r="S22" s="74">
        <f>INDEX('eskom production 2009-YTD'!$J$84:$T$99,MATCH($C22,'eskom production 2009-YTD'!$A$84:$A$99,0),MATCH(S$7,'eskom production 2009-YTD'!$J$65:$T$65,0))</f>
        <v>0.5381100970535827</v>
      </c>
      <c r="T22" s="74">
        <f>INDEX('eskom production 2009-YTD'!$J$84:$T$99,MATCH($C22,'eskom production 2009-YTD'!$A$84:$A$99,0),MATCH(T$7,'eskom production 2009-YTD'!$J$65:$T$65,0))</f>
        <v>0.56232505142099387</v>
      </c>
      <c r="U22" s="74">
        <f>INDEX('eskom production 2009-YTD'!$J$84:$T$99,MATCH($C22,'eskom production 2009-YTD'!$A$84:$A$99,0),MATCH(U$7,'eskom production 2009-YTD'!$J$65:$T$65,0))</f>
        <v>0.61150000000000004</v>
      </c>
      <c r="V22" s="74">
        <f>INDEX('eskom production 2009-YTD'!$J$84:$T$99,MATCH($C22,'eskom production 2009-YTD'!$A$84:$A$99,0),MATCH(V$7,'eskom production 2009-YTD'!$J$65:$T$65,0))</f>
        <v>0.58079999999999998</v>
      </c>
      <c r="W22" s="74">
        <f t="shared" si="1"/>
        <v>0.62790490965148504</v>
      </c>
      <c r="X22" s="74">
        <f t="shared" si="2"/>
        <v>0.5381100970535827</v>
      </c>
      <c r="Y22" s="74">
        <v>0.4</v>
      </c>
      <c r="Z22" s="74"/>
      <c r="AA22" s="56">
        <v>277.77800000000002</v>
      </c>
      <c r="AB22" s="74">
        <f t="shared" si="3"/>
        <v>96.25</v>
      </c>
      <c r="AC22" s="74">
        <f t="shared" si="4"/>
        <v>1E-3</v>
      </c>
      <c r="AD22" s="76">
        <f t="shared" si="5"/>
        <v>1.5E-3</v>
      </c>
      <c r="AE22" s="74">
        <f t="shared" si="6"/>
        <v>0.62619999999999998</v>
      </c>
      <c r="AF22" s="74">
        <f t="shared" si="7"/>
        <v>0.3</v>
      </c>
      <c r="AG22" s="74">
        <f t="shared" si="8"/>
        <v>0.02</v>
      </c>
      <c r="AH22" s="74">
        <f t="shared" si="9"/>
        <v>5.0000000000000001E-3</v>
      </c>
      <c r="AI22" s="77">
        <f>INDEX('eskom production 2009-YTD'!$J$66:$T$80,MATCH($C22,'eskom production 2009-YTD'!$A$66:$A$80,0),MATCH(AI$7,'eskom production 2009-YTD'!$J$65:$Q$65,0))/1000</f>
        <v>3.51</v>
      </c>
      <c r="AJ22" s="77">
        <f>INDEX('eskom production 2009-YTD'!$J$66:$T$80,MATCH($C22,'eskom production 2009-YTD'!$A$66:$A$80,0),MATCH(AJ$7,'eskom production 2009-YTD'!$J$65:$Q$65,0))/1000</f>
        <v>3.51</v>
      </c>
      <c r="AK22" s="77">
        <f>INDEX('eskom production 2009-YTD'!$J$66:$T$80,MATCH($C22,'eskom production 2009-YTD'!$A$66:$A$80,0),MATCH(AK$7,'eskom production 2009-YTD'!$J$65:$Q$65,0))/1000</f>
        <v>3.51</v>
      </c>
      <c r="AL22" s="77">
        <f>DecomSchedule!O17</f>
        <v>3.51</v>
      </c>
      <c r="AM22" s="77">
        <f>DecomSchedule!P17</f>
        <v>3.51</v>
      </c>
      <c r="AN22" s="77">
        <f>DecomSchedule!Q17</f>
        <v>3.51</v>
      </c>
      <c r="AO22" s="77">
        <f>DecomSchedule!R17</f>
        <v>3.51</v>
      </c>
      <c r="AP22" s="77">
        <f>DecomSchedule!S17</f>
        <v>3.51</v>
      </c>
      <c r="AQ22" s="77">
        <f>DecomSchedule!T17</f>
        <v>3.51</v>
      </c>
      <c r="AR22" s="77">
        <f>DecomSchedule!U17</f>
        <v>3.51</v>
      </c>
      <c r="AS22" s="77">
        <f>DecomSchedule!V17</f>
        <v>3.51</v>
      </c>
      <c r="AT22" s="77">
        <f>DecomSchedule!W17</f>
        <v>3.51</v>
      </c>
      <c r="AU22" s="77">
        <f>DecomSchedule!X17</f>
        <v>3.51</v>
      </c>
      <c r="AV22" s="77">
        <f>DecomSchedule!Y17</f>
        <v>3.51</v>
      </c>
      <c r="AW22" s="77">
        <f>DecomSchedule!Z17</f>
        <v>3.51</v>
      </c>
      <c r="AX22" s="77">
        <f>DecomSchedule!AA17</f>
        <v>3.51</v>
      </c>
      <c r="AY22" s="77">
        <f>DecomSchedule!AB17</f>
        <v>3.51</v>
      </c>
      <c r="AZ22" s="77">
        <f>DecomSchedule!AC17</f>
        <v>3.51</v>
      </c>
      <c r="BA22" s="77">
        <f>DecomSchedule!AD17</f>
        <v>2.9249999999999998</v>
      </c>
      <c r="BB22" s="77">
        <f>DecomSchedule!AE17</f>
        <v>2.34</v>
      </c>
      <c r="BC22" s="77">
        <f>DecomSchedule!AF17</f>
        <v>1.17</v>
      </c>
      <c r="BD22" s="77">
        <f>DecomSchedule!AG17</f>
        <v>1.17</v>
      </c>
      <c r="BE22" s="77">
        <f>DecomSchedule!AH17</f>
        <v>0.58499999999999996</v>
      </c>
      <c r="BF22" s="77">
        <f>DecomSchedule!AI17</f>
        <v>0.58499999999999996</v>
      </c>
      <c r="BG22" s="77">
        <f>INDEX(DecomSchedule!$AJ17:$AS17,1,MATCH(BG$7,DecomSchedule!$AJ$3:$AS$3,0))</f>
        <v>0</v>
      </c>
      <c r="BH22" s="77">
        <f>INDEX(DecomSchedule!$AJ17:$AS17,1,MATCH(BH$7,DecomSchedule!$AJ$3:$AS$3,0))</f>
        <v>0</v>
      </c>
      <c r="BI22" s="77">
        <v>0</v>
      </c>
      <c r="BJ22" s="77">
        <v>0</v>
      </c>
    </row>
    <row r="23" spans="2:62"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7.4268904506673925</v>
      </c>
      <c r="K23" s="58">
        <f>INDEX(ElecBY!$O$82:$O$103,MATCH(B23,ElecBY!$D$82:$D$103,0))</f>
        <v>309.48734235538109</v>
      </c>
      <c r="L23" s="58">
        <f>INDEX(ElecBY!$K$82:$K$103,MATCH(B23,ElecBY!$D$82:$D$103,0))</f>
        <v>7328.9464331137988</v>
      </c>
      <c r="M23" s="72">
        <v>30</v>
      </c>
      <c r="N23" s="49">
        <v>31.536000000000001</v>
      </c>
      <c r="O23" s="49">
        <v>1</v>
      </c>
      <c r="P23" s="56">
        <v>5</v>
      </c>
      <c r="Q23" s="56">
        <v>0</v>
      </c>
      <c r="S23" s="74">
        <f>NERSA2018!N150</f>
        <v>0.32478976407914761</v>
      </c>
      <c r="W23" s="74"/>
      <c r="X23" s="74">
        <f t="shared" ref="X23:X29" si="10">S23</f>
        <v>0.32478976407914761</v>
      </c>
      <c r="AA23" s="56">
        <v>277.77800000000002</v>
      </c>
      <c r="AB23" s="74"/>
      <c r="AC23" s="74"/>
      <c r="AD23" s="76"/>
      <c r="AE23" s="74"/>
      <c r="AF23" s="74"/>
      <c r="AG23" s="74"/>
      <c r="AH23" s="74"/>
      <c r="AI23" s="49">
        <v>0.6</v>
      </c>
      <c r="AJ23" s="49">
        <v>0.6</v>
      </c>
      <c r="AK23" s="49">
        <v>0.6</v>
      </c>
      <c r="AL23" s="49">
        <v>0.6</v>
      </c>
      <c r="AM23" s="49">
        <v>0.6</v>
      </c>
      <c r="AN23" s="49">
        <v>0.6</v>
      </c>
      <c r="AO23" s="49">
        <v>0.6</v>
      </c>
      <c r="AP23" s="49">
        <v>0.6</v>
      </c>
      <c r="AQ23" s="49">
        <v>0.6</v>
      </c>
      <c r="AR23" s="49">
        <v>0.6</v>
      </c>
      <c r="AS23" s="49">
        <v>0</v>
      </c>
    </row>
    <row r="24" spans="2:62" ht="11.25" customHeight="1" x14ac:dyDescent="0.25">
      <c r="B24" s="49" t="str">
        <f>Processes!B30</f>
        <v>ETCLEPFSS-E</v>
      </c>
      <c r="C24" s="49" t="str">
        <f>Processes!C30</f>
        <v>Sasol SSF Coal Plant</v>
      </c>
      <c r="D24" s="49" t="str">
        <f>Processes!D30</f>
        <v>PJ,GW</v>
      </c>
      <c r="E24" s="49" t="s">
        <v>366</v>
      </c>
      <c r="F24" s="49" t="s">
        <v>365</v>
      </c>
      <c r="H24" s="60">
        <v>0.25429035508469455</v>
      </c>
      <c r="I24" s="60"/>
      <c r="J24" s="58">
        <f>INDEX(ElecBY!$S$82:$S$103,MATCH(B24,ElecBY!$D$82:$D$103,0))</f>
        <v>7.4268904506673925</v>
      </c>
      <c r="K24" s="58">
        <f>INDEX(ElecBY!$O$82:$O$103,MATCH(B24,ElecBY!$D$82:$D$103,0))</f>
        <v>309.48734235538109</v>
      </c>
      <c r="L24" s="58">
        <f>INDEX(ElecBY!$K$82:$K$103,MATCH(B24,ElecBY!$D$82:$D$103,0))</f>
        <v>7328.9464331137988</v>
      </c>
      <c r="M24" s="72">
        <v>30</v>
      </c>
      <c r="N24" s="49">
        <v>31.536000000000001</v>
      </c>
      <c r="O24" s="49">
        <v>1</v>
      </c>
      <c r="P24" s="56">
        <v>5</v>
      </c>
      <c r="Q24" s="56">
        <v>0</v>
      </c>
      <c r="R24" s="73"/>
      <c r="S24" s="74">
        <f>NERSA2017!P107</f>
        <v>0.73182243390231716</v>
      </c>
      <c r="W24" s="74"/>
      <c r="X24" s="74">
        <f t="shared" si="10"/>
        <v>0.73182243390231716</v>
      </c>
      <c r="AA24" s="56">
        <v>277.77800000000002</v>
      </c>
      <c r="AB24" s="75"/>
      <c r="AC24" s="75"/>
      <c r="AD24" s="75"/>
      <c r="AE24" s="75"/>
      <c r="AF24" s="75"/>
      <c r="AG24" s="75"/>
      <c r="AH24" s="75"/>
      <c r="AI24" s="49">
        <v>0.6</v>
      </c>
      <c r="AL24" s="56"/>
      <c r="BH24" s="49">
        <f>AI24</f>
        <v>0.6</v>
      </c>
    </row>
    <row r="25" spans="2:62" ht="11.25" customHeight="1" x14ac:dyDescent="0.25">
      <c r="B25" s="49" t="str">
        <f>Processes!B31</f>
        <v>ETCLEPFSI-E</v>
      </c>
      <c r="C25" s="49" t="str">
        <f>Processes!C31</f>
        <v>Sasol Infrachem Coal Plant</v>
      </c>
      <c r="D25" s="49" t="str">
        <f>Processes!D31</f>
        <v>PJ,GW</v>
      </c>
      <c r="E25" s="49" t="s">
        <v>364</v>
      </c>
      <c r="F25" s="49" t="s">
        <v>363</v>
      </c>
      <c r="H25" s="60">
        <v>0.25429035508469455</v>
      </c>
      <c r="I25" s="60"/>
      <c r="J25" s="58">
        <f>INDEX(ElecBY!$S$82:$S$103,MATCH(B25,ElecBY!$D$82:$D$103,0))</f>
        <v>7.4268904506673925</v>
      </c>
      <c r="K25" s="58">
        <f>INDEX(ElecBY!$O$82:$O$103,MATCH(B25,ElecBY!$D$82:$D$103,0))</f>
        <v>309.48734235538103</v>
      </c>
      <c r="L25" s="58">
        <f>INDEX(ElecBY!$K$82:$K$103,MATCH(B25,ElecBY!$D$82:$D$103,0))</f>
        <v>7328.9464331138006</v>
      </c>
      <c r="M25" s="72">
        <v>30</v>
      </c>
      <c r="N25" s="49">
        <v>31.536000000000001</v>
      </c>
      <c r="O25" s="49">
        <v>1</v>
      </c>
      <c r="P25" s="56">
        <v>5</v>
      </c>
      <c r="Q25" s="56">
        <v>0</v>
      </c>
      <c r="R25" s="73"/>
      <c r="S25" s="74">
        <f>NERSA2017!P106</f>
        <v>0.55688169145976019</v>
      </c>
      <c r="W25" s="74"/>
      <c r="X25" s="74">
        <f t="shared" si="10"/>
        <v>0.55688169145976019</v>
      </c>
      <c r="AA25" s="56">
        <v>277.77800000000002</v>
      </c>
      <c r="AB25" s="75"/>
      <c r="AC25" s="75"/>
      <c r="AD25" s="75"/>
      <c r="AE25" s="75"/>
      <c r="AF25" s="75"/>
      <c r="AG25" s="75"/>
      <c r="AH25" s="75"/>
      <c r="AI25" s="49">
        <v>0.128</v>
      </c>
      <c r="AL25" s="56"/>
      <c r="BH25" s="49">
        <f>AI25</f>
        <v>0.128</v>
      </c>
    </row>
    <row r="26" spans="2:62" ht="11.25" customHeight="1" x14ac:dyDescent="0.25">
      <c r="B26" s="49" t="str">
        <f>Processes!B24</f>
        <v>ETODSGT-E</v>
      </c>
      <c r="C26" s="49" t="str">
        <f>Processes!C24</f>
        <v>OCGT liquid fuels Existing</v>
      </c>
      <c r="D26" s="49" t="str">
        <f>Processes!D24</f>
        <v>PJ,GW</v>
      </c>
      <c r="E26" s="49" t="s">
        <v>362</v>
      </c>
      <c r="F26" s="49" t="s">
        <v>132</v>
      </c>
      <c r="H26" s="60">
        <v>0.32271024591215164</v>
      </c>
      <c r="I26" s="60"/>
      <c r="J26" s="58">
        <f>INDEX(ElecBY!$S$82:$S$103,MATCH(B26,ElecBY!$D$82:$D$103,0))</f>
        <v>0</v>
      </c>
      <c r="K26" s="58">
        <f>INDEX(ElecBY!$O$82:$O$103,MATCH(B26,ElecBY!$D$82:$D$103,0))</f>
        <v>53.83980985353967</v>
      </c>
      <c r="L26" s="58">
        <f>INDEX(ElecBY!$K$82:$K$103,MATCH(B26,ElecBY!$D$82:$D$103,0))</f>
        <v>1548.3774553528931</v>
      </c>
      <c r="M26" s="72">
        <v>30</v>
      </c>
      <c r="N26" s="49">
        <v>31.536000000000001</v>
      </c>
      <c r="O26" s="49">
        <v>1</v>
      </c>
      <c r="P26" s="56">
        <v>5</v>
      </c>
      <c r="Q26" s="56">
        <v>0</v>
      </c>
      <c r="R26" s="73"/>
      <c r="S26" s="49">
        <v>0.95879999999999999</v>
      </c>
      <c r="W26" s="74"/>
      <c r="X26" s="76">
        <f>SUM(NERSA2017!O47:O50)/1000000/(AI26*8.76)</f>
        <v>1.7935664699112745E-3</v>
      </c>
      <c r="AA26" s="56">
        <v>277.77800000000002</v>
      </c>
      <c r="AB26" s="73"/>
      <c r="AC26" s="73"/>
      <c r="AD26" s="73"/>
      <c r="AE26" s="73"/>
      <c r="AF26" s="73"/>
      <c r="AG26" s="73"/>
      <c r="AH26" s="73"/>
      <c r="AI26" s="49">
        <v>2.46</v>
      </c>
      <c r="AL26" s="56"/>
      <c r="AR26" s="49">
        <f>AI26</f>
        <v>2.46</v>
      </c>
      <c r="AS26" s="49">
        <v>2.1</v>
      </c>
      <c r="BE26" s="49">
        <v>2.1</v>
      </c>
      <c r="BF26" s="49">
        <v>0</v>
      </c>
    </row>
    <row r="27" spans="2:62" ht="11.25" customHeight="1" x14ac:dyDescent="0.25">
      <c r="B27" s="49" t="str">
        <f>Processes!B25</f>
        <v>ERHYD-E</v>
      </c>
      <c r="C27" s="49" t="str">
        <f>Processes!C25</f>
        <v>Hydro Existing South Africa</v>
      </c>
      <c r="D27" s="49" t="str">
        <f>Processes!D25</f>
        <v>PJ,GW</v>
      </c>
      <c r="E27" s="49" t="s">
        <v>361</v>
      </c>
      <c r="F27" s="49" t="s">
        <v>132</v>
      </c>
      <c r="H27" s="49">
        <v>1</v>
      </c>
      <c r="J27" s="58">
        <f>INDEX(ElecBY!$S$82:$S$103,MATCH(B27,ElecBY!$D$82:$D$103,0))</f>
        <v>0</v>
      </c>
      <c r="K27" s="58">
        <f>INDEX(ElecBY!$O$82:$O$103,MATCH(B27,ElecBY!$D$82:$D$103,0))</f>
        <v>33.489826757741227</v>
      </c>
      <c r="L27" s="58">
        <f>INDEX(ElecBY!$K$82:$K$103,MATCH(B27,ElecBY!$D$82:$D$103,0))</f>
        <v>4291.6881597278716</v>
      </c>
      <c r="M27" s="72">
        <v>50</v>
      </c>
      <c r="N27" s="49">
        <v>31.536000000000001</v>
      </c>
      <c r="O27" s="49">
        <v>1</v>
      </c>
      <c r="P27" s="56">
        <v>5</v>
      </c>
      <c r="Q27" s="56">
        <v>0</v>
      </c>
      <c r="R27" s="73"/>
      <c r="S27" s="59">
        <f>HistoricalDispatch!G4/1000/(ProcDataGenPre2012!AI27*8760)</f>
        <v>0.12001708037216328</v>
      </c>
      <c r="W27" s="74"/>
      <c r="X27" s="74">
        <f t="shared" si="10"/>
        <v>0.12001708037216328</v>
      </c>
      <c r="AA27" s="56"/>
      <c r="AB27" s="73"/>
      <c r="AC27" s="73"/>
      <c r="AD27" s="73"/>
      <c r="AE27" s="73"/>
      <c r="AF27" s="73"/>
      <c r="AG27" s="73"/>
      <c r="AH27" s="73"/>
      <c r="AI27" s="49">
        <v>0.66500000000000004</v>
      </c>
      <c r="AL27" s="56"/>
    </row>
    <row r="28" spans="2:62"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33.489826757741227</v>
      </c>
      <c r="L28" s="58">
        <f>INDEX(ElecBY!$K$82:$K$103,MATCH(B28,ElecBY!$D$82:$D$103,0))</f>
        <v>4291.6881597278707</v>
      </c>
      <c r="M28" s="72">
        <v>50</v>
      </c>
      <c r="N28" s="49">
        <v>31.536000000000001</v>
      </c>
      <c r="O28" s="49">
        <v>1</v>
      </c>
      <c r="P28" s="56">
        <v>5</v>
      </c>
      <c r="Q28" s="56">
        <v>0</v>
      </c>
      <c r="R28" s="73"/>
      <c r="S28" s="59">
        <f>HistoricalDispatch!F4/1000/(ProcDataGenPre2012!AI28*8760)</f>
        <v>0.6898696347031964</v>
      </c>
      <c r="T28" s="59"/>
      <c r="U28" s="59"/>
      <c r="W28" s="74"/>
      <c r="X28" s="74">
        <f t="shared" si="10"/>
        <v>0.6898696347031964</v>
      </c>
      <c r="Y28" s="59"/>
      <c r="AA28" s="56"/>
      <c r="AB28" s="73"/>
      <c r="AC28" s="73"/>
      <c r="AD28" s="73"/>
      <c r="AE28" s="73"/>
      <c r="AF28" s="73"/>
      <c r="AG28" s="73"/>
      <c r="AH28" s="73"/>
      <c r="AI28" s="49">
        <v>1.5</v>
      </c>
      <c r="BH28" s="49">
        <v>1.5</v>
      </c>
    </row>
    <row r="29" spans="2:62" ht="11.25" customHeight="1" x14ac:dyDescent="0.25">
      <c r="B29" s="49" t="str">
        <f>Processes!B27</f>
        <v>ETNUC-E</v>
      </c>
      <c r="C29" s="49" t="str">
        <f>Processes!C27</f>
        <v>Nuclear Existing</v>
      </c>
      <c r="D29" s="49" t="str">
        <f>Processes!D27</f>
        <v>PJ,GW</v>
      </c>
      <c r="E29" s="49" t="s">
        <v>360</v>
      </c>
      <c r="F29" s="49" t="s">
        <v>132</v>
      </c>
      <c r="H29" s="60">
        <v>0.32001521850150205</v>
      </c>
      <c r="I29" s="60"/>
      <c r="J29" s="58">
        <f>INDEX(ElecBY!$S$82:$S$103,MATCH(B29,ElecBY!$D$82:$D$103,0))</f>
        <v>0</v>
      </c>
      <c r="K29" s="58">
        <f>INDEX(ElecBY!$O$82:$O$103,MATCH(B29,ElecBY!$D$82:$D$103,0))</f>
        <v>324.13763075090213</v>
      </c>
      <c r="L29" s="58">
        <f>INDEX(ElecBY!$K$82:$K$103,MATCH(B29,ElecBY!$D$82:$D$103,0))</f>
        <v>13710.751684183058</v>
      </c>
      <c r="M29" s="72">
        <v>50</v>
      </c>
      <c r="N29" s="49">
        <v>31.536000000000001</v>
      </c>
      <c r="O29" s="49">
        <v>1</v>
      </c>
      <c r="P29" s="56">
        <v>5</v>
      </c>
      <c r="Q29" s="56">
        <v>0</v>
      </c>
      <c r="R29" s="73"/>
      <c r="S29" s="59">
        <f>HistoricalDispatch!I4/1000/(AI29*8760)</f>
        <v>0.92601880492954292</v>
      </c>
      <c r="T29" s="49">
        <v>0.84160000000000001</v>
      </c>
      <c r="W29" s="74"/>
      <c r="X29" s="74">
        <f t="shared" si="10"/>
        <v>0.92601880492954292</v>
      </c>
      <c r="Y29" s="49">
        <v>0.8</v>
      </c>
      <c r="AA29" s="56">
        <v>277.77800000000002</v>
      </c>
      <c r="AB29" s="73"/>
      <c r="AC29" s="73"/>
      <c r="AD29" s="73"/>
      <c r="AE29" s="73"/>
      <c r="AF29" s="73"/>
      <c r="AG29" s="73"/>
      <c r="AH29" s="73"/>
      <c r="AI29" s="49">
        <v>1.86</v>
      </c>
      <c r="AL29" s="56"/>
      <c r="BF29" s="49">
        <v>1.86</v>
      </c>
      <c r="BG29" s="49">
        <v>0</v>
      </c>
    </row>
    <row r="30" spans="2:62"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3.6222838057925668</v>
      </c>
      <c r="L30" s="58">
        <f>INDEX(ElecBY!$K$82:$K$103,MATCH(B30,ElecBY!$D$82:$D$103,0))</f>
        <v>4229.441095255961</v>
      </c>
      <c r="M30" s="72">
        <v>50</v>
      </c>
      <c r="N30" s="49">
        <v>31.536000000000001</v>
      </c>
      <c r="O30" s="49">
        <v>1</v>
      </c>
      <c r="P30" s="56">
        <v>5</v>
      </c>
      <c r="Q30" s="56">
        <v>0</v>
      </c>
      <c r="Z30" s="49">
        <v>1</v>
      </c>
      <c r="AA30" s="56"/>
      <c r="AI30" s="49">
        <v>1.58</v>
      </c>
      <c r="BH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E37"/>
  <sheetViews>
    <sheetView workbookViewId="0">
      <pane xSplit="3" ySplit="7" topLeftCell="AH8" activePane="bottomRight" state="frozen"/>
      <selection pane="topRight" activeCell="D1" sqref="D1"/>
      <selection pane="bottomLeft" activeCell="A8" sqref="A8"/>
      <selection pane="bottomRight" activeCell="BC20" sqref="BC20"/>
    </sheetView>
    <sheetView topLeftCell="Q1" workbookViewId="1">
      <selection activeCell="H29" sqref="H2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57" ht="11.25" customHeight="1" x14ac:dyDescent="0.2">
      <c r="A1" s="70" t="str">
        <f ca="1">IF(INDEX(Index!$C$9:$C$33,MATCH(A2,Index!B9:B33,0)),"ProcData","")</f>
        <v>ProcData</v>
      </c>
      <c r="B1" s="19" t="s">
        <v>138</v>
      </c>
      <c r="L1" s="84"/>
      <c r="AN1" s="49" t="s">
        <v>92</v>
      </c>
      <c r="AO1" s="49" t="s">
        <v>92</v>
      </c>
    </row>
    <row r="2" spans="1:57" ht="11.25" customHeight="1" x14ac:dyDescent="0.2">
      <c r="A2" s="64" t="str">
        <f ca="1">MID(CELL("filename",A1),FIND("]",CELL("filename",A1))+1,255)</f>
        <v>ProcDataGen2012On</v>
      </c>
    </row>
    <row r="3" spans="1:57" ht="34.5" customHeight="1" x14ac:dyDescent="0.2">
      <c r="H3" s="83" t="s">
        <v>153</v>
      </c>
      <c r="I3" s="83" t="s">
        <v>395</v>
      </c>
      <c r="J3" s="83" t="s">
        <v>152</v>
      </c>
      <c r="K3" s="83" t="s">
        <v>155</v>
      </c>
      <c r="L3" s="83" t="s">
        <v>412</v>
      </c>
      <c r="M3" s="83" t="s">
        <v>411</v>
      </c>
      <c r="N3" s="83" t="s">
        <v>163</v>
      </c>
      <c r="O3" s="83" t="s">
        <v>151</v>
      </c>
      <c r="P3" s="83" t="s">
        <v>391</v>
      </c>
      <c r="S3" s="83" t="s">
        <v>387</v>
      </c>
      <c r="T3" s="49" t="s">
        <v>390</v>
      </c>
      <c r="U3" s="49" t="s">
        <v>390</v>
      </c>
      <c r="V3" s="49" t="s">
        <v>390</v>
      </c>
      <c r="W3" s="49" t="s">
        <v>390</v>
      </c>
      <c r="X3" s="49" t="s">
        <v>390</v>
      </c>
      <c r="Y3" s="49" t="s">
        <v>390</v>
      </c>
      <c r="Z3" s="49" t="s">
        <v>390</v>
      </c>
      <c r="AA3" s="49" t="s">
        <v>390</v>
      </c>
      <c r="AB3" s="49" t="s">
        <v>388</v>
      </c>
      <c r="AC3" s="49" t="s">
        <v>386</v>
      </c>
      <c r="AJ3" s="49" t="s">
        <v>410</v>
      </c>
      <c r="AK3" s="49" t="s">
        <v>409</v>
      </c>
      <c r="AL3" s="49" t="s">
        <v>409</v>
      </c>
      <c r="AM3" s="49" t="s">
        <v>408</v>
      </c>
    </row>
    <row r="4" spans="1:57" ht="21.75" customHeight="1" x14ac:dyDescent="0.2">
      <c r="E4" s="82"/>
      <c r="F4" s="82"/>
      <c r="G4" s="82"/>
      <c r="H4" s="67" t="s">
        <v>121</v>
      </c>
      <c r="I4" s="67" t="s">
        <v>385</v>
      </c>
      <c r="J4" s="67" t="s">
        <v>120</v>
      </c>
      <c r="K4" s="67" t="s">
        <v>156</v>
      </c>
      <c r="L4" s="67" t="s">
        <v>384</v>
      </c>
      <c r="M4" s="67" t="s">
        <v>407</v>
      </c>
      <c r="N4" s="67" t="s">
        <v>383</v>
      </c>
      <c r="O4" s="67" t="s">
        <v>119</v>
      </c>
      <c r="P4" s="67" t="s">
        <v>382</v>
      </c>
      <c r="Q4" s="81" t="s">
        <v>381</v>
      </c>
      <c r="R4" s="81" t="s">
        <v>381</v>
      </c>
      <c r="S4" s="81" t="s">
        <v>377</v>
      </c>
      <c r="T4" s="81" t="s">
        <v>379</v>
      </c>
      <c r="U4" s="81" t="s">
        <v>379</v>
      </c>
      <c r="V4" s="81" t="s">
        <v>379</v>
      </c>
      <c r="W4" s="81" t="s">
        <v>379</v>
      </c>
      <c r="X4" s="81" t="s">
        <v>380</v>
      </c>
      <c r="Y4" s="81" t="s">
        <v>380</v>
      </c>
      <c r="Z4" s="81" t="s">
        <v>380</v>
      </c>
      <c r="AA4" s="81" t="s">
        <v>380</v>
      </c>
      <c r="AB4" s="81" t="s">
        <v>378</v>
      </c>
      <c r="AC4" s="81" t="s">
        <v>376</v>
      </c>
      <c r="AD4" s="81" t="s">
        <v>376</v>
      </c>
      <c r="AE4" s="81" t="s">
        <v>376</v>
      </c>
      <c r="AF4" s="81" t="s">
        <v>376</v>
      </c>
      <c r="AG4" s="81" t="s">
        <v>376</v>
      </c>
      <c r="AH4" s="81" t="s">
        <v>376</v>
      </c>
      <c r="AI4" s="81" t="s">
        <v>376</v>
      </c>
      <c r="AJ4" s="81" t="s">
        <v>406</v>
      </c>
      <c r="AK4" s="81" t="s">
        <v>165</v>
      </c>
      <c r="AL4" s="81" t="s">
        <v>165</v>
      </c>
      <c r="AM4" s="81" t="s">
        <v>405</v>
      </c>
      <c r="AN4" s="81" t="s">
        <v>405</v>
      </c>
      <c r="AO4" s="81" t="s">
        <v>405</v>
      </c>
      <c r="AP4" s="81" t="s">
        <v>405</v>
      </c>
      <c r="AQ4" s="81" t="s">
        <v>405</v>
      </c>
      <c r="AR4" s="81" t="s">
        <v>405</v>
      </c>
      <c r="AS4" s="81" t="s">
        <v>405</v>
      </c>
      <c r="AT4" s="81" t="s">
        <v>405</v>
      </c>
      <c r="AU4" s="81" t="s">
        <v>405</v>
      </c>
      <c r="AV4" s="81" t="s">
        <v>405</v>
      </c>
      <c r="AW4" s="81" t="s">
        <v>405</v>
      </c>
      <c r="AX4" s="81" t="s">
        <v>405</v>
      </c>
      <c r="AY4" s="81" t="s">
        <v>381</v>
      </c>
      <c r="AZ4" s="81" t="s">
        <v>381</v>
      </c>
      <c r="BA4" s="81" t="s">
        <v>381</v>
      </c>
      <c r="BB4" s="81" t="s">
        <v>381</v>
      </c>
      <c r="BC4" s="81" t="s">
        <v>381</v>
      </c>
      <c r="BD4" s="81"/>
      <c r="BE4" s="81"/>
    </row>
    <row r="5" spans="1:57" ht="16.5" customHeight="1" x14ac:dyDescent="0.2">
      <c r="H5" s="67" t="s">
        <v>27</v>
      </c>
      <c r="I5" s="67"/>
      <c r="J5" s="67"/>
      <c r="O5" s="80"/>
      <c r="P5" s="67" t="s">
        <v>122</v>
      </c>
      <c r="S5" s="67" t="s">
        <v>375</v>
      </c>
      <c r="T5" s="67"/>
      <c r="U5" s="67"/>
      <c r="V5" s="67"/>
      <c r="W5" s="67"/>
      <c r="X5" s="67"/>
      <c r="Y5" s="67"/>
      <c r="Z5" s="67"/>
      <c r="AA5" s="67"/>
      <c r="AB5" s="67" t="s">
        <v>27</v>
      </c>
      <c r="AC5" s="67" t="s">
        <v>374</v>
      </c>
      <c r="AD5" s="67" t="s">
        <v>373</v>
      </c>
      <c r="AE5" s="67" t="s">
        <v>372</v>
      </c>
      <c r="AF5" s="67" t="s">
        <v>371</v>
      </c>
      <c r="AG5" s="67" t="s">
        <v>370</v>
      </c>
      <c r="AH5" s="67" t="s">
        <v>369</v>
      </c>
      <c r="AI5" s="67" t="s">
        <v>368</v>
      </c>
      <c r="AV5" s="67"/>
      <c r="AW5" s="67"/>
      <c r="AZ5" s="67"/>
      <c r="BA5" s="67"/>
    </row>
    <row r="6" spans="1:57" ht="17.25" customHeight="1" x14ac:dyDescent="0.2">
      <c r="H6" s="67" t="s">
        <v>122</v>
      </c>
      <c r="I6" s="67"/>
      <c r="J6" s="67"/>
      <c r="O6" s="80"/>
      <c r="S6" s="67" t="s">
        <v>122</v>
      </c>
      <c r="AB6" s="67" t="s">
        <v>367</v>
      </c>
      <c r="AC6" s="67" t="s">
        <v>122</v>
      </c>
      <c r="AD6" s="67" t="s">
        <v>122</v>
      </c>
      <c r="AE6" s="67" t="s">
        <v>122</v>
      </c>
      <c r="AF6" s="67" t="s">
        <v>122</v>
      </c>
      <c r="AG6" s="67" t="s">
        <v>122</v>
      </c>
      <c r="AH6" s="67" t="s">
        <v>122</v>
      </c>
      <c r="AI6" s="67" t="s">
        <v>122</v>
      </c>
      <c r="AM6" s="67"/>
      <c r="AN6" s="67"/>
      <c r="AO6" s="67"/>
      <c r="AP6" s="67"/>
      <c r="AQ6" s="67"/>
      <c r="AR6" s="67"/>
      <c r="AS6" s="67"/>
      <c r="AT6" s="67"/>
      <c r="AU6" s="67"/>
      <c r="AY6" s="67"/>
    </row>
    <row r="7" spans="1:57" ht="21.75" customHeight="1" x14ac:dyDescent="0.2">
      <c r="B7" s="70" t="s">
        <v>56</v>
      </c>
      <c r="C7" s="70" t="s">
        <v>57</v>
      </c>
      <c r="D7" s="79" t="s">
        <v>93</v>
      </c>
      <c r="E7" s="70" t="s">
        <v>80</v>
      </c>
      <c r="F7" s="70" t="s">
        <v>81</v>
      </c>
      <c r="G7" s="79" t="s">
        <v>94</v>
      </c>
      <c r="O7" s="78" t="s">
        <v>44</v>
      </c>
      <c r="P7" s="78"/>
      <c r="Q7" s="49">
        <v>0</v>
      </c>
      <c r="R7" s="49">
        <v>2012</v>
      </c>
      <c r="T7" s="49">
        <v>2012</v>
      </c>
      <c r="U7" s="49">
        <v>2017</v>
      </c>
      <c r="V7" s="49">
        <v>2020</v>
      </c>
      <c r="W7" s="49">
        <v>2030</v>
      </c>
      <c r="X7" s="49">
        <v>2012</v>
      </c>
      <c r="Y7" s="49">
        <v>2017</v>
      </c>
      <c r="Z7" s="49">
        <v>2020</v>
      </c>
      <c r="AA7" s="49">
        <v>2025</v>
      </c>
      <c r="AE7" s="56"/>
      <c r="AF7" s="56"/>
      <c r="AJ7" s="78" t="s">
        <v>44</v>
      </c>
      <c r="AK7" s="56">
        <v>0</v>
      </c>
      <c r="AL7" s="49">
        <v>2012</v>
      </c>
      <c r="AM7" s="49">
        <v>2012</v>
      </c>
      <c r="AN7" s="49">
        <v>2013</v>
      </c>
      <c r="AO7" s="49">
        <v>2014</v>
      </c>
      <c r="AP7" s="49">
        <v>2015</v>
      </c>
      <c r="AQ7" s="49">
        <v>2016</v>
      </c>
      <c r="AR7" s="49">
        <v>2017</v>
      </c>
      <c r="AS7" s="49">
        <v>2018</v>
      </c>
      <c r="AT7" s="49">
        <v>2019</v>
      </c>
      <c r="AU7" s="49">
        <v>2020</v>
      </c>
      <c r="AV7" s="49">
        <v>2021</v>
      </c>
      <c r="AW7" s="49">
        <v>2022</v>
      </c>
      <c r="AX7" s="49">
        <v>2023</v>
      </c>
      <c r="AY7" s="56">
        <v>0</v>
      </c>
      <c r="AZ7" s="49">
        <v>2020</v>
      </c>
      <c r="BA7" s="49">
        <v>2025</v>
      </c>
      <c r="BB7" s="49">
        <v>2030</v>
      </c>
      <c r="BC7" s="49">
        <v>2050</v>
      </c>
    </row>
    <row r="8" spans="1:57" ht="11.25" customHeight="1" x14ac:dyDescent="0.2">
      <c r="A8" s="52" t="str">
        <f>Processes!A32</f>
        <v>* New Power Plants - Grid</v>
      </c>
      <c r="F8" s="55"/>
      <c r="R8" s="56"/>
      <c r="S8" s="56"/>
      <c r="AE8" s="56"/>
      <c r="AF8" s="56"/>
      <c r="AV8" s="56"/>
      <c r="AY8" s="56"/>
    </row>
    <row r="9" spans="1:57"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5</v>
      </c>
      <c r="R9" s="56"/>
      <c r="S9" s="56">
        <v>277.77800000000002</v>
      </c>
      <c r="T9" s="74">
        <v>0.4</v>
      </c>
      <c r="U9" s="74">
        <v>0.79</v>
      </c>
      <c r="V9" s="74">
        <v>0.55000000000000004</v>
      </c>
      <c r="W9" s="74">
        <v>0.41</v>
      </c>
      <c r="X9" s="74">
        <v>0.4</v>
      </c>
      <c r="Y9" s="74">
        <v>0.8</v>
      </c>
      <c r="Z9" s="74">
        <f>INDEX('eskom production 2009-YTD'!$J$84:$T$99,MATCH($C9,'eskom production 2009-YTD'!$A$84:$A$99,0),MATCH(Z$7,'eskom production 2009-YTD'!$J$65:$T$65,0))</f>
        <v>0.56045350538393268</v>
      </c>
      <c r="AA9" s="74">
        <f>INDEX('eskom production 2009-YTD'!$J$84:$T$99,MATCH($C9,'eskom production 2009-YTD'!$A$84:$A$99,0),MATCH(AA$7,'eskom production 2009-YTD'!$J$65:$T$65,0))</f>
        <v>0.8</v>
      </c>
      <c r="AB9" s="74"/>
      <c r="AC9" s="74">
        <v>96.25</v>
      </c>
      <c r="AD9" s="77">
        <v>1E-3</v>
      </c>
      <c r="AE9" s="76">
        <v>1.5E-3</v>
      </c>
      <c r="AF9" s="74">
        <v>0.62619999999999998</v>
      </c>
      <c r="AG9" s="74">
        <v>0.3</v>
      </c>
      <c r="AH9" s="74">
        <v>0.02</v>
      </c>
      <c r="AI9" s="74">
        <v>5.0000000000000001E-3</v>
      </c>
      <c r="AJ9" s="74"/>
      <c r="AK9" s="85">
        <v>3</v>
      </c>
      <c r="AL9" s="74">
        <f>SUM(AM9:AW9)</f>
        <v>4.3319999999999999</v>
      </c>
      <c r="AM9" s="77">
        <v>0</v>
      </c>
      <c r="AN9" s="77">
        <v>0</v>
      </c>
      <c r="AO9" s="77">
        <v>0</v>
      </c>
      <c r="AP9" s="77">
        <v>0.72199999999999998</v>
      </c>
      <c r="AQ9" s="77">
        <v>0.72199999999999998</v>
      </c>
      <c r="AR9" s="49">
        <v>0</v>
      </c>
      <c r="AS9" s="49">
        <v>0.72199999999999998</v>
      </c>
      <c r="AT9" s="55">
        <v>0.72199999999999998</v>
      </c>
      <c r="AU9" s="49">
        <v>0.72199999999999998</v>
      </c>
      <c r="AV9" s="49">
        <v>0.72199999999999998</v>
      </c>
      <c r="AW9" s="49">
        <v>0</v>
      </c>
      <c r="AY9" s="56"/>
    </row>
    <row r="10" spans="1:57"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5</v>
      </c>
      <c r="R10" s="56"/>
      <c r="S10" s="56">
        <v>277.77800000000002</v>
      </c>
      <c r="T10" s="74"/>
      <c r="U10" s="74">
        <f>'eskom production 2009-YTD'!S16/(AR10*8.76)</f>
        <v>0.21812807523495115</v>
      </c>
      <c r="V10" s="74">
        <v>0.4</v>
      </c>
      <c r="W10" s="74"/>
      <c r="Y10" s="74">
        <f>NERSA2018!Q31</f>
        <v>0.55218394942432913</v>
      </c>
      <c r="Z10" s="74">
        <f>Z9</f>
        <v>0.56045350538393268</v>
      </c>
      <c r="AA10" s="74">
        <f>AA9</f>
        <v>0.8</v>
      </c>
      <c r="AB10" s="74"/>
      <c r="AC10" s="74">
        <f t="shared" ref="AC10:AE11" si="0">AC9</f>
        <v>96.25</v>
      </c>
      <c r="AD10" s="77">
        <f t="shared" si="0"/>
        <v>1E-3</v>
      </c>
      <c r="AE10" s="76">
        <f t="shared" si="0"/>
        <v>1.5E-3</v>
      </c>
      <c r="AF10" s="87">
        <f>AF9*(1-0.93)</f>
        <v>4.383399999999997E-2</v>
      </c>
      <c r="AG10" s="86">
        <f t="shared" ref="AG10:AI11" si="1">AG9</f>
        <v>0.3</v>
      </c>
      <c r="AH10" s="86">
        <f t="shared" si="1"/>
        <v>0.02</v>
      </c>
      <c r="AI10" s="86">
        <f t="shared" si="1"/>
        <v>5.0000000000000001E-3</v>
      </c>
      <c r="AJ10" s="74"/>
      <c r="AK10" s="85">
        <v>3</v>
      </c>
      <c r="AL10" s="74">
        <f>SUM(AM10:AX10)</f>
        <v>4.3319999999999999</v>
      </c>
      <c r="AQ10" s="49">
        <v>0</v>
      </c>
      <c r="AR10" s="49">
        <v>0.72199999999999998</v>
      </c>
      <c r="AS10" s="49">
        <v>0</v>
      </c>
      <c r="AT10" s="49">
        <v>0</v>
      </c>
      <c r="AU10" s="55">
        <f>0.722*2</f>
        <v>1.444</v>
      </c>
      <c r="AV10" s="49">
        <v>0.72199999999999998</v>
      </c>
      <c r="AW10" s="49">
        <v>0.72199999999999998</v>
      </c>
      <c r="AX10" s="49">
        <v>0.72199999999999998</v>
      </c>
      <c r="AY10" s="56"/>
    </row>
    <row r="11" spans="1:57"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c r="R11" s="56"/>
      <c r="S11" s="56">
        <v>277.77800000000002</v>
      </c>
      <c r="T11" s="74">
        <v>0.4</v>
      </c>
      <c r="U11" s="74"/>
      <c r="V11" s="74"/>
      <c r="W11" s="74"/>
      <c r="X11" s="49">
        <v>0.8</v>
      </c>
      <c r="Y11" s="74"/>
      <c r="Z11" s="74"/>
      <c r="AA11" s="74"/>
      <c r="AB11" s="74"/>
      <c r="AC11" s="74">
        <f t="shared" si="0"/>
        <v>96.25</v>
      </c>
      <c r="AD11" s="77">
        <f t="shared" si="0"/>
        <v>1E-3</v>
      </c>
      <c r="AE11" s="74">
        <f t="shared" si="0"/>
        <v>1.5E-3</v>
      </c>
      <c r="AF11" s="74">
        <f>AF10</f>
        <v>4.383399999999997E-2</v>
      </c>
      <c r="AG11" s="74">
        <f t="shared" si="1"/>
        <v>0.3</v>
      </c>
      <c r="AH11" s="74">
        <f t="shared" si="1"/>
        <v>0.02</v>
      </c>
      <c r="AI11" s="74">
        <f t="shared" si="1"/>
        <v>5.0000000000000001E-3</v>
      </c>
      <c r="AJ11" s="85">
        <v>2026</v>
      </c>
      <c r="AK11" s="85"/>
      <c r="AL11" s="85"/>
      <c r="AU11" s="56"/>
      <c r="AY11" s="56"/>
    </row>
    <row r="12" spans="1:57"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T12" s="74"/>
      <c r="U12" s="74"/>
      <c r="V12" s="74"/>
      <c r="W12" s="74"/>
      <c r="AB12" s="49">
        <v>0.65700000000000003</v>
      </c>
      <c r="AD12" s="60"/>
      <c r="AK12" s="85">
        <v>3</v>
      </c>
      <c r="AL12" s="74">
        <f>SUM(AM12:AW12)</f>
        <v>1.32</v>
      </c>
      <c r="AP12" s="49">
        <v>0</v>
      </c>
      <c r="AQ12" s="49">
        <v>0.99</v>
      </c>
      <c r="AR12" s="49">
        <v>0.33</v>
      </c>
      <c r="AS12" s="49">
        <v>0</v>
      </c>
      <c r="AY12" s="56"/>
    </row>
    <row r="13" spans="1:57" ht="11.25" customHeight="1" x14ac:dyDescent="0.2">
      <c r="B13" s="49" t="str">
        <f>Processes!B37</f>
        <v>ETODSGT-N</v>
      </c>
      <c r="C13" s="49" t="str">
        <f>Processes!C37</f>
        <v>DOE Peakers</v>
      </c>
      <c r="D13" s="49" t="str">
        <f>Processes!D37</f>
        <v>PJ,GW</v>
      </c>
      <c r="E13" s="49" t="s">
        <v>362</v>
      </c>
      <c r="F13" s="49" t="s">
        <v>132</v>
      </c>
      <c r="H13" s="49">
        <v>0.313</v>
      </c>
      <c r="J13" s="58">
        <f>J22</f>
        <v>2.411845618577555</v>
      </c>
      <c r="K13" s="72">
        <f>K32</f>
        <v>161.68298406019903</v>
      </c>
      <c r="L13" s="84">
        <f>9226*Deflator!$W$4*1.1</f>
        <v>9065.5023869245088</v>
      </c>
      <c r="M13" s="49">
        <v>-2</v>
      </c>
      <c r="N13" s="49">
        <v>30</v>
      </c>
      <c r="O13" s="49">
        <v>31.536000000000001</v>
      </c>
      <c r="P13" s="49">
        <v>1</v>
      </c>
      <c r="T13" s="74">
        <v>0.05</v>
      </c>
      <c r="U13" s="74"/>
      <c r="V13" s="74"/>
      <c r="W13" s="74"/>
      <c r="X13" s="49">
        <v>0.8</v>
      </c>
      <c r="AD13" s="60"/>
      <c r="AK13" s="85">
        <v>3</v>
      </c>
      <c r="AL13" s="74">
        <f>SUM(AM13:AW13)</f>
        <v>1.0050000000000001</v>
      </c>
      <c r="AO13" s="49">
        <v>0</v>
      </c>
      <c r="AP13" s="49">
        <v>0.33500000000000002</v>
      </c>
      <c r="AQ13" s="49">
        <v>0.67</v>
      </c>
      <c r="AR13" s="49">
        <v>0</v>
      </c>
      <c r="AY13" s="56"/>
    </row>
    <row r="14" spans="1:57" ht="11.25" customHeight="1" x14ac:dyDescent="0.2">
      <c r="B14" s="49" t="str">
        <f>Processes!B38</f>
        <v>ETCLDFB-N</v>
      </c>
      <c r="C14" s="49" t="str">
        <f>Processes!C38</f>
        <v>Fluidised Bed Combustion Coal</v>
      </c>
      <c r="D14" s="49" t="str">
        <f>Processes!D38</f>
        <v>PJ,GW</v>
      </c>
      <c r="E14" s="49" t="s">
        <v>404</v>
      </c>
      <c r="F14" s="49" t="s">
        <v>132</v>
      </c>
      <c r="H14" s="49">
        <v>0.33400000000000002</v>
      </c>
      <c r="J14" s="58">
        <f>INDEX('IRP Costs'!$B$14:$AK$14,1,MATCH(C14,'IRP Costs'!$B$2:$AK$2,0))</f>
        <v>174.54616069261266</v>
      </c>
      <c r="K14" s="84">
        <v>568</v>
      </c>
      <c r="L14" s="84">
        <v>46960</v>
      </c>
      <c r="M14" s="49">
        <v>-4</v>
      </c>
      <c r="N14" s="49">
        <v>30</v>
      </c>
      <c r="O14" s="49">
        <v>31.536000000000001</v>
      </c>
      <c r="P14" s="49">
        <v>1</v>
      </c>
      <c r="S14" s="56">
        <v>277.77800000000002</v>
      </c>
      <c r="T14" s="74">
        <v>0.4</v>
      </c>
      <c r="U14" s="74"/>
      <c r="V14" s="74"/>
      <c r="W14" s="74"/>
      <c r="X14" s="49">
        <v>0.8</v>
      </c>
      <c r="AC14" s="74">
        <f>AC13</f>
        <v>0</v>
      </c>
      <c r="AD14" s="77">
        <f t="shared" ref="AD14:AI14" si="2">AD11</f>
        <v>1E-3</v>
      </c>
      <c r="AE14" s="77">
        <f t="shared" si="2"/>
        <v>1.5E-3</v>
      </c>
      <c r="AF14" s="77">
        <f t="shared" si="2"/>
        <v>4.383399999999997E-2</v>
      </c>
      <c r="AG14" s="77">
        <f t="shared" si="2"/>
        <v>0.3</v>
      </c>
      <c r="AH14" s="77">
        <f t="shared" si="2"/>
        <v>0.02</v>
      </c>
      <c r="AI14" s="77">
        <f t="shared" si="2"/>
        <v>5.0000000000000001E-3</v>
      </c>
      <c r="AJ14" s="85">
        <v>2026</v>
      </c>
      <c r="AK14" s="77"/>
      <c r="AL14" s="77"/>
      <c r="AY14" s="56"/>
    </row>
    <row r="15" spans="1:57" ht="11.25" customHeight="1" x14ac:dyDescent="0.2">
      <c r="B15" s="49" t="str">
        <f>Processes!B39</f>
        <v>ERHYD-N</v>
      </c>
      <c r="C15" s="49" t="str">
        <f>Processes!C39</f>
        <v>Micro hydro</v>
      </c>
      <c r="D15" s="49" t="str">
        <f>Processes!D39</f>
        <v>PJ,GW</v>
      </c>
      <c r="E15" s="49" t="s">
        <v>361</v>
      </c>
      <c r="F15" s="49" t="s">
        <v>132</v>
      </c>
      <c r="H15" s="49">
        <v>1</v>
      </c>
      <c r="J15" s="58">
        <f>INDEX('IRP Costs'!$B$14:$AK$14,1,MATCH(C15,'IRP Costs'!$B$2:$AK$2,0))</f>
        <v>0</v>
      </c>
      <c r="L15" s="84">
        <f>'IRP Costs'!AK17</f>
        <v>11515.669552552794</v>
      </c>
      <c r="M15" s="49">
        <v>-2</v>
      </c>
      <c r="N15" s="49">
        <v>50</v>
      </c>
      <c r="O15" s="49">
        <v>31.536000000000001</v>
      </c>
      <c r="P15" s="49">
        <v>1</v>
      </c>
      <c r="T15" s="74"/>
      <c r="U15" s="74"/>
      <c r="V15" s="74"/>
      <c r="W15" s="74"/>
      <c r="X15" s="58">
        <f>ProcDataGenPre2012!S27</f>
        <v>0.12001708037216328</v>
      </c>
      <c r="AJ15" s="85"/>
      <c r="AK15" s="49">
        <v>3</v>
      </c>
      <c r="AL15" s="49">
        <v>0.01</v>
      </c>
      <c r="AV15" s="49">
        <v>4.4999999999999997E-3</v>
      </c>
      <c r="AY15" s="56"/>
    </row>
    <row r="16" spans="1:57" ht="11.25" customHeight="1" x14ac:dyDescent="0.2">
      <c r="B16" s="49" t="str">
        <f>Processes!B40</f>
        <v>ETNUC-N</v>
      </c>
      <c r="C16" s="49" t="str">
        <f>Processes!C40</f>
        <v>Nuclear Mid</v>
      </c>
      <c r="D16" s="49" t="str">
        <f>Processes!D40</f>
        <v>PJ,GW</v>
      </c>
      <c r="E16" s="49" t="s">
        <v>360</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S16" s="56">
        <v>277.77800000000002</v>
      </c>
      <c r="T16" s="74"/>
      <c r="U16" s="74"/>
      <c r="V16" s="74"/>
      <c r="W16" s="74"/>
      <c r="X16" s="49">
        <v>0.85</v>
      </c>
      <c r="AJ16" s="85">
        <v>2030</v>
      </c>
      <c r="AY16" s="56"/>
    </row>
    <row r="17" spans="1:55" ht="11.25" customHeight="1" x14ac:dyDescent="0.2">
      <c r="B17" s="49" t="str">
        <f>Processes!B41</f>
        <v>ERSOLTC09-N</v>
      </c>
      <c r="C17" s="49" t="str">
        <f>Processes!C41</f>
        <v>Solar Central Receiver 09 hrs storage</v>
      </c>
      <c r="D17" s="49" t="str">
        <f>Processes!D41</f>
        <v>PJ,GW</v>
      </c>
      <c r="E17" s="49" t="s">
        <v>397</v>
      </c>
      <c r="F17" s="49" t="s">
        <v>132</v>
      </c>
      <c r="H17" s="49">
        <v>1</v>
      </c>
      <c r="J17" s="58">
        <f>INDEX('IRP Costs'!$B$14:$AK$14,1,MATCH(C17,'IRP Costs'!$B$2:$AK$2,0))</f>
        <v>0.89327615502872393</v>
      </c>
      <c r="L17" s="84"/>
      <c r="M17" s="49">
        <v>-3</v>
      </c>
      <c r="N17" s="49">
        <v>30</v>
      </c>
      <c r="O17" s="49">
        <v>31.536000000000001</v>
      </c>
      <c r="P17" s="49">
        <v>1</v>
      </c>
      <c r="T17" s="74"/>
      <c r="U17" s="74"/>
      <c r="V17" s="74"/>
      <c r="W17" s="74"/>
      <c r="AJ17" s="85"/>
      <c r="AM17" s="49">
        <v>0</v>
      </c>
      <c r="AN17" s="49">
        <f>REIPPP!D10/1000</f>
        <v>0</v>
      </c>
      <c r="AO17" s="49">
        <f>REIPPP!E10/1000</f>
        <v>0</v>
      </c>
      <c r="AP17" s="49">
        <f>REIPPP!F10/1000</f>
        <v>0</v>
      </c>
      <c r="AQ17" s="49">
        <f>REIPPP!G10/1000</f>
        <v>0.2</v>
      </c>
      <c r="AR17" s="49">
        <f>REIPPP!H10/1000</f>
        <v>0.1</v>
      </c>
      <c r="AS17" s="49">
        <f>REIPPP!I10/1000</f>
        <v>0.1</v>
      </c>
      <c r="AT17" s="49">
        <f>REIPPP!J10/1000</f>
        <v>0.1</v>
      </c>
      <c r="AU17" s="49">
        <v>0</v>
      </c>
      <c r="AV17" s="49">
        <v>0</v>
      </c>
      <c r="AW17" s="49">
        <v>0</v>
      </c>
      <c r="AX17" s="49">
        <v>0</v>
      </c>
      <c r="AY17" s="56"/>
    </row>
    <row r="18" spans="1:55" ht="11.25" customHeight="1" x14ac:dyDescent="0.2">
      <c r="B18" s="49" t="str">
        <f>Processes!B42</f>
        <v>ERSOLPCF-N</v>
      </c>
      <c r="C18" s="49" t="str">
        <f>Processes!C42</f>
        <v>Solar PV Fixed</v>
      </c>
      <c r="D18" s="49" t="str">
        <f>Processes!D42</f>
        <v>PJ,GW</v>
      </c>
      <c r="E18" s="49" t="s">
        <v>397</v>
      </c>
      <c r="F18" s="49" t="s">
        <v>132</v>
      </c>
      <c r="H18" s="49">
        <v>1</v>
      </c>
      <c r="J18" s="58">
        <f>INDEX('IRP Costs'!$B$14:$AK$14,1,MATCH(C18,'IRP Costs'!$B$2:$AK$2,0))</f>
        <v>0</v>
      </c>
      <c r="K18" s="72">
        <f>INDEX('IRP Costs'!$B$13:$AK$13,1,MATCH($C18,'IRP Costs'!$B$2:$AK$2,0))</f>
        <v>269.76939881867463</v>
      </c>
      <c r="L18" s="84"/>
      <c r="M18" s="49">
        <v>-1</v>
      </c>
      <c r="N18" s="49">
        <v>25</v>
      </c>
      <c r="O18" s="49">
        <v>31.536000000000001</v>
      </c>
      <c r="T18" s="74"/>
      <c r="U18" s="74"/>
      <c r="V18" s="74"/>
      <c r="W18" s="74"/>
      <c r="AJ18" s="85"/>
      <c r="AM18" s="49">
        <v>0</v>
      </c>
      <c r="AN18" s="49">
        <f>REIPPP!D9/1000</f>
        <v>0.21</v>
      </c>
      <c r="AO18" s="49">
        <f>REIPPP!E9/1000</f>
        <v>0.75</v>
      </c>
      <c r="AP18" s="350">
        <f>IF(AN1="*",AN18,0)+IF(AO1="*",AO18,0)</f>
        <v>0.96</v>
      </c>
      <c r="AQ18" s="49">
        <v>0</v>
      </c>
      <c r="AR18" s="49">
        <v>0</v>
      </c>
      <c r="AS18" s="49">
        <v>0</v>
      </c>
      <c r="AT18" s="49">
        <v>0</v>
      </c>
      <c r="AU18" s="49">
        <v>0</v>
      </c>
      <c r="AV18" s="49">
        <v>0</v>
      </c>
      <c r="AY18" s="56"/>
    </row>
    <row r="19" spans="1:55" ht="11.25" customHeight="1" x14ac:dyDescent="0.2">
      <c r="B19" s="49" t="str">
        <f>Processes!B43</f>
        <v>ERSOLPCT-N</v>
      </c>
      <c r="C19" s="49" t="str">
        <f>Processes!C43</f>
        <v>Solar PV tracking</v>
      </c>
      <c r="D19" s="49" t="str">
        <f>Processes!D43</f>
        <v>PJ,GW</v>
      </c>
      <c r="E19" s="49" t="s">
        <v>397</v>
      </c>
      <c r="F19" s="49" t="s">
        <v>132</v>
      </c>
      <c r="H19" s="49">
        <v>1</v>
      </c>
      <c r="J19" s="58">
        <f>INDEX('IRP Costs'!$B$14:$AK$14,1,MATCH(C19,'IRP Costs'!$B$2:$AK$2,0))</f>
        <v>0</v>
      </c>
      <c r="K19" s="72">
        <f>INDEX('IRP Costs'!$B$13:$AK$13,1,MATCH($C19,'IRP Costs'!$B$2:$AK$2,0))</f>
        <v>285.84836960919165</v>
      </c>
      <c r="L19" s="84"/>
      <c r="M19" s="49">
        <v>-1</v>
      </c>
      <c r="N19" s="49">
        <v>25</v>
      </c>
      <c r="O19" s="49">
        <v>31.536000000000001</v>
      </c>
      <c r="T19" s="74"/>
      <c r="U19" s="74"/>
      <c r="V19" s="74"/>
      <c r="W19" s="74"/>
      <c r="AJ19" s="85"/>
      <c r="AM19" s="49">
        <v>0</v>
      </c>
      <c r="AN19" s="49">
        <v>0</v>
      </c>
      <c r="AO19" s="49">
        <v>0</v>
      </c>
      <c r="AP19" s="49">
        <f>REIPPP!F9/1000</f>
        <v>5.0000000000000001E-3</v>
      </c>
      <c r="AQ19" s="49">
        <f>REIPPP!G9/1000</f>
        <v>0.50900000000000001</v>
      </c>
      <c r="AR19" s="49">
        <f>REIPPP!H9/1000</f>
        <v>0</v>
      </c>
      <c r="AS19" s="49">
        <f>REIPPP!I9/1000</f>
        <v>0</v>
      </c>
      <c r="AT19" s="49">
        <f>REIPPP!J9/1000</f>
        <v>0</v>
      </c>
      <c r="AU19" s="49">
        <f>REIPPP!J45</f>
        <v>0.114</v>
      </c>
      <c r="AV19" s="49">
        <f>REIPPP!K45</f>
        <v>0.3</v>
      </c>
      <c r="AW19" s="49">
        <f>REIPPP!L45</f>
        <v>0.4</v>
      </c>
      <c r="AY19" s="56"/>
    </row>
    <row r="20" spans="1:55" ht="11.25" customHeight="1" x14ac:dyDescent="0.2">
      <c r="B20" s="49" t="str">
        <f>Processes!B44</f>
        <v>ERWNDH-N</v>
      </c>
      <c r="C20" s="49" t="str">
        <f>Processes!C44</f>
        <v>Wind</v>
      </c>
      <c r="D20" s="49" t="str">
        <f>Processes!D44</f>
        <v>PJ,GW</v>
      </c>
      <c r="E20" s="49" t="s">
        <v>403</v>
      </c>
      <c r="F20" s="49" t="s">
        <v>132</v>
      </c>
      <c r="H20" s="49">
        <v>1</v>
      </c>
      <c r="J20" s="58">
        <f>INDEX('IRP Costs'!$B$14:$AK$14,1,MATCH(C20,'IRP Costs'!$B$2:$AK$2,0))</f>
        <v>0</v>
      </c>
      <c r="K20" s="72">
        <f>INDEX('IRP Costs'!$B$13:$AK$13,1,MATCH($C20,'IRP Costs'!$B$2:$AK$2,0))</f>
        <v>611.00089003964717</v>
      </c>
      <c r="L20" s="84"/>
      <c r="M20" s="49">
        <v>-2</v>
      </c>
      <c r="N20" s="49">
        <v>20</v>
      </c>
      <c r="O20" s="49">
        <v>31.536000000000001</v>
      </c>
      <c r="T20" s="74"/>
      <c r="U20" s="74"/>
      <c r="V20" s="74"/>
      <c r="W20" s="74"/>
      <c r="AJ20" s="85"/>
      <c r="AM20" s="49">
        <v>0</v>
      </c>
      <c r="AN20" s="49">
        <f>REIPPP!D8/1000</f>
        <v>0.25700000000000001</v>
      </c>
      <c r="AO20" s="49">
        <f>REIPPP!E8/1000</f>
        <v>0.30299999999999999</v>
      </c>
      <c r="AP20" s="350">
        <f>REIPPP!F8/1000+IF(AN1="*",AN20,0)+IF(AO1="*",AO20,0)</f>
        <v>1.075</v>
      </c>
      <c r="AQ20" s="49">
        <f>REIPPP!G8/1000</f>
        <v>0.38500000000000001</v>
      </c>
      <c r="AR20" s="49">
        <f>REIPPP!H8/1000</f>
        <v>0.62</v>
      </c>
      <c r="AS20" s="49">
        <f>REIPPP!I8/1000</f>
        <v>0</v>
      </c>
      <c r="AT20" s="49">
        <f>REIPPP!J8/1000</f>
        <v>0</v>
      </c>
      <c r="AU20" s="49">
        <f>REIPPP!J46</f>
        <v>0.24399999999999999</v>
      </c>
      <c r="AV20" s="49">
        <f>REIPPP!K46</f>
        <v>0.3</v>
      </c>
      <c r="AW20" s="49">
        <f>REIPPP!L46</f>
        <v>0.81799999999999995</v>
      </c>
      <c r="AX20" s="49">
        <f>REIPPP!M46</f>
        <v>0</v>
      </c>
      <c r="AY20" s="56">
        <v>3</v>
      </c>
      <c r="AZ20" s="49">
        <v>1</v>
      </c>
      <c r="BA20" s="49">
        <v>2</v>
      </c>
      <c r="BB20" s="49">
        <v>3</v>
      </c>
      <c r="BC20" s="49">
        <v>5</v>
      </c>
    </row>
    <row r="21" spans="1:55"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T21" s="74"/>
      <c r="U21" s="74"/>
      <c r="V21" s="74"/>
      <c r="W21" s="74"/>
      <c r="X21" s="49">
        <v>0.78</v>
      </c>
      <c r="AJ21" s="85">
        <v>2030</v>
      </c>
      <c r="AK21" s="85">
        <v>3</v>
      </c>
      <c r="AL21" s="49">
        <v>2.5</v>
      </c>
      <c r="AY21" s="56"/>
    </row>
    <row r="22" spans="1:55" ht="11.25" customHeight="1" x14ac:dyDescent="0.2">
      <c r="B22" s="49" t="str">
        <f>Processes!B46</f>
        <v>ETGICGT-N</v>
      </c>
      <c r="C22" s="49" t="str">
        <f>Processes!C46</f>
        <v>Open Cycle Gas Turbine - LNG</v>
      </c>
      <c r="D22" s="49" t="str">
        <f>Processes!D46</f>
        <v>PJ,GW</v>
      </c>
      <c r="E22" s="49" t="s">
        <v>402</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S22" s="56">
        <v>277.77800000000002</v>
      </c>
      <c r="T22" s="74">
        <v>0.1</v>
      </c>
      <c r="U22" s="74"/>
      <c r="V22" s="74"/>
      <c r="W22" s="74"/>
      <c r="X22" s="49">
        <v>0.85</v>
      </c>
      <c r="AJ22" s="85">
        <v>2026</v>
      </c>
      <c r="AY22" s="56"/>
    </row>
    <row r="23" spans="1:55" ht="11.25" customHeight="1" x14ac:dyDescent="0.2">
      <c r="B23" s="49" t="str">
        <f>Processes!B47</f>
        <v>ETGICCC-N</v>
      </c>
      <c r="C23" s="49" t="str">
        <f>Processes!C47</f>
        <v>Combined Cycle Gas Turbine - LNG</v>
      </c>
      <c r="D23" s="49" t="str">
        <f>Processes!D47</f>
        <v>PJ,GW</v>
      </c>
      <c r="E23" s="49" t="s">
        <v>402</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S23" s="56">
        <v>277.77800000000002</v>
      </c>
      <c r="T23" s="74">
        <v>0.2</v>
      </c>
      <c r="U23" s="74"/>
      <c r="V23" s="74"/>
      <c r="W23" s="74"/>
      <c r="X23" s="49">
        <v>0.85</v>
      </c>
      <c r="AJ23" s="85">
        <v>2026</v>
      </c>
      <c r="AY23" s="56"/>
    </row>
    <row r="24" spans="1:55" ht="11.25" customHeight="1" x14ac:dyDescent="0.2">
      <c r="B24" s="49" t="str">
        <f>Processes!B48</f>
        <v>ETGICEN-N</v>
      </c>
      <c r="C24" s="49" t="str">
        <f>Processes!C48</f>
        <v>Gas Engines - LNG</v>
      </c>
      <c r="D24" s="49" t="str">
        <f>Processes!D48</f>
        <v>PJ,GW</v>
      </c>
      <c r="E24" s="49" t="s">
        <v>402</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S24" s="56">
        <v>277.77800000000002</v>
      </c>
      <c r="T24" s="74">
        <v>0.1</v>
      </c>
      <c r="U24" s="74"/>
      <c r="V24" s="74"/>
      <c r="W24" s="74"/>
      <c r="X24" s="49">
        <v>0.85</v>
      </c>
      <c r="AJ24" s="85">
        <v>2026</v>
      </c>
      <c r="AY24" s="56"/>
    </row>
    <row r="25" spans="1:55" ht="11.25" customHeight="1" x14ac:dyDescent="0.2">
      <c r="B25" s="49" t="str">
        <f>Processes!B49</f>
        <v>ERBIO-N</v>
      </c>
      <c r="C25" s="49" t="str">
        <f>Processes!C49</f>
        <v>Biomass municipal waste</v>
      </c>
      <c r="D25" s="49" t="str">
        <f>Processes!D49</f>
        <v>PJ,GW</v>
      </c>
      <c r="E25" s="49" t="s">
        <v>401</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Q25" s="49">
        <v>3</v>
      </c>
      <c r="R25" s="49">
        <v>0</v>
      </c>
      <c r="T25" s="74"/>
      <c r="U25" s="74"/>
      <c r="V25" s="74"/>
      <c r="W25" s="74"/>
      <c r="X25" s="49">
        <v>0.85</v>
      </c>
      <c r="AJ25" s="85"/>
      <c r="AY25" s="56"/>
    </row>
    <row r="26" spans="1:55" ht="11.25" customHeight="1" x14ac:dyDescent="0.2">
      <c r="B26" s="49" t="str">
        <f>Processes!B50</f>
        <v>ERBIG-N</v>
      </c>
      <c r="C26" s="49" t="str">
        <f>Processes!C50</f>
        <v>Landfill gas</v>
      </c>
      <c r="D26" s="49" t="str">
        <f>Processes!D50</f>
        <v>PJ,GW</v>
      </c>
      <c r="E26" s="49" t="s">
        <v>400</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Q26" s="49">
        <v>3</v>
      </c>
      <c r="R26" s="49">
        <v>0</v>
      </c>
      <c r="T26" s="74"/>
      <c r="U26" s="74"/>
      <c r="V26" s="74"/>
      <c r="W26" s="74"/>
      <c r="X26" s="49">
        <v>0.85</v>
      </c>
      <c r="AJ26" s="85"/>
      <c r="AY26" s="56"/>
    </row>
    <row r="27" spans="1:55"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T27" s="74"/>
      <c r="U27" s="74"/>
      <c r="V27" s="74"/>
      <c r="W27" s="74"/>
      <c r="X27" s="49">
        <v>0.85</v>
      </c>
      <c r="AB27" s="49">
        <v>0.16600000000000001</v>
      </c>
      <c r="AJ27" s="85">
        <v>2022</v>
      </c>
      <c r="AY27" s="56">
        <v>3</v>
      </c>
      <c r="AZ27" s="49">
        <v>1</v>
      </c>
      <c r="BA27" s="49">
        <v>2</v>
      </c>
      <c r="BB27" s="49">
        <v>3</v>
      </c>
      <c r="BC27" s="49">
        <v>5</v>
      </c>
    </row>
    <row r="28" spans="1:55" ht="11.25" customHeight="1" x14ac:dyDescent="0.2">
      <c r="A28" s="52" t="str">
        <f>Processes!A52</f>
        <v>* New Power Plants - On-site</v>
      </c>
      <c r="J28" s="58"/>
      <c r="K28" s="72"/>
      <c r="L28" s="84"/>
      <c r="O28" s="49">
        <v>31.536000000000001</v>
      </c>
      <c r="T28" s="74"/>
      <c r="U28" s="74"/>
      <c r="V28" s="74"/>
      <c r="W28" s="74"/>
      <c r="AJ28" s="85"/>
      <c r="AY28" s="56"/>
    </row>
    <row r="29" spans="1:55" ht="11.25" customHeight="1" x14ac:dyDescent="0.2">
      <c r="B29" s="49" t="str">
        <f>Processes!B53</f>
        <v>ERSOLPRC-N</v>
      </c>
      <c r="C29" s="49" t="str">
        <f>Processes!C53</f>
        <v>Solar PV rooftop commercial</v>
      </c>
      <c r="D29" s="49" t="str">
        <f>Processes!D53</f>
        <v>PJ,GW</v>
      </c>
      <c r="E29" s="49" t="s">
        <v>397</v>
      </c>
      <c r="F29" s="62" t="s">
        <v>399</v>
      </c>
      <c r="H29" s="49">
        <v>1</v>
      </c>
      <c r="J29" s="58"/>
      <c r="K29" s="72">
        <f>K$18*ProcDataRECostProfiles!Q15</f>
        <v>312.93250262966257</v>
      </c>
      <c r="L29" s="84"/>
      <c r="M29" s="49">
        <v>-1</v>
      </c>
      <c r="N29" s="49">
        <v>25</v>
      </c>
      <c r="O29" s="49">
        <v>31.536000000000001</v>
      </c>
      <c r="T29" s="74"/>
      <c r="U29" s="74"/>
      <c r="V29" s="74"/>
      <c r="W29" s="74"/>
      <c r="AJ29" s="85"/>
      <c r="AM29" s="49">
        <v>0</v>
      </c>
      <c r="AN29" s="49">
        <v>0</v>
      </c>
      <c r="AO29" s="49">
        <v>0</v>
      </c>
      <c r="AP29" s="49">
        <f>REIPPP!D75/1000</f>
        <v>0.1232</v>
      </c>
      <c r="AQ29" s="49">
        <f>REIPPP!E75/1000</f>
        <v>7.6800000000000007E-2</v>
      </c>
      <c r="AR29" s="49">
        <f>REIPPP!F75/1000</f>
        <v>0.1072</v>
      </c>
      <c r="AS29" s="49">
        <f>REIPPP!G75/1000</f>
        <v>0.16</v>
      </c>
      <c r="AT29" s="49">
        <f>REIPPP!H75/1000</f>
        <v>0.24</v>
      </c>
      <c r="AU29" s="49">
        <f>REIPPP!I75/1000</f>
        <v>0.24499999999999997</v>
      </c>
      <c r="AV29" s="49">
        <f>REIPPP!J75/1000</f>
        <v>0.28000000000000003</v>
      </c>
      <c r="AY29" s="56">
        <v>3</v>
      </c>
      <c r="AZ29" s="49">
        <v>1</v>
      </c>
      <c r="BA29" s="49">
        <v>2</v>
      </c>
      <c r="BB29" s="49">
        <v>3</v>
      </c>
      <c r="BC29" s="49">
        <v>5</v>
      </c>
    </row>
    <row r="30" spans="1:55" ht="11.25" customHeight="1" x14ac:dyDescent="0.2">
      <c r="B30" s="49" t="str">
        <f>Processes!B54</f>
        <v>ERSOLPRR-N</v>
      </c>
      <c r="C30" s="49" t="str">
        <f>Processes!C54</f>
        <v>Solar PV rooftop residential</v>
      </c>
      <c r="D30" s="49" t="str">
        <f>Processes!D54</f>
        <v>PJ,GW</v>
      </c>
      <c r="E30" s="49" t="s">
        <v>397</v>
      </c>
      <c r="F30" s="62" t="s">
        <v>398</v>
      </c>
      <c r="H30" s="49">
        <v>1</v>
      </c>
      <c r="J30" s="58"/>
      <c r="K30" s="72">
        <f>K$18*ProcDataRECostProfiles!Q16</f>
        <v>472.09644793268058</v>
      </c>
      <c r="L30" s="84"/>
      <c r="M30" s="49">
        <v>-1</v>
      </c>
      <c r="N30" s="49">
        <v>25</v>
      </c>
      <c r="O30" s="49">
        <v>31.536000000000001</v>
      </c>
      <c r="T30" s="74"/>
      <c r="U30" s="74"/>
      <c r="V30" s="74"/>
      <c r="W30" s="74"/>
      <c r="AJ30" s="85"/>
      <c r="AM30" s="49">
        <v>0</v>
      </c>
      <c r="AN30" s="49">
        <v>0</v>
      </c>
      <c r="AO30" s="49">
        <v>0</v>
      </c>
      <c r="AP30" s="49">
        <f>REIPPP!D76/1000</f>
        <v>1.54E-2</v>
      </c>
      <c r="AQ30" s="49">
        <f>REIPPP!E76/1000</f>
        <v>9.6000000000000009E-3</v>
      </c>
      <c r="AR30" s="49">
        <f>REIPPP!F76/1000</f>
        <v>1.34E-2</v>
      </c>
      <c r="AS30" s="49">
        <f>REIPPP!G76/1000</f>
        <v>0.02</v>
      </c>
      <c r="AT30" s="49">
        <f>REIPPP!H76/1000</f>
        <v>0.03</v>
      </c>
      <c r="AU30" s="49">
        <f>REIPPP!I76/1000</f>
        <v>3.5000000000000003E-2</v>
      </c>
      <c r="AV30" s="49">
        <f>REIPPP!J76/1000</f>
        <v>0.04</v>
      </c>
      <c r="AY30" s="56">
        <v>3</v>
      </c>
      <c r="AZ30" s="49">
        <v>1</v>
      </c>
      <c r="BA30" s="49">
        <v>2</v>
      </c>
      <c r="BB30" s="49">
        <v>3</v>
      </c>
      <c r="BC30" s="49">
        <v>5</v>
      </c>
    </row>
    <row r="31" spans="1:55" ht="11.25" customHeight="1" x14ac:dyDescent="0.2">
      <c r="B31" s="49" t="str">
        <f>Processes!B55</f>
        <v>ERSOLPRI-N</v>
      </c>
      <c r="C31" s="49" t="str">
        <f>Processes!C55</f>
        <v>Solar PV rooftop Industry</v>
      </c>
      <c r="D31" s="49" t="str">
        <f>Processes!D55</f>
        <v>PJ,GW</v>
      </c>
      <c r="E31" s="49" t="s">
        <v>397</v>
      </c>
      <c r="F31" s="62" t="s">
        <v>396</v>
      </c>
      <c r="H31" s="49">
        <v>1</v>
      </c>
      <c r="J31" s="58"/>
      <c r="K31" s="72">
        <f>K$18*ProcDataRECostProfiles!Q17</f>
        <v>312.93250262966257</v>
      </c>
      <c r="L31" s="84"/>
      <c r="M31" s="49">
        <v>-1</v>
      </c>
      <c r="N31" s="49">
        <v>25</v>
      </c>
      <c r="O31" s="49">
        <v>31.536000000000001</v>
      </c>
      <c r="T31" s="74"/>
      <c r="U31" s="74"/>
      <c r="V31" s="74"/>
      <c r="W31" s="74"/>
      <c r="AJ31" s="85"/>
      <c r="AM31" s="49">
        <v>0</v>
      </c>
      <c r="AN31" s="49">
        <v>0</v>
      </c>
      <c r="AO31" s="49">
        <v>0</v>
      </c>
      <c r="AP31" s="49">
        <f>REIPPP!D77/1000</f>
        <v>1.5399999999999997E-2</v>
      </c>
      <c r="AQ31" s="49">
        <f>REIPPP!E77/1000</f>
        <v>9.5999999999999974E-3</v>
      </c>
      <c r="AR31" s="49">
        <f>REIPPP!F77/1000</f>
        <v>1.3399999999999997E-2</v>
      </c>
      <c r="AS31" s="49">
        <f>REIPPP!G77/1000</f>
        <v>1.9999999999999997E-2</v>
      </c>
      <c r="AT31" s="49">
        <f>REIPPP!H77/1000</f>
        <v>2.9999999999999992E-2</v>
      </c>
      <c r="AU31" s="49">
        <f>REIPPP!I77/1000</f>
        <v>7.0000000000000034E-2</v>
      </c>
      <c r="AV31" s="49">
        <f>REIPPP!J77/1000</f>
        <v>8.0000000000000029E-2</v>
      </c>
      <c r="AY31" s="56">
        <v>3</v>
      </c>
      <c r="AZ31" s="49">
        <v>1</v>
      </c>
      <c r="BA31" s="49">
        <v>2</v>
      </c>
      <c r="BB31" s="49">
        <v>3</v>
      </c>
      <c r="BC31" s="49">
        <v>5</v>
      </c>
    </row>
    <row r="32" spans="1:55" ht="11.25" customHeight="1" x14ac:dyDescent="0.2">
      <c r="B32" s="49" t="str">
        <f>Processes!B56</f>
        <v>ETGASENSS-N</v>
      </c>
      <c r="C32" s="49" t="str">
        <f>Processes!C56</f>
        <v xml:space="preserve">Sasol SSF Gas Plant </v>
      </c>
      <c r="D32" s="49" t="str">
        <f>Processes!D56</f>
        <v>PJ,GW</v>
      </c>
      <c r="E32" s="49" t="s">
        <v>134</v>
      </c>
      <c r="F32" s="49" t="s">
        <v>365</v>
      </c>
      <c r="H32" s="49">
        <v>0.4</v>
      </c>
      <c r="J32" s="58">
        <f>J22</f>
        <v>2.411845618577555</v>
      </c>
      <c r="K32" s="72">
        <f>181*Deflator!$W$4</f>
        <v>161.68298406019903</v>
      </c>
      <c r="L32" s="84">
        <f>9226*Deflator!$W$4*1.1</f>
        <v>9065.5023869245088</v>
      </c>
      <c r="M32" s="49">
        <v>-2</v>
      </c>
      <c r="N32" s="49">
        <v>30</v>
      </c>
      <c r="O32" s="49">
        <v>31.536000000000001</v>
      </c>
      <c r="S32" s="56">
        <v>277.77800000000002</v>
      </c>
      <c r="T32" s="74"/>
      <c r="U32" s="74">
        <f>NERSA2017!P109</f>
        <v>0.79635760733085648</v>
      </c>
      <c r="V32" s="74"/>
      <c r="W32" s="74"/>
      <c r="X32" s="49">
        <v>0.85</v>
      </c>
      <c r="AJ32" s="85"/>
      <c r="AK32" s="49">
        <v>3</v>
      </c>
      <c r="AL32" s="60">
        <f>AM32</f>
        <v>0.249</v>
      </c>
      <c r="AM32" s="60">
        <f>ROUND(NERSA2018!I110/1000*0.99,3)</f>
        <v>0.249</v>
      </c>
      <c r="AN32" s="49">
        <v>0</v>
      </c>
      <c r="AY32" s="56"/>
    </row>
    <row r="33" spans="2:51" ht="11.25" customHeight="1" x14ac:dyDescent="0.2">
      <c r="B33" s="49" t="str">
        <f>Processes!B57</f>
        <v>ETGASENSI-N</v>
      </c>
      <c r="C33" s="49" t="str">
        <f>Processes!C57</f>
        <v xml:space="preserve">Sasol Infrachem Gas Plant </v>
      </c>
      <c r="D33" s="49" t="str">
        <f>Processes!D57</f>
        <v>PJ,GW</v>
      </c>
      <c r="E33" s="49" t="s">
        <v>134</v>
      </c>
      <c r="F33" s="49" t="s">
        <v>363</v>
      </c>
      <c r="H33" s="49">
        <v>0.45</v>
      </c>
      <c r="J33" s="58">
        <f>J24</f>
        <v>70.568816247269197</v>
      </c>
      <c r="K33" s="72">
        <f>476*Deflator!$W$4</f>
        <v>425.19944979367261</v>
      </c>
      <c r="L33" s="84">
        <f>14394*Deflator!$W$4*1.1</f>
        <v>14143.598673031798</v>
      </c>
      <c r="M33" s="49">
        <v>-2</v>
      </c>
      <c r="N33" s="49">
        <v>30</v>
      </c>
      <c r="O33" s="49">
        <v>31.536000000000001</v>
      </c>
      <c r="S33" s="56">
        <v>277.77800000000002</v>
      </c>
      <c r="T33" s="74"/>
      <c r="U33" s="74">
        <f>NERSA2017!P108</f>
        <v>0.51834918525766471</v>
      </c>
      <c r="V33" s="74"/>
      <c r="W33" s="74"/>
      <c r="X33" s="49">
        <v>0.85</v>
      </c>
      <c r="AJ33" s="85"/>
      <c r="AK33" s="49">
        <v>3</v>
      </c>
      <c r="AL33" s="60">
        <f>AM33</f>
        <v>0.17199999999999999</v>
      </c>
      <c r="AM33" s="60">
        <f>ROUND(NERSA2018!I109/1000*0.98,3)</f>
        <v>0.17199999999999999</v>
      </c>
      <c r="AN33" s="49">
        <v>0</v>
      </c>
      <c r="AY33" s="56"/>
    </row>
    <row r="34" spans="2:51" ht="11.25" customHeight="1" x14ac:dyDescent="0.2">
      <c r="AJ34" s="85"/>
      <c r="AY34" s="56"/>
    </row>
    <row r="35" spans="2:51" ht="11.25" customHeight="1" x14ac:dyDescent="0.2">
      <c r="AJ35" s="85"/>
      <c r="AY35" s="56"/>
    </row>
    <row r="36" spans="2:51" ht="11.25" customHeight="1" x14ac:dyDescent="0.2">
      <c r="AY36" s="56"/>
    </row>
    <row r="37" spans="2:51" ht="11.25" customHeight="1" x14ac:dyDescent="0.2">
      <c r="AY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P27"/>
  <sheetViews>
    <sheetView workbookViewId="0">
      <selection activeCell="F9" sqref="F9"/>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6" ht="11.25" customHeight="1" x14ac:dyDescent="0.2">
      <c r="A1" s="70" t="str">
        <f ca="1">IF(INDEX(Index!$C$9:$C$33,MATCH(A2,Index!B9:B33,0)),"ProcData","")</f>
        <v/>
      </c>
      <c r="B1" s="19" t="s">
        <v>138</v>
      </c>
    </row>
    <row r="2" spans="1:16" ht="11.25" customHeight="1" x14ac:dyDescent="0.2">
      <c r="A2" s="64" t="str">
        <f ca="1">MID(CELL("filename",A1),FIND("]",CELL("filename",A1))+1,255)</f>
        <v>ProcDataIRP</v>
      </c>
    </row>
    <row r="3" spans="1:16" ht="34.5" customHeight="1" x14ac:dyDescent="0.2"/>
    <row r="4" spans="1:16" ht="21.75" customHeight="1" x14ac:dyDescent="0.2">
      <c r="E4" s="82"/>
      <c r="F4" s="82"/>
      <c r="G4" s="82"/>
      <c r="H4" s="81" t="s">
        <v>405</v>
      </c>
      <c r="I4" s="81" t="s">
        <v>405</v>
      </c>
      <c r="J4" s="81" t="s">
        <v>405</v>
      </c>
      <c r="K4" s="81" t="s">
        <v>405</v>
      </c>
      <c r="L4" s="81" t="s">
        <v>405</v>
      </c>
      <c r="M4" s="81" t="s">
        <v>405</v>
      </c>
      <c r="N4" s="81" t="s">
        <v>405</v>
      </c>
      <c r="O4" s="81" t="s">
        <v>405</v>
      </c>
      <c r="P4" s="81" t="s">
        <v>405</v>
      </c>
    </row>
    <row r="5" spans="1:16" ht="16.5" customHeight="1" x14ac:dyDescent="0.2">
      <c r="H5" s="67"/>
    </row>
    <row r="6" spans="1:16" ht="17.25" customHeight="1" x14ac:dyDescent="0.2"/>
    <row r="7" spans="1:16"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row>
    <row r="8" spans="1:16" ht="11.25" customHeight="1" x14ac:dyDescent="0.2">
      <c r="A8" s="52" t="str">
        <f>Processes!A32</f>
        <v>* New Power Plants - Grid</v>
      </c>
      <c r="F8" s="55"/>
    </row>
    <row r="9" spans="1:16" ht="11.25" customHeight="1" x14ac:dyDescent="0.2">
      <c r="B9" s="49" t="str">
        <f>Processes!B35</f>
        <v>ETCLEWATE-N</v>
      </c>
      <c r="C9" s="49" t="str">
        <f>Processes!C35</f>
        <v>Generic Waterberg Coal Plant</v>
      </c>
      <c r="D9" s="49" t="str">
        <f>Processes!D35</f>
        <v>PJ,GW</v>
      </c>
      <c r="E9" s="62" t="str">
        <f>"PWR"&amp;MID(B9,3,7)</f>
        <v>PWRCLEWATE</v>
      </c>
      <c r="F9" s="49" t="s">
        <v>132</v>
      </c>
    </row>
    <row r="10" spans="1:16" ht="11.25" customHeight="1" x14ac:dyDescent="0.2">
      <c r="B10" s="49" t="str">
        <f>Processes!B38</f>
        <v>ETCLDFB-N</v>
      </c>
      <c r="C10" s="49" t="str">
        <f>Processes!C38</f>
        <v>Fluidised Bed Combustion Coal</v>
      </c>
      <c r="D10" s="49" t="str">
        <f>Processes!D38</f>
        <v>PJ,GW</v>
      </c>
      <c r="E10" s="49" t="s">
        <v>404</v>
      </c>
      <c r="F10" s="49" t="s">
        <v>132</v>
      </c>
      <c r="L10" s="49">
        <v>0.75</v>
      </c>
      <c r="M10" s="49">
        <v>0.75</v>
      </c>
    </row>
    <row r="11" spans="1:16" ht="11.25" customHeight="1" x14ac:dyDescent="0.2">
      <c r="B11" s="49" t="str">
        <f>Processes!B39</f>
        <v>ERHYD-N</v>
      </c>
      <c r="C11" s="49" t="str">
        <f>Processes!C39</f>
        <v>Micro hydro</v>
      </c>
      <c r="D11" s="49" t="str">
        <f>Processes!D39</f>
        <v>PJ,GW</v>
      </c>
      <c r="E11" s="49" t="s">
        <v>361</v>
      </c>
      <c r="F11" s="49" t="s">
        <v>132</v>
      </c>
    </row>
    <row r="12" spans="1:16" ht="11.25" customHeight="1" x14ac:dyDescent="0.2">
      <c r="B12" s="49" t="str">
        <f>Processes!B40</f>
        <v>ETNUC-N</v>
      </c>
      <c r="C12" s="49" t="str">
        <f>Processes!C40</f>
        <v>Nuclear Mid</v>
      </c>
      <c r="D12" s="49" t="str">
        <f>Processes!D40</f>
        <v>PJ,GW</v>
      </c>
      <c r="E12" s="49" t="s">
        <v>360</v>
      </c>
      <c r="F12" s="49" t="s">
        <v>132</v>
      </c>
    </row>
    <row r="13" spans="1:16" ht="11.25" customHeight="1" x14ac:dyDescent="0.2">
      <c r="B13" s="49" t="str">
        <f>Processes!B41</f>
        <v>ERSOLTC09-N</v>
      </c>
      <c r="C13" s="49" t="str">
        <f>Processes!C41</f>
        <v>Solar Central Receiver 09 hrs storage</v>
      </c>
      <c r="D13" s="49" t="str">
        <f>Processes!D41</f>
        <v>PJ,GW</v>
      </c>
      <c r="E13" s="49" t="s">
        <v>397</v>
      </c>
      <c r="F13" s="49" t="s">
        <v>132</v>
      </c>
    </row>
    <row r="14" spans="1:16" ht="11.25" customHeight="1" x14ac:dyDescent="0.2">
      <c r="B14" s="49" t="str">
        <f>Processes!B42</f>
        <v>ERSOLPCF-N</v>
      </c>
      <c r="C14" s="49" t="str">
        <f>Processes!C42</f>
        <v>Solar PV Fixed</v>
      </c>
      <c r="D14" s="49" t="str">
        <f>Processes!D42</f>
        <v>PJ,GW</v>
      </c>
      <c r="E14" s="49" t="s">
        <v>397</v>
      </c>
      <c r="F14" s="49" t="s">
        <v>132</v>
      </c>
    </row>
    <row r="15" spans="1:16" ht="11.25" customHeight="1" x14ac:dyDescent="0.2">
      <c r="B15" s="49" t="str">
        <f>Processes!B43</f>
        <v>ERSOLPCT-N</v>
      </c>
      <c r="C15" s="49" t="str">
        <f>Processes!C43</f>
        <v>Solar PV tracking</v>
      </c>
      <c r="D15" s="49" t="str">
        <f>Processes!D43</f>
        <v>PJ,GW</v>
      </c>
      <c r="E15" s="49" t="s">
        <v>397</v>
      </c>
      <c r="F15" s="49" t="s">
        <v>132</v>
      </c>
      <c r="H15" s="49">
        <v>1.4</v>
      </c>
      <c r="I15" s="49">
        <v>1</v>
      </c>
      <c r="K15" s="49">
        <v>1</v>
      </c>
      <c r="N15" s="49">
        <v>1</v>
      </c>
      <c r="O15" s="49">
        <v>1</v>
      </c>
      <c r="P15" s="49">
        <v>1</v>
      </c>
    </row>
    <row r="16" spans="1:16" ht="11.25" customHeight="1" x14ac:dyDescent="0.2">
      <c r="B16" s="49" t="str">
        <f>Processes!B44</f>
        <v>ERWNDH-N</v>
      </c>
      <c r="C16" s="49" t="str">
        <f>Processes!C44</f>
        <v>Wind</v>
      </c>
      <c r="D16" s="49" t="str">
        <f>Processes!D44</f>
        <v>PJ,GW</v>
      </c>
      <c r="E16" s="49" t="s">
        <v>403</v>
      </c>
      <c r="F16" s="49" t="s">
        <v>132</v>
      </c>
      <c r="H16" s="49">
        <f>REIPPP!L46</f>
        <v>0.81799999999999995</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402</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402</v>
      </c>
      <c r="F19" s="49" t="s">
        <v>132</v>
      </c>
      <c r="M19" s="49">
        <v>1</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election sqref="A1:A2"/>
    </sheetView>
    <sheetView topLeftCell="M1"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IF(INDEX(Index!$C$9:$C$33,MATCH(A2,Index!B9:B33,0)),"ProcData","")</f>
        <v>ProcData</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412</v>
      </c>
      <c r="P3" s="83" t="s">
        <v>1812</v>
      </c>
      <c r="Q3" s="83" t="s">
        <v>426</v>
      </c>
      <c r="R3" s="83" t="s">
        <v>424</v>
      </c>
      <c r="S3" s="49" t="s">
        <v>425</v>
      </c>
      <c r="AA3" s="83" t="s">
        <v>424</v>
      </c>
      <c r="AJ3" s="83" t="s">
        <v>424</v>
      </c>
      <c r="AS3" s="83" t="s">
        <v>424</v>
      </c>
      <c r="BB3" s="83" t="s">
        <v>424</v>
      </c>
    </row>
    <row r="4" spans="1:62" ht="21.75" customHeight="1" x14ac:dyDescent="0.2">
      <c r="E4" s="82"/>
      <c r="F4" s="82"/>
      <c r="G4" s="82"/>
      <c r="H4" s="67" t="s">
        <v>384</v>
      </c>
      <c r="I4" s="67" t="s">
        <v>384</v>
      </c>
      <c r="J4" s="67" t="s">
        <v>384</v>
      </c>
      <c r="K4" s="67" t="s">
        <v>384</v>
      </c>
      <c r="L4" s="67" t="s">
        <v>384</v>
      </c>
      <c r="M4" s="67" t="s">
        <v>384</v>
      </c>
      <c r="N4" s="67" t="s">
        <v>384</v>
      </c>
      <c r="O4" s="67" t="s">
        <v>384</v>
      </c>
      <c r="P4" s="67" t="s">
        <v>1813</v>
      </c>
      <c r="S4" s="67" t="s">
        <v>423</v>
      </c>
      <c r="T4" s="67" t="s">
        <v>423</v>
      </c>
      <c r="U4" s="67" t="s">
        <v>423</v>
      </c>
      <c r="V4" s="67" t="s">
        <v>423</v>
      </c>
      <c r="W4" s="67" t="s">
        <v>423</v>
      </c>
      <c r="X4" s="67" t="s">
        <v>423</v>
      </c>
      <c r="Y4" s="67" t="s">
        <v>423</v>
      </c>
      <c r="Z4" s="67" t="s">
        <v>423</v>
      </c>
      <c r="AB4" s="67" t="s">
        <v>423</v>
      </c>
      <c r="AC4" s="67" t="s">
        <v>423</v>
      </c>
      <c r="AD4" s="67" t="s">
        <v>423</v>
      </c>
      <c r="AE4" s="67" t="s">
        <v>423</v>
      </c>
      <c r="AF4" s="67" t="s">
        <v>423</v>
      </c>
      <c r="AG4" s="67" t="s">
        <v>423</v>
      </c>
      <c r="AH4" s="67" t="s">
        <v>423</v>
      </c>
      <c r="AI4" s="67" t="s">
        <v>423</v>
      </c>
      <c r="AK4" s="67" t="s">
        <v>423</v>
      </c>
      <c r="AL4" s="67" t="s">
        <v>423</v>
      </c>
      <c r="AM4" s="67" t="s">
        <v>423</v>
      </c>
      <c r="AN4" s="67" t="s">
        <v>423</v>
      </c>
      <c r="AO4" s="67" t="s">
        <v>423</v>
      </c>
      <c r="AP4" s="67" t="s">
        <v>423</v>
      </c>
      <c r="AQ4" s="67" t="s">
        <v>423</v>
      </c>
      <c r="AR4" s="67" t="s">
        <v>423</v>
      </c>
      <c r="AT4" s="67" t="s">
        <v>423</v>
      </c>
      <c r="AU4" s="67" t="s">
        <v>423</v>
      </c>
      <c r="AV4" s="67" t="s">
        <v>423</v>
      </c>
      <c r="AW4" s="67" t="s">
        <v>423</v>
      </c>
      <c r="AX4" s="67" t="s">
        <v>423</v>
      </c>
      <c r="AY4" s="67" t="s">
        <v>423</v>
      </c>
      <c r="AZ4" s="67" t="s">
        <v>423</v>
      </c>
      <c r="BA4" s="67" t="s">
        <v>423</v>
      </c>
      <c r="BC4" s="67" t="s">
        <v>423</v>
      </c>
      <c r="BD4" s="67" t="s">
        <v>423</v>
      </c>
      <c r="BE4" s="67" t="s">
        <v>423</v>
      </c>
      <c r="BF4" s="67" t="s">
        <v>423</v>
      </c>
      <c r="BG4" s="67" t="s">
        <v>423</v>
      </c>
      <c r="BH4" s="67" t="s">
        <v>423</v>
      </c>
      <c r="BI4" s="67" t="s">
        <v>423</v>
      </c>
      <c r="BJ4" s="67" t="s">
        <v>423</v>
      </c>
    </row>
    <row r="5" spans="1:62" ht="16.5" customHeight="1" x14ac:dyDescent="0.2">
      <c r="S5" s="49" t="s">
        <v>422</v>
      </c>
      <c r="T5" s="49" t="s">
        <v>421</v>
      </c>
      <c r="U5" s="49" t="s">
        <v>420</v>
      </c>
      <c r="V5" s="49" t="s">
        <v>419</v>
      </c>
      <c r="W5" s="49" t="s">
        <v>418</v>
      </c>
      <c r="X5" s="49" t="s">
        <v>417</v>
      </c>
      <c r="Y5" s="49" t="s">
        <v>416</v>
      </c>
      <c r="Z5" s="49" t="s">
        <v>415</v>
      </c>
      <c r="AB5" s="49" t="s">
        <v>422</v>
      </c>
      <c r="AC5" s="49" t="s">
        <v>421</v>
      </c>
      <c r="AD5" s="49" t="s">
        <v>420</v>
      </c>
      <c r="AE5" s="49" t="s">
        <v>419</v>
      </c>
      <c r="AF5" s="49" t="s">
        <v>418</v>
      </c>
      <c r="AG5" s="49" t="s">
        <v>417</v>
      </c>
      <c r="AH5" s="49" t="s">
        <v>416</v>
      </c>
      <c r="AI5" s="49" t="s">
        <v>415</v>
      </c>
      <c r="AK5" s="49" t="s">
        <v>422</v>
      </c>
      <c r="AL5" s="49" t="s">
        <v>421</v>
      </c>
      <c r="AM5" s="49" t="s">
        <v>420</v>
      </c>
      <c r="AN5" s="49" t="s">
        <v>419</v>
      </c>
      <c r="AO5" s="49" t="s">
        <v>418</v>
      </c>
      <c r="AP5" s="49" t="s">
        <v>417</v>
      </c>
      <c r="AQ5" s="49" t="s">
        <v>416</v>
      </c>
      <c r="AR5" s="49" t="s">
        <v>415</v>
      </c>
      <c r="AT5" s="49" t="s">
        <v>422</v>
      </c>
      <c r="AU5" s="49" t="s">
        <v>421</v>
      </c>
      <c r="AV5" s="49" t="s">
        <v>420</v>
      </c>
      <c r="AW5" s="49" t="s">
        <v>419</v>
      </c>
      <c r="AX5" s="49" t="s">
        <v>418</v>
      </c>
      <c r="AY5" s="49" t="s">
        <v>417</v>
      </c>
      <c r="AZ5" s="49" t="s">
        <v>416</v>
      </c>
      <c r="BA5" s="49" t="s">
        <v>415</v>
      </c>
      <c r="BC5" s="49" t="s">
        <v>422</v>
      </c>
      <c r="BD5" s="49" t="s">
        <v>421</v>
      </c>
      <c r="BE5" s="49" t="s">
        <v>420</v>
      </c>
      <c r="BF5" s="49" t="s">
        <v>419</v>
      </c>
      <c r="BG5" s="49" t="s">
        <v>418</v>
      </c>
      <c r="BH5" s="49" t="s">
        <v>417</v>
      </c>
      <c r="BI5" s="49" t="s">
        <v>416</v>
      </c>
      <c r="BJ5" s="49" t="s">
        <v>415</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397</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397</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397</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403</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397</v>
      </c>
      <c r="F15" s="62" t="s">
        <v>399</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397</v>
      </c>
      <c r="F16" s="62" t="s">
        <v>398</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397</v>
      </c>
      <c r="F17" s="62" t="s">
        <v>396</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414</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413</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414</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413</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N25"/>
  <sheetViews>
    <sheetView workbookViewId="0"/>
    <sheetView workbookViewId="1">
      <selection activeCell="P9" sqref="P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14" ht="11.25" customHeight="1" x14ac:dyDescent="0.2">
      <c r="A1" s="70" t="str">
        <f ca="1">IF(INDEX(Index!$C$9:$C$33,MATCH(A2,Index!B9:B33,0)),"ProcData","")</f>
        <v>ProcData</v>
      </c>
      <c r="B1" s="19" t="s">
        <v>138</v>
      </c>
      <c r="H1" s="56" t="s">
        <v>92</v>
      </c>
    </row>
    <row r="2" spans="1:14" ht="11.25" customHeight="1" x14ac:dyDescent="0.2">
      <c r="A2" s="64" t="str">
        <f ca="1">MID(CELL("filename",A1),FIND("]",CELL("filename",A1))+1,255)</f>
        <v>ProcDataTnD</v>
      </c>
    </row>
    <row r="3" spans="1:14" ht="34.5" customHeight="1" x14ac:dyDescent="0.2">
      <c r="H3" s="83" t="s">
        <v>429</v>
      </c>
      <c r="I3" s="49" t="s">
        <v>164</v>
      </c>
      <c r="J3" s="83" t="s">
        <v>393</v>
      </c>
      <c r="K3" s="83" t="s">
        <v>1809</v>
      </c>
      <c r="L3" s="83" t="s">
        <v>1809</v>
      </c>
      <c r="M3" s="83" t="s">
        <v>151</v>
      </c>
      <c r="N3" s="83" t="s">
        <v>1810</v>
      </c>
    </row>
    <row r="4" spans="1:14" ht="21.75" customHeight="1" x14ac:dyDescent="0.2">
      <c r="E4" s="82"/>
      <c r="F4" s="82"/>
      <c r="G4" s="82"/>
      <c r="H4" s="82" t="s">
        <v>428</v>
      </c>
      <c r="I4" s="67" t="s">
        <v>121</v>
      </c>
      <c r="J4" s="67" t="s">
        <v>156</v>
      </c>
      <c r="K4" s="67" t="s">
        <v>384</v>
      </c>
      <c r="L4" s="67" t="s">
        <v>384</v>
      </c>
      <c r="M4" s="67" t="s">
        <v>119</v>
      </c>
      <c r="N4" s="81" t="s">
        <v>154</v>
      </c>
    </row>
    <row r="5" spans="1:14" ht="16.5" customHeight="1" x14ac:dyDescent="0.2">
      <c r="I5" s="67" t="s">
        <v>27</v>
      </c>
      <c r="M5" s="80"/>
    </row>
    <row r="6" spans="1:14" ht="17.25" customHeight="1" x14ac:dyDescent="0.2">
      <c r="I6" s="67" t="s">
        <v>122</v>
      </c>
      <c r="M6" s="80"/>
      <c r="N6" s="67"/>
    </row>
    <row r="7" spans="1:14" ht="21.75" customHeight="1" x14ac:dyDescent="0.2">
      <c r="B7" s="70" t="s">
        <v>56</v>
      </c>
      <c r="C7" s="70" t="s">
        <v>57</v>
      </c>
      <c r="D7" s="79" t="s">
        <v>93</v>
      </c>
      <c r="E7" s="70" t="s">
        <v>80</v>
      </c>
      <c r="F7" s="70" t="s">
        <v>81</v>
      </c>
      <c r="G7" s="79" t="s">
        <v>94</v>
      </c>
      <c r="H7" s="79"/>
      <c r="K7" s="49">
        <v>2012</v>
      </c>
      <c r="L7" s="49">
        <v>2017</v>
      </c>
      <c r="M7" s="78" t="s">
        <v>44</v>
      </c>
      <c r="N7" s="49">
        <v>2012</v>
      </c>
    </row>
    <row r="8" spans="1:14" ht="11.25" customHeight="1" x14ac:dyDescent="0.2">
      <c r="A8" s="52" t="s">
        <v>147</v>
      </c>
      <c r="F8" s="55"/>
    </row>
    <row r="9" spans="1:14"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58">
        <v>0.01</v>
      </c>
      <c r="K9" s="58">
        <v>0.01</v>
      </c>
      <c r="L9" s="58"/>
      <c r="M9" s="49">
        <v>31.536000000000001</v>
      </c>
      <c r="N9" s="90">
        <v>34.200000000000003</v>
      </c>
    </row>
    <row r="10" spans="1:14" s="56" customFormat="1" ht="11.25" customHeight="1" x14ac:dyDescent="0.2">
      <c r="A10" s="49"/>
      <c r="B10" s="49" t="str">
        <f>Processes!B83</f>
        <v>ETRANSDUM</v>
      </c>
      <c r="C10" s="49" t="str">
        <f>Processes!C83</f>
        <v>dummy tech tracking investment costs</v>
      </c>
      <c r="D10" s="49" t="str">
        <f>Processes!D83</f>
        <v>PJ,GW</v>
      </c>
      <c r="E10" s="62"/>
      <c r="F10" s="49" t="s">
        <v>427</v>
      </c>
      <c r="H10" s="56">
        <v>0</v>
      </c>
      <c r="I10" s="60">
        <f t="shared" si="0"/>
        <v>1</v>
      </c>
      <c r="J10" s="58">
        <f>INDEX(ElecBY!$Q$58:$Q$80,MATCH(B10,ElecBY!$D$58:$D$80,0))</f>
        <v>204.62606607891979</v>
      </c>
      <c r="K10" s="58">
        <f>INDEX(ElecBY!$N$58:$N$80,MATCH(B10,ElecBY!$D$58:$D$80,0))</f>
        <v>3924.3313635870418</v>
      </c>
      <c r="L10" s="49">
        <v>9706.0655000000006</v>
      </c>
      <c r="M10" s="49">
        <v>31.536000000000001</v>
      </c>
      <c r="N10" s="58">
        <f>INDEX(ElecBY!$F$58:$F$80,MATCH(B10,ElecBY!$D$58:$D$80,0))</f>
        <v>34.200000000000003</v>
      </c>
    </row>
    <row r="11" spans="1:14"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60">
        <f t="shared" si="0"/>
        <v>0.87</v>
      </c>
      <c r="J11" s="58">
        <f>INDEX(ElecBY!$Q$58:$Q$80,MATCH(B11,ElecBY!$D$58:$D$80,0))</f>
        <v>1195.8626674828206</v>
      </c>
      <c r="K11" s="58">
        <f>INDEX(ElecBY!$N$58:$N$80,MATCH(B11,ElecBY!$D$58:$D$80,0))</f>
        <v>22934.328272409461</v>
      </c>
      <c r="L11" s="49"/>
      <c r="M11" s="49">
        <v>31.536000000000001</v>
      </c>
      <c r="N11" s="58">
        <f>INDEX(ElecBY!$F$58:$F$80,MATCH(B11,ElecBY!$D$58:$D$80,0))</f>
        <v>0.91200000000000003</v>
      </c>
    </row>
    <row r="12" spans="1:14"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60">
        <f t="shared" si="0"/>
        <v>0.877</v>
      </c>
      <c r="J12" s="58">
        <f>INDEX(ElecBY!$Q$58:$Q$80,MATCH(B12,ElecBY!$D$58:$D$80,0))</f>
        <v>597.93133567839402</v>
      </c>
      <c r="K12" s="58">
        <f>INDEX(ElecBY!$N$58:$N$80,MATCH(B12,ElecBY!$D$58:$D$80,0))</f>
        <v>11467.164173352327</v>
      </c>
      <c r="M12" s="49">
        <v>31.536000000000001</v>
      </c>
      <c r="N12" s="58">
        <f>INDEX(ElecBY!$F$58:$F$80,MATCH(B12,ElecBY!$D$58:$D$80,0))</f>
        <v>6.0609000000000002</v>
      </c>
    </row>
    <row r="13" spans="1:14" ht="11.25" customHeight="1" x14ac:dyDescent="0.2">
      <c r="B13" s="49" t="str">
        <f>Processes!B86</f>
        <v>XICPELC</v>
      </c>
      <c r="C13" s="49" t="str">
        <f>Processes!C86</f>
        <v xml:space="preserve">Industrial CP-Electricity                         </v>
      </c>
      <c r="D13" s="49" t="str">
        <f>Processes!D86</f>
        <v>PJ,GW</v>
      </c>
      <c r="E13" s="62" t="s">
        <v>396</v>
      </c>
      <c r="F13" s="49" t="str">
        <f t="shared" si="1"/>
        <v>ICPELC</v>
      </c>
      <c r="H13" s="89">
        <v>0.06</v>
      </c>
      <c r="I13" s="60">
        <f t="shared" si="0"/>
        <v>0.94</v>
      </c>
      <c r="J13" s="58">
        <f>INDEX(ElecBY!$Q$58:$Q$80,MATCH(B13,ElecBY!$D$58:$D$80,0))</f>
        <v>284.22338537890141</v>
      </c>
      <c r="K13" s="58">
        <f>INDEX(ElecBY!$N$58:$N$80,MATCH(B13,ElecBY!$D$58:$D$80,0))</f>
        <v>5450.8536809632542</v>
      </c>
      <c r="M13" s="49">
        <v>31.536000000000001</v>
      </c>
      <c r="N13" s="58">
        <f>INDEX(ElecBY!$F$58:$F$80,MATCH(B13,ElecBY!$D$58:$D$80,0))</f>
        <v>1.2666999999999999</v>
      </c>
    </row>
    <row r="14" spans="1:14" ht="11.25" customHeight="1" x14ac:dyDescent="0.2">
      <c r="B14" s="49" t="str">
        <f>Processes!B87</f>
        <v>XIFAELC</v>
      </c>
      <c r="C14" s="49" t="str">
        <f>Processes!C87</f>
        <v xml:space="preserve">Industrial FA-Electricity                         </v>
      </c>
      <c r="D14" s="49" t="str">
        <f>Processes!D87</f>
        <v>PJ,GW</v>
      </c>
      <c r="E14" s="62" t="s">
        <v>396</v>
      </c>
      <c r="F14" s="49" t="str">
        <f t="shared" si="1"/>
        <v>IFAELC</v>
      </c>
      <c r="H14" s="89">
        <v>0.06</v>
      </c>
      <c r="I14" s="60">
        <f t="shared" si="0"/>
        <v>0.94</v>
      </c>
      <c r="J14" s="58">
        <f>INDEX(ElecBY!$Q$58:$Q$80,MATCH(B14,ElecBY!$D$58:$D$80,0))</f>
        <v>284.22338537890136</v>
      </c>
      <c r="K14" s="58">
        <f>INDEX(ElecBY!$N$58:$N$80,MATCH(B14,ElecBY!$D$58:$D$80,0))</f>
        <v>5450.8536809632542</v>
      </c>
      <c r="M14" s="49">
        <v>31.536000000000001</v>
      </c>
      <c r="N14" s="58">
        <f>INDEX(ElecBY!$F$58:$F$80,MATCH(B14,ElecBY!$D$58:$D$80,0))</f>
        <v>0</v>
      </c>
    </row>
    <row r="15" spans="1:14" ht="11.25" customHeight="1" x14ac:dyDescent="0.2">
      <c r="B15" s="49" t="str">
        <f>Processes!B88</f>
        <v>XIFBELC</v>
      </c>
      <c r="C15" s="49" t="str">
        <f>Processes!C88</f>
        <v xml:space="preserve">Industrial FB-Electricity                         </v>
      </c>
      <c r="D15" s="49" t="str">
        <f>Processes!D88</f>
        <v>PJ,GW</v>
      </c>
      <c r="E15" s="62" t="s">
        <v>396</v>
      </c>
      <c r="F15" s="49" t="str">
        <f t="shared" si="1"/>
        <v>IFBELC</v>
      </c>
      <c r="H15" s="89">
        <v>0.06</v>
      </c>
      <c r="I15" s="60">
        <f t="shared" si="0"/>
        <v>0.94</v>
      </c>
      <c r="J15" s="58">
        <f>INDEX(ElecBY!$Q$58:$Q$80,MATCH(B15,ElecBY!$D$58:$D$80,0))</f>
        <v>456.64168726285698</v>
      </c>
      <c r="K15" s="58">
        <f>INDEX(ElecBY!$N$58:$N$80,MATCH(B15,ElecBY!$D$58:$D$80,0))</f>
        <v>8757.502548848277</v>
      </c>
      <c r="M15" s="49">
        <v>31.536000000000001</v>
      </c>
      <c r="N15" s="58">
        <f>INDEX(ElecBY!$F$58:$F$80,MATCH(B15,ElecBY!$D$58:$D$80,0))</f>
        <v>0.54330000000000001</v>
      </c>
    </row>
    <row r="16" spans="1:14" ht="11.25" customHeight="1" x14ac:dyDescent="0.2">
      <c r="B16" s="49" t="str">
        <f>Processes!B89</f>
        <v>XIISELC</v>
      </c>
      <c r="C16" s="49" t="str">
        <f>Processes!C89</f>
        <v xml:space="preserve">Industrial IS-Electricity                         </v>
      </c>
      <c r="D16" s="49" t="str">
        <f>Processes!D89</f>
        <v>PJ,GW</v>
      </c>
      <c r="E16" s="62" t="s">
        <v>396</v>
      </c>
      <c r="F16" s="49" t="str">
        <f t="shared" si="1"/>
        <v>IISELC</v>
      </c>
      <c r="H16" s="89">
        <v>0.06</v>
      </c>
      <c r="I16" s="60">
        <f t="shared" si="0"/>
        <v>0.94</v>
      </c>
      <c r="J16" s="58">
        <f>INDEX(ElecBY!$Q$58:$Q$80,MATCH(B16,ElecBY!$D$58:$D$80,0))</f>
        <v>284.22338537890141</v>
      </c>
      <c r="K16" s="58">
        <f>INDEX(ElecBY!$N$58:$N$80,MATCH(B16,ElecBY!$D$58:$D$80,0))</f>
        <v>5450.8536809632542</v>
      </c>
      <c r="M16" s="49">
        <v>31.536000000000001</v>
      </c>
      <c r="N16" s="58">
        <f>INDEX(ElecBY!$F$58:$F$80,MATCH(B16,ElecBY!$D$58:$D$80,0))</f>
        <v>3.5015000000000001</v>
      </c>
    </row>
    <row r="17" spans="2:14" ht="11.25" customHeight="1" x14ac:dyDescent="0.2">
      <c r="B17" s="49" t="str">
        <f>Processes!B90</f>
        <v>XIMIELC</v>
      </c>
      <c r="C17" s="49" t="str">
        <f>Processes!C90</f>
        <v xml:space="preserve">Industrial MI-Electricity                         </v>
      </c>
      <c r="D17" s="49" t="str">
        <f>Processes!D90</f>
        <v>PJ,GW</v>
      </c>
      <c r="E17" s="62" t="s">
        <v>396</v>
      </c>
      <c r="F17" s="49" t="str">
        <f t="shared" si="1"/>
        <v>IMIELC</v>
      </c>
      <c r="H17" s="89">
        <v>0.05</v>
      </c>
      <c r="I17" s="60">
        <f t="shared" si="0"/>
        <v>0.95</v>
      </c>
      <c r="J17" s="58">
        <f>INDEX(ElecBY!$Q$58:$Q$80,MATCH(B17,ElecBY!$D$58:$D$80,0))</f>
        <v>284.22338537890141</v>
      </c>
      <c r="K17" s="58">
        <f>INDEX(ElecBY!$N$58:$N$80,MATCH(B17,ElecBY!$D$58:$D$80,0))</f>
        <v>5450.8536809632551</v>
      </c>
      <c r="M17" s="49">
        <v>31.536000000000001</v>
      </c>
      <c r="N17" s="58">
        <f>INDEX(ElecBY!$F$58:$F$80,MATCH(B17,ElecBY!$D$58:$D$80,0))</f>
        <v>4.1947999999999999</v>
      </c>
    </row>
    <row r="18" spans="2:14" ht="11.25" customHeight="1" x14ac:dyDescent="0.2">
      <c r="B18" s="49" t="str">
        <f>Processes!B91</f>
        <v>XINFELC</v>
      </c>
      <c r="C18" s="49" t="str">
        <f>Processes!C91</f>
        <v xml:space="preserve">Industrial NF-Electricity                         </v>
      </c>
      <c r="D18" s="49" t="str">
        <f>Processes!D91</f>
        <v>PJ,GW</v>
      </c>
      <c r="E18" s="62" t="s">
        <v>396</v>
      </c>
      <c r="F18" s="49" t="str">
        <f t="shared" si="1"/>
        <v>INFELC</v>
      </c>
      <c r="H18" s="89">
        <v>0.06</v>
      </c>
      <c r="I18" s="60">
        <f t="shared" si="0"/>
        <v>0.94</v>
      </c>
      <c r="J18" s="58">
        <f>INDEX(ElecBY!$Q$58:$Q$80,MATCH(B18,ElecBY!$D$58:$D$80,0))</f>
        <v>284.22338537890136</v>
      </c>
      <c r="K18" s="58">
        <f>INDEX(ElecBY!$N$58:$N$80,MATCH(B18,ElecBY!$D$58:$D$80,0))</f>
        <v>5450.8536809632542</v>
      </c>
      <c r="M18" s="49">
        <v>31.536000000000001</v>
      </c>
      <c r="N18" s="58">
        <f>INDEX(ElecBY!$F$58:$F$80,MATCH(B18,ElecBY!$D$58:$D$80,0))</f>
        <v>2.8782000000000001</v>
      </c>
    </row>
    <row r="19" spans="2:14" ht="11.25" customHeight="1" x14ac:dyDescent="0.2">
      <c r="B19" s="49" t="str">
        <f>Processes!B92</f>
        <v>XINMELC</v>
      </c>
      <c r="C19" s="49" t="str">
        <f>Processes!C92</f>
        <v xml:space="preserve">Industrial NM-Electricity                         </v>
      </c>
      <c r="D19" s="49" t="str">
        <f>Processes!D92</f>
        <v>PJ,GW</v>
      </c>
      <c r="E19" s="62" t="s">
        <v>396</v>
      </c>
      <c r="F19" s="49" t="str">
        <f t="shared" si="1"/>
        <v>INMELC</v>
      </c>
      <c r="H19" s="89">
        <v>0.06</v>
      </c>
      <c r="I19" s="60">
        <f t="shared" si="0"/>
        <v>0.94</v>
      </c>
      <c r="J19" s="58">
        <f>INDEX(ElecBY!$Q$58:$Q$80,MATCH(B19,ElecBY!$D$58:$D$80,0))</f>
        <v>284.22338537890141</v>
      </c>
      <c r="K19" s="58">
        <f>INDEX(ElecBY!$N$58:$N$80,MATCH(B19,ElecBY!$D$58:$D$80,0))</f>
        <v>5450.8536809632551</v>
      </c>
      <c r="M19" s="49">
        <v>31.536000000000001</v>
      </c>
      <c r="N19" s="58">
        <f>INDEX(ElecBY!$F$58:$F$80,MATCH(B19,ElecBY!$D$58:$D$80,0))</f>
        <v>0.8427</v>
      </c>
    </row>
    <row r="20" spans="2:14" ht="11.25" customHeight="1" x14ac:dyDescent="0.2">
      <c r="B20" s="49" t="str">
        <f>Processes!B93</f>
        <v>XIOTELC</v>
      </c>
      <c r="C20" s="49" t="str">
        <f>Processes!C93</f>
        <v xml:space="preserve">Industrial OT-Electricity                         </v>
      </c>
      <c r="D20" s="49" t="str">
        <f>Processes!D93</f>
        <v>PJ,GW</v>
      </c>
      <c r="E20" s="62" t="s">
        <v>396</v>
      </c>
      <c r="F20" s="49" t="str">
        <f t="shared" si="1"/>
        <v>IOTELC</v>
      </c>
      <c r="H20" s="89">
        <v>0.06</v>
      </c>
      <c r="I20" s="60">
        <f t="shared" si="0"/>
        <v>0.94</v>
      </c>
      <c r="J20" s="58">
        <f>INDEX(ElecBY!$Q$58:$Q$80,MATCH(B20,ElecBY!$D$58:$D$80,0))</f>
        <v>456.64168726285692</v>
      </c>
      <c r="K20" s="58">
        <f>INDEX(ElecBY!$N$58:$N$80,MATCH(B20,ElecBY!$D$58:$D$80,0))</f>
        <v>8757.502548848277</v>
      </c>
      <c r="M20" s="49">
        <v>31.536000000000001</v>
      </c>
      <c r="N20" s="58">
        <f>INDEX(ElecBY!$F$58:$F$80,MATCH(B20,ElecBY!$D$58:$D$80,0))</f>
        <v>0.90400000000000003</v>
      </c>
    </row>
    <row r="21" spans="2:14" ht="11.25" customHeight="1" x14ac:dyDescent="0.2">
      <c r="B21" s="49" t="str">
        <f>Processes!B94</f>
        <v>XIPPELC</v>
      </c>
      <c r="C21" s="49" t="str">
        <f>Processes!C94</f>
        <v xml:space="preserve">Industrial PP-Electricity                         </v>
      </c>
      <c r="D21" s="49" t="str">
        <f>Processes!D94</f>
        <v>PJ,GW</v>
      </c>
      <c r="E21" s="62" t="s">
        <v>396</v>
      </c>
      <c r="F21" s="49" t="str">
        <f t="shared" si="1"/>
        <v>IPPELC</v>
      </c>
      <c r="H21" s="89">
        <v>0.06</v>
      </c>
      <c r="I21" s="60">
        <f t="shared" si="0"/>
        <v>0.94</v>
      </c>
      <c r="J21" s="58">
        <f>INDEX(ElecBY!$Q$58:$Q$80,MATCH(B21,ElecBY!$D$58:$D$80,0))</f>
        <v>456.64168726285692</v>
      </c>
      <c r="K21" s="58">
        <f>INDEX(ElecBY!$N$58:$N$80,MATCH(B21,ElecBY!$D$58:$D$80,0))</f>
        <v>8757.502548848277</v>
      </c>
      <c r="M21" s="49">
        <v>31.536000000000001</v>
      </c>
      <c r="N21" s="58">
        <f>INDEX(ElecBY!$F$58:$F$80,MATCH(B21,ElecBY!$D$58:$D$80,0))</f>
        <v>1.3541000000000001</v>
      </c>
    </row>
    <row r="22" spans="2:14"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60">
        <f t="shared" si="0"/>
        <v>0.80299999999999994</v>
      </c>
      <c r="J22" s="58">
        <f>INDEX(ElecBY!$Q$58:$Q$80,MATCH(B22,ElecBY!$D$58:$D$80,0))</f>
        <v>1195.8626674828204</v>
      </c>
      <c r="K22" s="58">
        <f>INDEX(ElecBY!$N$58:$N$80,MATCH(B22,ElecBY!$D$58:$D$80,0))</f>
        <v>22934.328272409461</v>
      </c>
      <c r="M22" s="49">
        <v>31.536000000000001</v>
      </c>
      <c r="N22" s="58">
        <f>INDEX(ElecBY!$F$58:$F$80,MATCH(B22,ElecBY!$D$58:$D$80,0))</f>
        <v>10.6821</v>
      </c>
    </row>
    <row r="23" spans="2:14"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60">
        <f t="shared" si="0"/>
        <v>0.95199999999999996</v>
      </c>
      <c r="J23" s="58">
        <f>INDEX(ElecBY!$Q$58:$Q$80,MATCH(B23,ElecBY!$D$58:$D$80,0))</f>
        <v>597.93133567839402</v>
      </c>
      <c r="K23" s="58">
        <f>INDEX(ElecBY!$N$58:$N$80,MATCH(B23,ElecBY!$D$58:$D$80,0))</f>
        <v>11467.164173352325</v>
      </c>
      <c r="M23" s="49">
        <v>31.536000000000001</v>
      </c>
      <c r="N23" s="58">
        <f>INDEX(ElecBY!$F$58:$F$80,MATCH(B23,ElecBY!$D$58:$D$80,0))</f>
        <v>9.9384999999999994</v>
      </c>
    </row>
    <row r="24" spans="2:14"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60">
        <f t="shared" si="0"/>
        <v>0.94</v>
      </c>
      <c r="J24" s="58">
        <f>INDEX(ElecBY!$Q$58:$Q$80,MATCH(B24,ElecBY!$D$58:$D$80,0))</f>
        <v>298.96566783919695</v>
      </c>
      <c r="K24" s="58">
        <f>INDEX(ElecBY!$N$58:$N$80,MATCH(B24,ElecBY!$D$58:$D$80,0))</f>
        <v>5733.5820866761624</v>
      </c>
      <c r="M24" s="49">
        <v>31.536000000000001</v>
      </c>
      <c r="N24" s="58">
        <f>INDEX(ElecBY!$F$58:$F$80,MATCH(B24,ElecBY!$D$58:$D$80,0))</f>
        <v>0.77349999999999997</v>
      </c>
    </row>
    <row r="25" spans="2:14"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J25" s="58">
        <v>0.01</v>
      </c>
      <c r="M25" s="49">
        <v>31.536000000000001</v>
      </c>
      <c r="N25" s="58">
        <v>15.5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IF(INDEX(Index!$C$9:$C$33,MATCH(A2,Index!B9:B33,0)),"ProcData","")</f>
        <v>ProcData</v>
      </c>
      <c r="B1" s="19" t="s">
        <v>138</v>
      </c>
    </row>
    <row r="2" spans="1:11" ht="11.25" customHeight="1" x14ac:dyDescent="0.2">
      <c r="A2" s="64" t="str">
        <f ca="1">MID(CELL("filename",A1),FIND("]",CELL("filename",A1))+1,255)</f>
        <v>ProcDataExports</v>
      </c>
    </row>
    <row r="3" spans="1:11" ht="34.5" customHeight="1" x14ac:dyDescent="0.2">
      <c r="H3" s="83" t="s">
        <v>394</v>
      </c>
      <c r="I3" s="49" t="s">
        <v>1815</v>
      </c>
      <c r="J3" s="49" t="s">
        <v>1815</v>
      </c>
      <c r="K3" s="49" t="s">
        <v>1815</v>
      </c>
    </row>
    <row r="4" spans="1:11" ht="21.75" customHeight="1" x14ac:dyDescent="0.2">
      <c r="E4" s="82"/>
      <c r="F4" s="82"/>
      <c r="G4" s="82"/>
      <c r="H4" s="67" t="s">
        <v>120</v>
      </c>
      <c r="I4" s="67" t="s">
        <v>1821</v>
      </c>
      <c r="J4" s="67" t="s">
        <v>1821</v>
      </c>
      <c r="K4" s="67" t="s">
        <v>1821</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1816</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1820</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topLeftCell="E1" workbookViewId="0">
      <selection activeCell="N8" sqref="N8"/>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IF(INDEX(Index!$C$9:$C$33,MATCH(A2,Index!B9:B33,0)),"ProcData","")</f>
        <v>ProcData</v>
      </c>
      <c r="B1" s="19" t="s">
        <v>138</v>
      </c>
      <c r="M1" s="64" t="s">
        <v>92</v>
      </c>
      <c r="T1" s="49" t="s">
        <v>92</v>
      </c>
    </row>
    <row r="2" spans="1:22" ht="11.25" customHeight="1" x14ac:dyDescent="0.2">
      <c r="A2" s="64" t="str">
        <f ca="1">MID(CELL("filename",A1),FIND("]",CELL("filename",A1))+1,255)</f>
        <v>ProcDataMines</v>
      </c>
    </row>
    <row r="3" spans="1:22" ht="34.5" customHeight="1" x14ac:dyDescent="0.2">
      <c r="H3" s="83" t="s">
        <v>155</v>
      </c>
      <c r="I3" s="83" t="s">
        <v>436</v>
      </c>
      <c r="J3" s="83" t="s">
        <v>435</v>
      </c>
      <c r="K3" s="83" t="s">
        <v>434</v>
      </c>
      <c r="L3" s="49" t="s">
        <v>410</v>
      </c>
      <c r="M3" s="49"/>
      <c r="N3" s="49" t="s">
        <v>433</v>
      </c>
    </row>
    <row r="4" spans="1:22" ht="21.75" customHeight="1" x14ac:dyDescent="0.2">
      <c r="E4" s="82"/>
      <c r="F4" s="82"/>
      <c r="G4" s="82"/>
      <c r="H4" s="67" t="s">
        <v>156</v>
      </c>
      <c r="I4" s="67" t="s">
        <v>120</v>
      </c>
      <c r="J4" s="81" t="s">
        <v>149</v>
      </c>
      <c r="K4" s="81" t="s">
        <v>149</v>
      </c>
      <c r="L4" s="81" t="s">
        <v>406</v>
      </c>
      <c r="M4" s="49"/>
      <c r="N4" s="81" t="s">
        <v>377</v>
      </c>
      <c r="O4" s="81" t="s">
        <v>377</v>
      </c>
      <c r="V4" s="67"/>
    </row>
    <row r="5" spans="1:22" ht="16.5" customHeight="1" x14ac:dyDescent="0.2">
      <c r="J5" s="49" t="s">
        <v>122</v>
      </c>
      <c r="K5" s="49" t="s">
        <v>122</v>
      </c>
      <c r="M5" s="49"/>
      <c r="N5" s="67" t="s">
        <v>432</v>
      </c>
      <c r="O5" s="67" t="s">
        <v>431</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430</v>
      </c>
      <c r="F8" s="55"/>
      <c r="M8" s="49"/>
      <c r="N8" s="360">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IF(INDEX(Index!$C$9:$C$33,MATCH(A2,Index!B9:B33,0)),"Commodities","")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427</v>
      </c>
      <c r="C8" s="19" t="s">
        <v>1811</v>
      </c>
      <c r="D8" s="19" t="s">
        <v>115</v>
      </c>
      <c r="E8" s="65" t="s">
        <v>117</v>
      </c>
    </row>
    <row r="9" spans="1:6" s="18" customFormat="1" ht="12.75" x14ac:dyDescent="0.2">
      <c r="A9" s="47" t="s">
        <v>346</v>
      </c>
      <c r="B9" s="49"/>
      <c r="C9" s="49"/>
      <c r="D9" s="49"/>
    </row>
    <row r="10" spans="1:6" s="18" customFormat="1" ht="12.75" x14ac:dyDescent="0.2">
      <c r="A10" s="51"/>
      <c r="B10" s="51" t="s">
        <v>359</v>
      </c>
      <c r="C10" s="51" t="str">
        <f>"Coal for "&amp;INDEX(ProcDataGenPre2012!$C$9:$C$29,MATCH(B10,ProcDataGenPre2012!$E$9:$E$29,0))&amp;" Power Plant"</f>
        <v>Coal for ARNOT Power Plant</v>
      </c>
      <c r="D10" s="71" t="s">
        <v>115</v>
      </c>
      <c r="E10" s="65" t="s">
        <v>117</v>
      </c>
    </row>
    <row r="11" spans="1:6" s="18" customFormat="1" ht="12.75" x14ac:dyDescent="0.2">
      <c r="A11" s="51"/>
      <c r="B11" s="51" t="s">
        <v>358</v>
      </c>
      <c r="C11" s="51" t="str">
        <f>"Coal for "&amp;INDEX(ProcDataGenPre2012!$C$9:$C$29,MATCH(B11,ProcDataGenPre2012!$E$9:$E$29,0))&amp;" Power Plant"</f>
        <v>Coal for CAMDEN Power Plant</v>
      </c>
      <c r="D11" s="71" t="s">
        <v>115</v>
      </c>
      <c r="E11" s="65" t="s">
        <v>117</v>
      </c>
    </row>
    <row r="12" spans="1:6" s="18" customFormat="1" ht="12.75" x14ac:dyDescent="0.2">
      <c r="A12" s="51"/>
      <c r="B12" s="51" t="s">
        <v>357</v>
      </c>
      <c r="C12" s="51" t="str">
        <f>"Coal for "&amp;INDEX(ProcDataGenPre2012!$C$9:$C$29,MATCH(B12,ProcDataGenPre2012!$E$9:$E$29,0))&amp;" Power Plant"</f>
        <v>Coal for DUVHA Power Plant</v>
      </c>
      <c r="D12" s="71" t="s">
        <v>115</v>
      </c>
      <c r="E12" s="65" t="s">
        <v>117</v>
      </c>
    </row>
    <row r="13" spans="1:6" s="18" customFormat="1" ht="12.75" x14ac:dyDescent="0.2">
      <c r="A13" s="51"/>
      <c r="B13" s="51" t="s">
        <v>356</v>
      </c>
      <c r="C13" s="51" t="str">
        <f>"Coal for "&amp;INDEX(ProcDataGenPre2012!$C$9:$C$29,MATCH(B13,ProcDataGenPre2012!$E$9:$E$29,0))&amp;" Power Plant"</f>
        <v>Coal for GROOTVLEI Power Plant</v>
      </c>
      <c r="D13" s="71" t="s">
        <v>115</v>
      </c>
      <c r="E13" s="65" t="s">
        <v>117</v>
      </c>
    </row>
    <row r="14" spans="1:6" s="18" customFormat="1" ht="12.75" x14ac:dyDescent="0.2">
      <c r="A14" s="51"/>
      <c r="B14" s="51" t="s">
        <v>355</v>
      </c>
      <c r="C14" s="51" t="str">
        <f>"Coal for "&amp;INDEX(ProcDataGenPre2012!$C$9:$C$29,MATCH(B14,ProcDataGenPre2012!$E$9:$E$29,0))&amp;" Power Plant"</f>
        <v>Coal for HENDRINA Power Plant</v>
      </c>
      <c r="D14" s="71" t="s">
        <v>115</v>
      </c>
      <c r="E14" s="65" t="s">
        <v>117</v>
      </c>
    </row>
    <row r="15" spans="1:6" s="18" customFormat="1" ht="12.75" x14ac:dyDescent="0.2">
      <c r="A15" s="51"/>
      <c r="B15" s="51" t="s">
        <v>354</v>
      </c>
      <c r="C15" s="51" t="str">
        <f>"Coal for "&amp;INDEX(ProcDataGenPre2012!$C$9:$C$29,MATCH(B15,ProcDataGenPre2012!$E$9:$E$29,0))&amp;" Power Plant"</f>
        <v>Coal for KENDAL Power Plant</v>
      </c>
      <c r="D15" s="71" t="s">
        <v>115</v>
      </c>
      <c r="E15" s="65" t="s">
        <v>117</v>
      </c>
    </row>
    <row r="16" spans="1:6" s="18" customFormat="1" ht="12.75" x14ac:dyDescent="0.2">
      <c r="A16" s="51"/>
      <c r="B16" s="51" t="s">
        <v>353</v>
      </c>
      <c r="C16" s="51" t="str">
        <f>"Coal for "&amp;INDEX(ProcDataGenPre2012!$C$9:$C$29,MATCH(B16,ProcDataGenPre2012!$E$9:$E$29,0))&amp;" Power Plant"</f>
        <v>Coal for KOMATI Power Plant</v>
      </c>
      <c r="D16" s="71" t="s">
        <v>115</v>
      </c>
      <c r="E16" s="65" t="s">
        <v>117</v>
      </c>
    </row>
    <row r="17" spans="1:11" s="18" customFormat="1" ht="12.75" x14ac:dyDescent="0.2">
      <c r="A17" s="51"/>
      <c r="B17" s="51" t="s">
        <v>352</v>
      </c>
      <c r="C17" s="51" t="str">
        <f>"Coal for "&amp;INDEX(ProcDataGenPre2012!$C$9:$C$29,MATCH(B17,ProcDataGenPre2012!$E$9:$E$29,0))&amp;" Power Plant"</f>
        <v>Coal for KRIEL Power Plant</v>
      </c>
      <c r="D17" s="71" t="s">
        <v>115</v>
      </c>
      <c r="E17" s="65" t="s">
        <v>117</v>
      </c>
    </row>
    <row r="18" spans="1:11" s="18" customFormat="1" ht="12.75" x14ac:dyDescent="0.2">
      <c r="A18" s="51"/>
      <c r="B18" s="51" t="s">
        <v>351</v>
      </c>
      <c r="C18" s="51" t="str">
        <f>"Coal for "&amp;INDEX(ProcDataGenPre2012!$C$9:$C$29,MATCH(B18,ProcDataGenPre2012!$E$9:$E$29,0))&amp;" Power Plant"</f>
        <v>Coal for LETHABO Power Plant</v>
      </c>
      <c r="D18" s="71" t="s">
        <v>115</v>
      </c>
      <c r="E18" s="65" t="s">
        <v>117</v>
      </c>
    </row>
    <row r="19" spans="1:11" s="18" customFormat="1" ht="12.75" x14ac:dyDescent="0.2">
      <c r="A19" s="51"/>
      <c r="B19" s="51" t="s">
        <v>350</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349</v>
      </c>
      <c r="C20" s="51" t="str">
        <f>"Coal for "&amp;INDEX(ProcDataGenPre2012!$C$9:$C$29,MATCH(B20,ProcDataGenPre2012!$E$9:$E$29,0))&amp;" Power Plant"</f>
        <v>Coal for MATIMBA Power Plant</v>
      </c>
      <c r="D20" s="71" t="s">
        <v>115</v>
      </c>
      <c r="E20" s="65" t="s">
        <v>117</v>
      </c>
    </row>
    <row r="21" spans="1:11" s="18" customFormat="1" ht="12.75" x14ac:dyDescent="0.2">
      <c r="A21" s="51"/>
      <c r="B21" s="51" t="s">
        <v>348</v>
      </c>
      <c r="C21" s="51" t="str">
        <f>"Coal for "&amp;INDEX(ProcDataGenPre2012!$C$9:$C$29,MATCH(B21,ProcDataGenPre2012!$E$9:$E$29,0))&amp;" Power Plant"</f>
        <v>Coal for MATLA Power Plant</v>
      </c>
      <c r="D21" s="71" t="s">
        <v>115</v>
      </c>
      <c r="E21" s="65" t="s">
        <v>117</v>
      </c>
    </row>
    <row r="22" spans="1:11" s="18" customFormat="1" ht="12.75" x14ac:dyDescent="0.2">
      <c r="A22" s="51"/>
      <c r="B22" s="51" t="s">
        <v>347</v>
      </c>
      <c r="C22" s="51" t="str">
        <f>"Coal for "&amp;INDEX(ProcDataGenPre2012!$C$9:$C$29,MATCH(B22,ProcDataGenPre2012!$E$9:$E$29,0))&amp;" Power Plant"</f>
        <v>Coal for TUTUKA Power Plant</v>
      </c>
      <c r="D22" s="71" t="s">
        <v>115</v>
      </c>
      <c r="E22" s="65" t="s">
        <v>117</v>
      </c>
    </row>
    <row r="23" spans="1:11" s="18" customFormat="1" ht="12.75" x14ac:dyDescent="0.2">
      <c r="A23" s="47" t="s">
        <v>345</v>
      </c>
      <c r="B23" s="51"/>
      <c r="C23" s="51"/>
      <c r="D23" s="71"/>
      <c r="E23" s="65"/>
    </row>
    <row r="24" spans="1:11" s="18" customFormat="1" ht="12.75" x14ac:dyDescent="0.2">
      <c r="A24" s="51"/>
      <c r="B24" s="51" t="s">
        <v>344</v>
      </c>
      <c r="C24" s="51" t="str">
        <f>"Coal for "&amp;INDEX(ProcDataGen2012On!$C$9:$C$20,MATCH(B24,ProcDataGen2012On!$E$9:$E$20,0))&amp;" Power Plant"</f>
        <v>Coal for KUSILE Power Plant</v>
      </c>
      <c r="D24" s="71" t="s">
        <v>115</v>
      </c>
      <c r="E24" s="65" t="s">
        <v>117</v>
      </c>
    </row>
    <row r="25" spans="1:11" s="18" customFormat="1" ht="12.75" x14ac:dyDescent="0.2">
      <c r="A25" s="51"/>
      <c r="B25" s="51" t="s">
        <v>343</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342</v>
      </c>
      <c r="C26" s="51" t="str">
        <f>"Coal for "&amp;INDEX(ProcDataGen2012On!$C$9:$C$20,MATCH(B26,ProcDataGen2012On!$E$9:$E$20,0))&amp;" Power Plant"</f>
        <v>Coal for Generic Waterberg Coal Plant Power Plant</v>
      </c>
      <c r="D26" s="71" t="s">
        <v>115</v>
      </c>
      <c r="E26" s="65" t="s">
        <v>117</v>
      </c>
      <c r="K26" s="64"/>
    </row>
    <row r="27" spans="1:11" ht="12.75" x14ac:dyDescent="0.2">
      <c r="A27" s="50" t="s">
        <v>341</v>
      </c>
      <c r="B27" s="51"/>
      <c r="C27" s="51"/>
      <c r="D27" s="71"/>
    </row>
    <row r="28" spans="1:11" ht="12.75" x14ac:dyDescent="0.2">
      <c r="A28" s="51"/>
      <c r="B28" s="51" t="s">
        <v>340</v>
      </c>
      <c r="C28" s="51" t="s">
        <v>339</v>
      </c>
      <c r="D28" s="71" t="s">
        <v>115</v>
      </c>
      <c r="E28" s="65" t="s">
        <v>117</v>
      </c>
    </row>
    <row r="29" spans="1:11" ht="12.75" x14ac:dyDescent="0.2">
      <c r="A29" s="51"/>
      <c r="B29" s="51" t="s">
        <v>338</v>
      </c>
      <c r="C29" s="51" t="s">
        <v>337</v>
      </c>
      <c r="D29" s="71" t="s">
        <v>115</v>
      </c>
      <c r="E29" s="65" t="s">
        <v>117</v>
      </c>
    </row>
    <row r="30" spans="1:11" ht="12.75" x14ac:dyDescent="0.2">
      <c r="A30" s="51"/>
      <c r="B30" s="51" t="s">
        <v>336</v>
      </c>
      <c r="C30" s="51" t="s">
        <v>335</v>
      </c>
      <c r="D30" s="71" t="s">
        <v>115</v>
      </c>
      <c r="E30" s="65" t="s">
        <v>117</v>
      </c>
    </row>
    <row r="31" spans="1:11" ht="12.75" x14ac:dyDescent="0.2">
      <c r="B31" s="51" t="s">
        <v>334</v>
      </c>
      <c r="C31" s="51" t="s">
        <v>333</v>
      </c>
      <c r="D31" s="71" t="s">
        <v>115</v>
      </c>
      <c r="E31" s="65" t="s">
        <v>117</v>
      </c>
    </row>
    <row r="32" spans="1:11" ht="12.75" x14ac:dyDescent="0.2">
      <c r="B32" s="51" t="s">
        <v>332</v>
      </c>
      <c r="C32" s="51" t="s">
        <v>331</v>
      </c>
      <c r="D32" s="71" t="s">
        <v>115</v>
      </c>
      <c r="E32" s="65" t="s">
        <v>117</v>
      </c>
    </row>
    <row r="33" spans="2:5" ht="12.75" x14ac:dyDescent="0.2">
      <c r="B33" s="51" t="s">
        <v>330</v>
      </c>
      <c r="C33" s="51" t="s">
        <v>329</v>
      </c>
      <c r="D33" s="71" t="s">
        <v>115</v>
      </c>
      <c r="E33" s="65" t="s">
        <v>117</v>
      </c>
    </row>
    <row r="34" spans="2:5" ht="12.75" x14ac:dyDescent="0.2">
      <c r="B34" s="51" t="s">
        <v>328</v>
      </c>
      <c r="C34" s="51" t="s">
        <v>327</v>
      </c>
      <c r="D34" s="71" t="s">
        <v>115</v>
      </c>
      <c r="E34" s="65" t="s">
        <v>117</v>
      </c>
    </row>
    <row r="35" spans="2:5" ht="12.75" x14ac:dyDescent="0.2">
      <c r="B35" s="51" t="s">
        <v>326</v>
      </c>
      <c r="C35" s="51" t="s">
        <v>325</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 workbookViewId="1"/>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IF(INDEX(Index!$C$9:$C$33,MATCH(A2,Index!B9:B33,0)),"CommData","")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438</v>
      </c>
      <c r="F4" s="67" t="s">
        <v>438</v>
      </c>
      <c r="G4" s="67" t="s">
        <v>1814</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437</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tabSelected="1" topLeftCell="B1" zoomScale="120" zoomScaleNormal="120" workbookViewId="0">
      <selection activeCell="U7" sqref="U7"/>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70" t="str">
        <f ca="1">IF(INDEX(Index!$C$9:$C$33,MATCH(A2,Index!B9:B33,0)),"ProcData","")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3" t="s">
        <v>1835</v>
      </c>
      <c r="I3" s="83" t="s">
        <v>1844</v>
      </c>
      <c r="J3" s="83" t="s">
        <v>1845</v>
      </c>
      <c r="K3" s="83" t="s">
        <v>1836</v>
      </c>
      <c r="L3" s="83" t="s">
        <v>1841</v>
      </c>
      <c r="M3" s="83" t="s">
        <v>1842</v>
      </c>
      <c r="N3" s="83" t="s">
        <v>1837</v>
      </c>
      <c r="O3" s="83" t="s">
        <v>1838</v>
      </c>
      <c r="P3" s="83" t="s">
        <v>1838</v>
      </c>
      <c r="Q3" s="83" t="s">
        <v>1838</v>
      </c>
      <c r="R3" s="83" t="s">
        <v>1838</v>
      </c>
      <c r="S3" s="83" t="s">
        <v>1839</v>
      </c>
      <c r="T3" s="83" t="s">
        <v>1838</v>
      </c>
      <c r="U3" s="83" t="s">
        <v>1840</v>
      </c>
    </row>
    <row r="4" spans="1:21" ht="21.75" customHeight="1" x14ac:dyDescent="0.2">
      <c r="E4" s="82"/>
      <c r="F4" s="82"/>
      <c r="G4" s="82"/>
      <c r="O4" s="49" t="s">
        <v>423</v>
      </c>
      <c r="P4" s="49" t="s">
        <v>423</v>
      </c>
      <c r="Q4" s="49" t="s">
        <v>423</v>
      </c>
      <c r="R4" s="49" t="s">
        <v>423</v>
      </c>
    </row>
    <row r="5" spans="1:21" ht="16.5" customHeight="1" x14ac:dyDescent="0.2">
      <c r="O5" s="49" t="s">
        <v>122</v>
      </c>
      <c r="P5" s="49" t="s">
        <v>122</v>
      </c>
      <c r="Q5" s="49" t="s">
        <v>122</v>
      </c>
      <c r="R5" s="49" t="s">
        <v>122</v>
      </c>
    </row>
    <row r="6" spans="1:21" ht="17.25" customHeight="1" x14ac:dyDescent="0.2"/>
    <row r="7" spans="1:21" ht="21.75" customHeight="1" x14ac:dyDescent="0.2">
      <c r="B7" s="70" t="s">
        <v>56</v>
      </c>
      <c r="C7" s="70" t="s">
        <v>57</v>
      </c>
      <c r="D7" s="79" t="s">
        <v>93</v>
      </c>
      <c r="E7" s="70" t="s">
        <v>80</v>
      </c>
      <c r="F7" s="70" t="s">
        <v>81</v>
      </c>
      <c r="G7" s="79" t="s">
        <v>94</v>
      </c>
      <c r="O7" s="49">
        <v>2017</v>
      </c>
      <c r="P7" s="49">
        <v>2020</v>
      </c>
      <c r="Q7" s="49">
        <v>2025</v>
      </c>
      <c r="R7" s="49">
        <v>2030</v>
      </c>
      <c r="T7" s="58">
        <f>SUM(T9:T43)</f>
        <v>41.321196428571433</v>
      </c>
      <c r="U7" s="58">
        <f>SUM(U9:U43)</f>
        <v>966.21461067083055</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ProcDataGenPre2012!T9</f>
        <v>0.56546768435301509</v>
      </c>
      <c r="L9" s="58">
        <f>ProcDataGenPre2012!U9</f>
        <v>0.6</v>
      </c>
      <c r="M9" s="58">
        <f>ProcDataGenPre2012!V9</f>
        <v>0.6</v>
      </c>
      <c r="N9" s="49">
        <v>3</v>
      </c>
      <c r="O9" s="49">
        <v>0.67</v>
      </c>
      <c r="P9" s="49">
        <f>1-N9/H9</f>
        <v>0.625</v>
      </c>
      <c r="S9" s="49">
        <f>ProcDataGenPre2012!AL9</f>
        <v>1.4810000000000001</v>
      </c>
      <c r="T9" s="49">
        <f>P9*S9</f>
        <v>0.92562500000000003</v>
      </c>
      <c r="U9" s="58">
        <f>K9*S9*31.536</f>
        <v>26.41006415165365</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ProcDataGenPre2012!T10</f>
        <v>0.38403426090943366</v>
      </c>
      <c r="L10" s="58">
        <f>ProcDataGenPre2012!U10</f>
        <v>0.38403426090943366</v>
      </c>
      <c r="M10" s="58">
        <f>ProcDataGenPre2012!V10</f>
        <v>0</v>
      </c>
      <c r="N10" s="49">
        <v>1.5</v>
      </c>
      <c r="O10" s="49">
        <v>0.6</v>
      </c>
      <c r="P10" s="49">
        <f>1-N10/H10</f>
        <v>0.5</v>
      </c>
      <c r="S10" s="49">
        <f>ProcDataGenPre2012!AL10</f>
        <v>0.56999999999999995</v>
      </c>
      <c r="T10" s="49">
        <f>P10*S10</f>
        <v>0.28499999999999998</v>
      </c>
      <c r="U10" s="58">
        <f>K10*S10*31.536</f>
        <v>6.9032155376627431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ProcDataGenPre2012!T11</f>
        <v>0.35449964375734888</v>
      </c>
      <c r="L11" s="58">
        <f>ProcDataGenPre2012!U11</f>
        <v>0.35449964375734888</v>
      </c>
      <c r="M11" s="58">
        <f>ProcDataGenPre2012!V11</f>
        <v>0</v>
      </c>
      <c r="N11" s="49">
        <v>2</v>
      </c>
      <c r="O11" s="49">
        <v>0.6</v>
      </c>
      <c r="P11" s="49">
        <f>1-N11/H11</f>
        <v>0.5</v>
      </c>
      <c r="S11" s="49">
        <f>ProcDataGenPre2012!AL11</f>
        <v>0.20499999999999999</v>
      </c>
      <c r="T11" s="49">
        <f>P11*S11</f>
        <v>0.10249999999999999</v>
      </c>
      <c r="U11" s="58">
        <f>K11*S11*31.536</f>
        <v>2.2917976569340093</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ProcDataGenPre2012!T12</f>
        <v>0.55282077584476752</v>
      </c>
      <c r="L12" s="58">
        <f>ProcDataGenPre2012!U12</f>
        <v>0.65500000000000003</v>
      </c>
      <c r="M12" s="58">
        <f>ProcDataGenPre2012!V12</f>
        <v>0.54579999999999995</v>
      </c>
      <c r="N12" s="49">
        <v>2</v>
      </c>
      <c r="O12" s="49">
        <v>0.8</v>
      </c>
      <c r="P12" s="49">
        <f>1-N12/H12</f>
        <v>0.66666666666666674</v>
      </c>
      <c r="S12" s="49">
        <f>ProcDataGenPre2012!AL12</f>
        <v>2.2320000000000002</v>
      </c>
      <c r="T12" s="49">
        <f>P12*S12</f>
        <v>1.4880000000000002</v>
      </c>
      <c r="U12" s="58">
        <f>K12*S12*31.536</f>
        <v>38.912143363074598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ProcDataGenPre2012!T13</f>
        <v>0.57394359336158685</v>
      </c>
      <c r="L13" s="58">
        <f>ProcDataGenPre2012!U13</f>
        <v>0.61119999999999997</v>
      </c>
      <c r="M13" s="58">
        <f>ProcDataGenPre2012!V13</f>
        <v>0.60209999999999997</v>
      </c>
      <c r="N13" s="49">
        <v>2</v>
      </c>
      <c r="O13" s="49">
        <v>0.8</v>
      </c>
      <c r="P13" s="49">
        <f>1-N13/H13</f>
        <v>0.66666666666666674</v>
      </c>
      <c r="S13" s="49">
        <f>ProcDataGenPre2012!AL13</f>
        <v>2.875</v>
      </c>
      <c r="T13" s="49">
        <f>P13*S13</f>
        <v>1.916666666666667</v>
      </c>
      <c r="U13" s="58">
        <f>K13*S13*31.536</f>
        <v>52.037169835721635</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ProcDataGenPre2012!T14</f>
        <v>0.5808497594274038</v>
      </c>
      <c r="L14" s="58">
        <f>ProcDataGenPre2012!U14</f>
        <v>0.60929999999999995</v>
      </c>
      <c r="M14" s="58">
        <f>ProcDataGenPre2012!V14</f>
        <v>0</v>
      </c>
      <c r="N14" s="49">
        <v>2</v>
      </c>
      <c r="O14" s="49">
        <v>0.8</v>
      </c>
      <c r="P14" s="49">
        <f>1-N14/H14</f>
        <v>0.7142857142857143</v>
      </c>
      <c r="S14" s="49">
        <f>ProcDataGenPre2012!AL14</f>
        <v>1.2929999999999999</v>
      </c>
      <c r="T14" s="49">
        <f>P14*S14</f>
        <v>0.92357142857142849</v>
      </c>
      <c r="U14" s="58">
        <f>K14*S14*31.536</f>
        <v>23.684757671200266</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ProcDataGenPre2012!T15</f>
        <v>0.77246695597306003</v>
      </c>
      <c r="L15" s="58">
        <f>ProcDataGenPre2012!U15</f>
        <v>0.74139999999999995</v>
      </c>
      <c r="M15" s="58">
        <f>ProcDataGenPre2012!V15</f>
        <v>0.72940000000000005</v>
      </c>
      <c r="N15" s="49">
        <v>1</v>
      </c>
      <c r="O15" s="49">
        <v>1</v>
      </c>
      <c r="P15" s="49">
        <f>1-N15/H15</f>
        <v>0.83333333333333337</v>
      </c>
      <c r="S15" s="49">
        <f>ProcDataGenPre2012!AL15</f>
        <v>3.84</v>
      </c>
      <c r="T15" s="49">
        <f>P15*S15</f>
        <v>3.2</v>
      </c>
      <c r="U15" s="58">
        <f>K15*S15*31.536</f>
        <v>93.544388826495052</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ProcDataGenPre2012!T16</f>
        <v>0.53742576863948577</v>
      </c>
      <c r="L16" s="58">
        <f>ProcDataGenPre2012!U16</f>
        <v>0.64439999999999997</v>
      </c>
      <c r="M16" s="58">
        <f>ProcDataGenPre2012!V16</f>
        <v>0.64149999999999996</v>
      </c>
      <c r="N16" s="49">
        <v>2</v>
      </c>
      <c r="O16" s="49">
        <v>0.8</v>
      </c>
      <c r="P16" s="49">
        <f>1-N16/H16</f>
        <v>0.66666666666666674</v>
      </c>
      <c r="S16" s="49">
        <f>ProcDataGenPre2012!AL16</f>
        <v>2.85</v>
      </c>
      <c r="T16" s="49">
        <f>P16*S16</f>
        <v>1.9000000000000004</v>
      </c>
      <c r="U16" s="58">
        <f>K16*S16*31.536</f>
        <v>48.30253826347225</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ProcDataGenPre2012!T17</f>
        <v>0.64402381583376223</v>
      </c>
      <c r="L17" s="58">
        <f>ProcDataGenPre2012!U17</f>
        <v>0.74880000000000002</v>
      </c>
      <c r="M17" s="58">
        <f>ProcDataGenPre2012!V17</f>
        <v>0.70930000000000004</v>
      </c>
      <c r="N17" s="49">
        <v>1</v>
      </c>
      <c r="O17" s="49">
        <v>0.8</v>
      </c>
      <c r="P17" s="49">
        <f>1-N17/H17</f>
        <v>0.83333333333333337</v>
      </c>
      <c r="S17" s="49">
        <f>ProcDataGenPre2012!AL17</f>
        <v>3.5579999999999998</v>
      </c>
      <c r="T17" s="49">
        <f>P17*S17</f>
        <v>2.9649999999999999</v>
      </c>
      <c r="U17" s="58">
        <f>K17*S17*31.536</f>
        <v>72.262748929723088</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ProcDataGenPre2012!T18</f>
        <v>0.73013198915694388</v>
      </c>
      <c r="L18" s="58">
        <f>ProcDataGenPre2012!U18</f>
        <v>0.77</v>
      </c>
      <c r="M18" s="58">
        <f>ProcDataGenPre2012!V18</f>
        <v>0.70930000000000004</v>
      </c>
      <c r="N18" s="49">
        <v>0.5</v>
      </c>
      <c r="O18" s="49">
        <v>0.8</v>
      </c>
      <c r="P18" s="49">
        <f>1-N18/H18</f>
        <v>0.83333333333333337</v>
      </c>
      <c r="S18" s="49">
        <f>ProcDataGenPre2012!AL18</f>
        <v>1.8330000000000002</v>
      </c>
      <c r="T18" s="49">
        <f>P18*S18</f>
        <v>1.5275000000000003</v>
      </c>
      <c r="U18" s="58">
        <f>K18*S18*31.536</f>
        <v>42.205635937627861</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ProcDataGenPre2012!T19</f>
        <v>0.73013198915694388</v>
      </c>
      <c r="L19" s="58">
        <f>ProcDataGenPre2012!U19</f>
        <v>0.77</v>
      </c>
      <c r="M19" s="58">
        <f>ProcDataGenPre2012!V19</f>
        <v>0.70930000000000004</v>
      </c>
      <c r="N19" s="49">
        <v>0.5</v>
      </c>
      <c r="O19" s="49">
        <v>0.8</v>
      </c>
      <c r="P19" s="49">
        <f>1-N19/H19</f>
        <v>0.83333333333333337</v>
      </c>
      <c r="S19" s="49">
        <f>ProcDataGenPre2012!AL19</f>
        <v>2.0099999999999998</v>
      </c>
      <c r="T19" s="49">
        <f>P19*S19</f>
        <v>1.6749999999999998</v>
      </c>
      <c r="U19" s="58">
        <f>K19*S19*31.536</f>
        <v>46.281139244207296</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ProcDataGenPre2012!T20</f>
        <v>0.82643832522800109</v>
      </c>
      <c r="L20" s="58">
        <f>ProcDataGenPre2012!U20</f>
        <v>0.78369999999999995</v>
      </c>
      <c r="M20" s="58">
        <f>ProcDataGenPre2012!V20</f>
        <v>0.79410000000000003</v>
      </c>
      <c r="N20" s="49">
        <v>0</v>
      </c>
      <c r="O20" s="49">
        <v>1</v>
      </c>
      <c r="P20" s="49">
        <f>1-N20/H20</f>
        <v>1</v>
      </c>
      <c r="S20" s="49">
        <f>ProcDataGenPre2012!AL20</f>
        <v>3.69</v>
      </c>
      <c r="T20" s="49">
        <f>P20*S20</f>
        <v>3.69</v>
      </c>
      <c r="U20" s="58">
        <f>K20*S20*31.536</f>
        <v>96.170842800000003</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ProcDataGenPre2012!T21</f>
        <v>0.67608498455931632</v>
      </c>
      <c r="L21" s="58">
        <f>ProcDataGenPre2012!U21</f>
        <v>0.70530000000000004</v>
      </c>
      <c r="M21" s="58">
        <f>ProcDataGenPre2012!V21</f>
        <v>0.6976</v>
      </c>
      <c r="N21" s="49">
        <v>1</v>
      </c>
      <c r="O21" s="49">
        <v>1</v>
      </c>
      <c r="P21" s="49">
        <f>1-N21/H21</f>
        <v>0.83333333333333337</v>
      </c>
      <c r="S21" s="49">
        <f>ProcDataGenPre2012!AL21</f>
        <v>3.45</v>
      </c>
      <c r="T21" s="49">
        <f>P21*S21</f>
        <v>2.8750000000000004</v>
      </c>
      <c r="U21" s="58">
        <f>K21*S21*31.536</f>
        <v>73.557505452065968</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ProcDataGenPre2012!T22</f>
        <v>0.56232505142099387</v>
      </c>
      <c r="L22" s="58">
        <f>ProcDataGenPre2012!U22</f>
        <v>0.61150000000000004</v>
      </c>
      <c r="M22" s="58">
        <f>ProcDataGenPre2012!V22</f>
        <v>0.58079999999999998</v>
      </c>
      <c r="N22" s="49">
        <v>2</v>
      </c>
      <c r="O22" s="49">
        <v>0.8</v>
      </c>
      <c r="P22" s="49">
        <f>1-N22/H22</f>
        <v>0.66666666666666674</v>
      </c>
      <c r="S22" s="49">
        <f>ProcDataGenPre2012!AL22</f>
        <v>3.51</v>
      </c>
      <c r="T22" s="49">
        <f>P22*S22</f>
        <v>2.3400000000000003</v>
      </c>
      <c r="U22" s="58">
        <f>K22*S22*31.536</f>
        <v>62.244524703859746</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50">
        <v>3</v>
      </c>
      <c r="I23" s="58">
        <f>ProcDataGenPre2012!Q23</f>
        <v>0</v>
      </c>
      <c r="J23" s="58">
        <f>ProcDataGenPre2012!R23</f>
        <v>0</v>
      </c>
      <c r="K23" s="58">
        <f>ProcDataGenPre2012!S23</f>
        <v>0.32478976407914761</v>
      </c>
      <c r="L23" s="58">
        <f>ProcDataGenPre2012!T23</f>
        <v>0</v>
      </c>
      <c r="M23" s="58">
        <f>ProcDataGenPre2012!U23</f>
        <v>0</v>
      </c>
      <c r="N23" s="49">
        <v>2</v>
      </c>
      <c r="O23" s="49">
        <v>0.8</v>
      </c>
      <c r="P23" s="49">
        <f>1-N23/H23</f>
        <v>0.33333333333333337</v>
      </c>
      <c r="S23" s="49">
        <f>ProcDataGenPre2012!AL23</f>
        <v>0.6</v>
      </c>
      <c r="T23" s="49">
        <f>P23*S23</f>
        <v>0.2</v>
      </c>
      <c r="U23" s="58">
        <f>K23*S23*31.536</f>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1-N24/H24</f>
        <v>0.83333333333333337</v>
      </c>
      <c r="S24" s="49">
        <f>ProcDataGenPre2012!AI24</f>
        <v>0.6</v>
      </c>
      <c r="T24" s="49">
        <f>P24*S24</f>
        <v>0.5</v>
      </c>
      <c r="U24" s="58">
        <f>K24*S24*31.536</f>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1-N25/H25</f>
        <v>0.66666666666666674</v>
      </c>
      <c r="S25" s="49">
        <f>ProcDataGenPre2012!AI25</f>
        <v>0.128</v>
      </c>
      <c r="T25" s="49">
        <f>P25*S25</f>
        <v>8.5333333333333344E-2</v>
      </c>
      <c r="U25" s="58">
        <f>K25*S25*31.536</f>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50">
        <v>0.05</v>
      </c>
      <c r="J26" s="350">
        <v>0.05</v>
      </c>
      <c r="K26" s="350">
        <v>0.05</v>
      </c>
      <c r="L26" s="350">
        <v>0.05</v>
      </c>
      <c r="M26" s="350">
        <v>0.05</v>
      </c>
      <c r="P26" s="49">
        <v>1</v>
      </c>
      <c r="S26" s="49">
        <f>ProcDataGenPre2012!AI26</f>
        <v>2.46</v>
      </c>
      <c r="T26" s="49">
        <f>P26*S26</f>
        <v>2.46</v>
      </c>
      <c r="U26" s="58">
        <f>K26*S26*31.536</f>
        <v>3.8789280000000002</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ProcDataGenPre2012!AI27</f>
        <v>0.66500000000000004</v>
      </c>
      <c r="T27" s="49">
        <f>P27*S27</f>
        <v>0.66500000000000004</v>
      </c>
      <c r="U27" s="58">
        <f>K27*S27*31.536</f>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ProcDataGenPre2012!T28</f>
        <v>0</v>
      </c>
      <c r="M28" s="58">
        <f>ProcDataGenPre2012!U28</f>
        <v>0</v>
      </c>
      <c r="P28" s="49">
        <v>1</v>
      </c>
      <c r="S28" s="49">
        <f>ProcDataGenPre2012!AI28</f>
        <v>1.5</v>
      </c>
      <c r="T28" s="49">
        <f>P28*S28</f>
        <v>1.5</v>
      </c>
      <c r="U28" s="58">
        <f>K28*S28*31.536</f>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ProcDataGenPre2012!T29</f>
        <v>0.84160000000000001</v>
      </c>
      <c r="M29" s="58">
        <f>L29</f>
        <v>0.84160000000000001</v>
      </c>
      <c r="P29" s="49">
        <v>1</v>
      </c>
      <c r="S29" s="49">
        <f>ProcDataGenPre2012!AI29</f>
        <v>1.86</v>
      </c>
      <c r="T29" s="49">
        <f>P29*S29</f>
        <v>1.86</v>
      </c>
      <c r="U29" s="58">
        <f>K29*S29*31.536</f>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78">
        <v>0</v>
      </c>
      <c r="J30" s="378">
        <v>0</v>
      </c>
      <c r="K30" s="378">
        <v>0</v>
      </c>
      <c r="L30" s="378">
        <v>0</v>
      </c>
      <c r="M30" s="378">
        <v>0</v>
      </c>
      <c r="P30" s="49">
        <v>1</v>
      </c>
      <c r="S30" s="49">
        <f>ProcDataGenPre2012!AI30</f>
        <v>1.58</v>
      </c>
      <c r="T30" s="49">
        <f>P30*S30</f>
        <v>1.58</v>
      </c>
      <c r="U30" s="58">
        <f>K30*S30*31.536</f>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ProcDataGen2012On!X9</f>
        <v>0.4</v>
      </c>
      <c r="J32" s="58">
        <f>ProcDataGen2012On!Y9</f>
        <v>0.8</v>
      </c>
      <c r="K32" s="58">
        <f>ProcDataGen2012On!Z9</f>
        <v>0.56045350538393268</v>
      </c>
      <c r="L32" s="58">
        <f>ProcDataGen2012On!AA9</f>
        <v>0.8</v>
      </c>
      <c r="M32" s="58">
        <f>L32</f>
        <v>0.8</v>
      </c>
      <c r="N32" s="49">
        <v>1</v>
      </c>
      <c r="P32" s="49">
        <f>1-N32/H32</f>
        <v>0.8</v>
      </c>
      <c r="Q32" s="49">
        <v>1</v>
      </c>
      <c r="R32" s="49">
        <v>1</v>
      </c>
      <c r="S32" s="49">
        <f>SUM(ProcDataGen2012On!AM9:AU9)</f>
        <v>3.61</v>
      </c>
      <c r="T32" s="49">
        <f>P32*S32</f>
        <v>2.8879999999999999</v>
      </c>
      <c r="U32" s="58">
        <f>K32*S32*31.536</f>
        <v>63.804806902293599</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ProcDataGen2012On!X10</f>
        <v>0</v>
      </c>
      <c r="J33" s="58">
        <f>ProcDataGen2012On!Y10</f>
        <v>0.55218394942432913</v>
      </c>
      <c r="K33" s="58">
        <f>ProcDataGen2012On!Z10</f>
        <v>0.56045350538393268</v>
      </c>
      <c r="L33" s="58">
        <f>ProcDataGen2012On!AA10</f>
        <v>0.8</v>
      </c>
      <c r="M33" s="58">
        <f>L33</f>
        <v>0.8</v>
      </c>
      <c r="N33" s="49">
        <v>1</v>
      </c>
      <c r="P33" s="49">
        <f>1-N33/H33</f>
        <v>0.66666666666666674</v>
      </c>
      <c r="Q33" s="49">
        <v>0.8</v>
      </c>
      <c r="R33" s="49">
        <v>1</v>
      </c>
      <c r="S33" s="49">
        <f>SUM(ProcDataGen2012On!AM10:AU10)</f>
        <v>2.1659999999999999</v>
      </c>
      <c r="T33" s="49">
        <f>P33*S33</f>
        <v>1.4440000000000002</v>
      </c>
      <c r="U33" s="58">
        <f>K33*S33*31.536</f>
        <v>38.282884141376158</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ProcDataGen2012On!V11</f>
        <v>0</v>
      </c>
      <c r="J34" s="58">
        <f>ProcDataGen2012On!W11</f>
        <v>0</v>
      </c>
      <c r="K34" s="58">
        <f>ProcDataGen2012On!X11</f>
        <v>0.8</v>
      </c>
      <c r="L34" s="58">
        <f>ProcDataGen2012On!Y11</f>
        <v>0</v>
      </c>
      <c r="M34" s="58">
        <f>ProcDataGen2012On!Z11</f>
        <v>0</v>
      </c>
      <c r="P34" s="49">
        <v>1</v>
      </c>
      <c r="S34" s="49">
        <f>SUM(ProcDataGen2012On!AM11:AU11)</f>
        <v>0</v>
      </c>
      <c r="T34" s="49">
        <f>P34*S34</f>
        <v>0</v>
      </c>
      <c r="U34" s="58">
        <f>K34*S34*31.536</f>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78">
        <v>0</v>
      </c>
      <c r="J35" s="378">
        <v>0</v>
      </c>
      <c r="K35" s="378">
        <v>0</v>
      </c>
      <c r="L35" s="378">
        <v>0</v>
      </c>
      <c r="M35" s="378">
        <v>0</v>
      </c>
      <c r="P35" s="49">
        <v>1</v>
      </c>
      <c r="S35" s="49">
        <f>SUM(ProcDataGen2012On!AM12:AU12)</f>
        <v>1.32</v>
      </c>
      <c r="T35" s="49">
        <f>P35*S35</f>
        <v>1.32</v>
      </c>
      <c r="U35" s="58">
        <f>K35*S35*31.536</f>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50">
        <v>0.05</v>
      </c>
      <c r="J36" s="350">
        <v>0.05</v>
      </c>
      <c r="K36" s="350">
        <v>0.05</v>
      </c>
      <c r="L36" s="350">
        <v>0.05</v>
      </c>
      <c r="M36" s="350">
        <v>0.05</v>
      </c>
      <c r="P36" s="49">
        <v>1</v>
      </c>
      <c r="S36" s="49">
        <f>SUM(ProcDataGen2012On!AM13:AU13)</f>
        <v>1.0050000000000001</v>
      </c>
      <c r="T36" s="49">
        <f>P36*S36</f>
        <v>1.0050000000000001</v>
      </c>
      <c r="U36" s="58">
        <f>K36*S36*31.536</f>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ProcDataGen2012On!V14</f>
        <v>0</v>
      </c>
      <c r="J37" s="58">
        <f>ProcDataGen2012On!W14</f>
        <v>0</v>
      </c>
      <c r="K37" s="58">
        <f>ProcDataGen2012On!X14</f>
        <v>0.8</v>
      </c>
      <c r="L37" s="58">
        <f>K37</f>
        <v>0.8</v>
      </c>
      <c r="M37" s="58">
        <f>L37</f>
        <v>0.8</v>
      </c>
      <c r="P37" s="49">
        <v>1</v>
      </c>
      <c r="S37" s="49">
        <f>SUM(ProcDataGen2012On!AM14:AU14)</f>
        <v>0</v>
      </c>
      <c r="T37" s="49">
        <f>P37*S37</f>
        <v>0</v>
      </c>
      <c r="U37" s="58">
        <f>K37*S37*31.536</f>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SUM(ProcDataGen2012On!AM15:AU15)</f>
        <v>0</v>
      </c>
      <c r="T38" s="49">
        <f>P38*S38</f>
        <v>0</v>
      </c>
      <c r="U38" s="58">
        <f>K38*S38*31.536</f>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ProcDataGen2012On!V16</f>
        <v>0</v>
      </c>
      <c r="J39" s="58">
        <f>ProcDataGen2012On!W16</f>
        <v>0</v>
      </c>
      <c r="K39" s="58">
        <f>ProcDataGen2012On!X16</f>
        <v>0.85</v>
      </c>
      <c r="L39" s="58">
        <f>K39</f>
        <v>0.85</v>
      </c>
      <c r="M39" s="58">
        <f>L39</f>
        <v>0.85</v>
      </c>
      <c r="P39" s="49">
        <v>1</v>
      </c>
      <c r="S39" s="49">
        <f>SUM(ProcDataGen2012On!AM16:AU16)</f>
        <v>0</v>
      </c>
      <c r="T39" s="49">
        <f>P39*S39</f>
        <v>0</v>
      </c>
      <c r="U39" s="58">
        <f>K39*S39*31.536</f>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K40</f>
        <v>0.46798025400000004</v>
      </c>
      <c r="M40" s="58">
        <f>L40</f>
        <v>0.46798025400000004</v>
      </c>
      <c r="P40" s="49">
        <v>0</v>
      </c>
      <c r="S40" s="49">
        <f>SUM(ProcDataGen2012On!AM17:AU17)</f>
        <v>0.5</v>
      </c>
      <c r="T40" s="49">
        <f>P40*S40</f>
        <v>0</v>
      </c>
      <c r="U40" s="58">
        <f>K40*S40*31.536</f>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0.85</v>
      </c>
      <c r="K41" s="58">
        <f>ProcDataRECostProfiles!R10</f>
        <v>0.250001421</v>
      </c>
      <c r="L41" s="58">
        <f>K41</f>
        <v>0.250001421</v>
      </c>
      <c r="M41" s="58">
        <f>L41</f>
        <v>0.250001421</v>
      </c>
      <c r="P41" s="49">
        <v>0</v>
      </c>
      <c r="S41" s="49">
        <f>SUM(ProcDataGen2012On!AM18:AU18)</f>
        <v>1.92</v>
      </c>
      <c r="T41" s="49">
        <f>P41*S41</f>
        <v>0</v>
      </c>
      <c r="U41" s="58">
        <f>K41*S41*31.536</f>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K42</f>
        <v>0.28000044900000004</v>
      </c>
      <c r="M42" s="58">
        <f>L42</f>
        <v>0.28000044900000004</v>
      </c>
      <c r="P42" s="49">
        <v>0</v>
      </c>
      <c r="S42" s="49">
        <f>SUM(ProcDataGen2012On!AM19:AU19)</f>
        <v>0.628</v>
      </c>
      <c r="T42" s="49">
        <f>P42*S42</f>
        <v>0</v>
      </c>
      <c r="U42" s="58">
        <f>K42*S42*31.536</f>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P43" s="49">
        <v>0</v>
      </c>
      <c r="S43" s="49">
        <f>SUM(ProcDataGen2012On!AM20:AU20)</f>
        <v>2.8840000000000003</v>
      </c>
      <c r="T43" s="49">
        <f>P43*S43</f>
        <v>0</v>
      </c>
      <c r="U43" s="58">
        <f>K43*S43*31.536</f>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ProcDataGen2012On!V21</f>
        <v>0</v>
      </c>
      <c r="J44" s="58">
        <f>ProcDataGen2012On!W21</f>
        <v>0</v>
      </c>
      <c r="K44" s="58">
        <f>ProcDataGen2012On!X21</f>
        <v>0.78</v>
      </c>
      <c r="L44" s="58">
        <f>K44</f>
        <v>0.78</v>
      </c>
      <c r="M44" s="58">
        <f>L44</f>
        <v>0.78</v>
      </c>
      <c r="P44" s="49">
        <v>0</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c r="P48" s="49">
        <v>0</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c r="P49" s="49">
        <v>0</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c r="P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c r="P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c r="P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0</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0</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workbookViewId="0"/>
    <sheetView workbookViewId="1"/>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533</v>
      </c>
      <c r="T2" s="93"/>
    </row>
    <row r="3" spans="1:20" x14ac:dyDescent="0.25">
      <c r="B3" s="92" t="s">
        <v>532</v>
      </c>
    </row>
    <row r="7" spans="1:20" x14ac:dyDescent="0.25">
      <c r="K7" s="92">
        <v>1</v>
      </c>
      <c r="L7" s="92">
        <v>3</v>
      </c>
      <c r="M7" s="92">
        <v>4</v>
      </c>
      <c r="N7" s="92">
        <v>5</v>
      </c>
      <c r="T7" s="97"/>
    </row>
    <row r="8" spans="1:20" x14ac:dyDescent="0.25">
      <c r="F8" s="92" t="s">
        <v>527</v>
      </c>
      <c r="G8" s="92" t="s">
        <v>526</v>
      </c>
      <c r="H8" s="92" t="s">
        <v>525</v>
      </c>
      <c r="I8" s="92" t="s">
        <v>524</v>
      </c>
      <c r="J8" s="92" t="s">
        <v>523</v>
      </c>
      <c r="K8" s="92" t="s">
        <v>444</v>
      </c>
      <c r="L8" s="92" t="s">
        <v>126</v>
      </c>
      <c r="M8" s="92" t="s">
        <v>143</v>
      </c>
      <c r="N8" s="92" t="s">
        <v>125</v>
      </c>
      <c r="O8" s="92" t="s">
        <v>115</v>
      </c>
      <c r="T8" s="93"/>
    </row>
    <row r="9" spans="1:20" x14ac:dyDescent="0.25">
      <c r="A9" s="92" t="str">
        <f t="shared" ref="A9:A40" si="0">B9&amp;C9</f>
        <v xml:space="preserve">KrielSeriti </v>
      </c>
      <c r="B9" s="93" t="s">
        <v>452</v>
      </c>
      <c r="C9" s="93" t="s">
        <v>492</v>
      </c>
      <c r="D9" s="92" t="s">
        <v>465</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444</v>
      </c>
      <c r="C10" s="92">
        <v>4573</v>
      </c>
      <c r="D10" s="92" t="s">
        <v>465</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443</v>
      </c>
      <c r="C11" s="92">
        <v>2958731</v>
      </c>
      <c r="D11" s="92" t="s">
        <v>465</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442</v>
      </c>
      <c r="C12" s="92">
        <f>C11/C10</f>
        <v>647</v>
      </c>
      <c r="D12" s="92" t="s">
        <v>465</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441</v>
      </c>
      <c r="C13" s="92">
        <v>20.94</v>
      </c>
      <c r="D13" s="92" t="s">
        <v>465</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440</v>
      </c>
      <c r="C14" s="97">
        <f>C12/C13</f>
        <v>30.897803247373446</v>
      </c>
      <c r="D14" s="92" t="s">
        <v>465</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483</v>
      </c>
      <c r="C15" s="93" t="s">
        <v>464</v>
      </c>
      <c r="D15" s="92" t="s">
        <v>465</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444</v>
      </c>
      <c r="C16" s="92">
        <v>14790</v>
      </c>
      <c r="D16" s="92" t="s">
        <v>465</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443</v>
      </c>
      <c r="C17" s="92">
        <v>3283380</v>
      </c>
      <c r="D17" s="92" t="s">
        <v>465</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442</v>
      </c>
      <c r="C18" s="92">
        <f>C17/C16</f>
        <v>222</v>
      </c>
      <c r="D18" s="92" t="s">
        <v>465</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441</v>
      </c>
      <c r="C19" s="92">
        <v>15.4</v>
      </c>
      <c r="D19" s="92" t="s">
        <v>465</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440</v>
      </c>
      <c r="C20" s="97">
        <f>C18/C19</f>
        <v>14.415584415584416</v>
      </c>
      <c r="D20" s="92" t="s">
        <v>465</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460</v>
      </c>
      <c r="C21" s="93" t="s">
        <v>464</v>
      </c>
      <c r="D21" s="92" t="s">
        <v>465</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444</v>
      </c>
      <c r="C22" s="92">
        <v>3591</v>
      </c>
      <c r="D22" s="92" t="s">
        <v>465</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443</v>
      </c>
      <c r="C23" s="92">
        <v>2542428</v>
      </c>
      <c r="D23" s="92" t="s">
        <v>465</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442</v>
      </c>
      <c r="C24" s="92">
        <f>C23/C22</f>
        <v>708</v>
      </c>
      <c r="D24" s="92" t="s">
        <v>465</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441</v>
      </c>
      <c r="C25" s="92">
        <v>20.350000000000001</v>
      </c>
      <c r="D25" s="92" t="s">
        <v>465</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440</v>
      </c>
      <c r="C26" s="92">
        <f>C24/C25</f>
        <v>34.791154791154788</v>
      </c>
      <c r="D26" s="92" t="s">
        <v>465</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455</v>
      </c>
      <c r="C27" s="93" t="s">
        <v>469</v>
      </c>
      <c r="D27" s="92" t="s">
        <v>465</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444</v>
      </c>
      <c r="C28" s="92">
        <v>5887</v>
      </c>
      <c r="D28" s="92" t="s">
        <v>465</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443</v>
      </c>
      <c r="C29" s="92">
        <v>3726471</v>
      </c>
      <c r="D29" s="92" t="s">
        <v>465</v>
      </c>
      <c r="O29" s="97">
        <f>SUM(O9:O28)</f>
        <v>2248.2044700000001</v>
      </c>
    </row>
    <row r="30" spans="1:20" x14ac:dyDescent="0.25">
      <c r="A30" s="92" t="str">
        <f t="shared" si="0"/>
        <v>rands/ton633</v>
      </c>
      <c r="B30" s="92" t="s">
        <v>442</v>
      </c>
      <c r="C30" s="92">
        <f>C29/C28</f>
        <v>633</v>
      </c>
      <c r="D30" s="92" t="s">
        <v>465</v>
      </c>
      <c r="N30" s="92" t="s">
        <v>116</v>
      </c>
      <c r="O30" s="92">
        <v>2291</v>
      </c>
    </row>
    <row r="31" spans="1:20" x14ac:dyDescent="0.25">
      <c r="A31" s="92" t="str">
        <f t="shared" si="0"/>
        <v>CV as received19.81</v>
      </c>
      <c r="B31" s="92" t="s">
        <v>441</v>
      </c>
      <c r="C31" s="92">
        <v>19.809999999999999</v>
      </c>
      <c r="D31" s="92" t="s">
        <v>465</v>
      </c>
      <c r="N31" s="92" t="s">
        <v>531</v>
      </c>
      <c r="O31" s="92">
        <v>20</v>
      </c>
    </row>
    <row r="32" spans="1:20" x14ac:dyDescent="0.25">
      <c r="A32" s="92" t="str">
        <f t="shared" si="0"/>
        <v>Rand/GJ31.9535588086825</v>
      </c>
      <c r="B32" s="92" t="s">
        <v>440</v>
      </c>
      <c r="C32" s="92">
        <f>C30/C31</f>
        <v>31.953558808682487</v>
      </c>
      <c r="D32" s="92" t="s">
        <v>465</v>
      </c>
      <c r="N32" s="92" t="s">
        <v>530</v>
      </c>
      <c r="O32" s="92">
        <f>O30-O31</f>
        <v>2271</v>
      </c>
    </row>
    <row r="33" spans="1:23" x14ac:dyDescent="0.25">
      <c r="A33" s="92" t="str">
        <f t="shared" si="0"/>
        <v>Kendal South 32</v>
      </c>
      <c r="B33" s="92" t="s">
        <v>454</v>
      </c>
      <c r="C33" s="92" t="s">
        <v>501</v>
      </c>
      <c r="D33" s="92" t="s">
        <v>465</v>
      </c>
      <c r="I33" s="92" t="s">
        <v>529</v>
      </c>
      <c r="N33" s="92" t="s">
        <v>528</v>
      </c>
      <c r="O33" s="92">
        <f>O29/O32</f>
        <v>0.98996233817701462</v>
      </c>
      <c r="T33" s="97"/>
    </row>
    <row r="34" spans="1:23" x14ac:dyDescent="0.25">
      <c r="A34" s="92" t="str">
        <f t="shared" si="0"/>
        <v>Ktons10290</v>
      </c>
      <c r="B34" s="92" t="s">
        <v>444</v>
      </c>
      <c r="C34" s="92">
        <v>10290</v>
      </c>
      <c r="D34" s="92" t="s">
        <v>465</v>
      </c>
    </row>
    <row r="35" spans="1:23" x14ac:dyDescent="0.25">
      <c r="A35" s="92" t="str">
        <f t="shared" si="0"/>
        <v>Rand '0004712820</v>
      </c>
      <c r="B35" s="92" t="s">
        <v>443</v>
      </c>
      <c r="C35" s="92">
        <v>4712820</v>
      </c>
      <c r="D35" s="92" t="s">
        <v>465</v>
      </c>
      <c r="F35" s="92" t="s">
        <v>527</v>
      </c>
      <c r="G35" s="92" t="s">
        <v>526</v>
      </c>
      <c r="H35" s="92" t="s">
        <v>525</v>
      </c>
      <c r="I35" s="92" t="s">
        <v>524</v>
      </c>
      <c r="J35" s="92" t="s">
        <v>523</v>
      </c>
      <c r="K35" s="92" t="s">
        <v>522</v>
      </c>
      <c r="L35" s="92" t="s">
        <v>444</v>
      </c>
      <c r="M35" s="92" t="s">
        <v>126</v>
      </c>
      <c r="N35" s="92" t="s">
        <v>521</v>
      </c>
      <c r="O35" s="92" t="s">
        <v>125</v>
      </c>
      <c r="P35" s="92" t="s">
        <v>115</v>
      </c>
      <c r="Q35" s="92" t="s">
        <v>520</v>
      </c>
      <c r="R35" s="92" t="s">
        <v>519</v>
      </c>
      <c r="S35" s="92" t="s">
        <v>518</v>
      </c>
      <c r="T35" s="92" t="s">
        <v>145</v>
      </c>
      <c r="U35" s="97"/>
    </row>
    <row r="36" spans="1:23" x14ac:dyDescent="0.25">
      <c r="A36" s="92" t="str">
        <f t="shared" si="0"/>
        <v>rands/ton458</v>
      </c>
      <c r="B36" s="92" t="s">
        <v>442</v>
      </c>
      <c r="C36" s="92">
        <f>C35/C34</f>
        <v>458</v>
      </c>
      <c r="D36" s="92" t="s">
        <v>465</v>
      </c>
      <c r="F36" s="92" t="s">
        <v>517</v>
      </c>
      <c r="G36" s="92">
        <v>49</v>
      </c>
      <c r="H36" s="92" t="s">
        <v>439</v>
      </c>
      <c r="I36" s="92" t="s">
        <v>445</v>
      </c>
      <c r="J36" s="92" t="s">
        <v>458</v>
      </c>
      <c r="K36" s="92" t="s">
        <v>516</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441</v>
      </c>
      <c r="C37" s="92">
        <v>18.48</v>
      </c>
      <c r="D37" s="92" t="s">
        <v>465</v>
      </c>
      <c r="F37" s="92" t="s">
        <v>515</v>
      </c>
      <c r="G37" s="92">
        <v>73</v>
      </c>
      <c r="H37" s="92" t="s">
        <v>439</v>
      </c>
      <c r="I37" s="92" t="s">
        <v>445</v>
      </c>
      <c r="J37" s="92" t="s">
        <v>514</v>
      </c>
      <c r="K37" s="92" t="s">
        <v>513</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440</v>
      </c>
      <c r="C38" s="92">
        <f>C36/C37</f>
        <v>24.783549783549784</v>
      </c>
      <c r="D38" s="92" t="s">
        <v>465</v>
      </c>
      <c r="F38" s="92" t="s">
        <v>512</v>
      </c>
      <c r="G38" s="92">
        <v>31</v>
      </c>
      <c r="H38" s="92" t="s">
        <v>462</v>
      </c>
      <c r="I38" s="92" t="s">
        <v>501</v>
      </c>
      <c r="J38" s="92" t="s">
        <v>508</v>
      </c>
      <c r="K38" s="92" t="s">
        <v>511</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510</v>
      </c>
    </row>
    <row r="39" spans="1:23" x14ac:dyDescent="0.25">
      <c r="A39" s="92" t="str">
        <f t="shared" si="0"/>
        <v>DuvhaSouth 32</v>
      </c>
      <c r="B39" s="93" t="s">
        <v>508</v>
      </c>
      <c r="C39" s="93" t="s">
        <v>501</v>
      </c>
      <c r="D39" s="92" t="s">
        <v>462</v>
      </c>
      <c r="F39" s="92" t="s">
        <v>509</v>
      </c>
      <c r="G39" s="92">
        <v>91</v>
      </c>
      <c r="H39" s="92" t="s">
        <v>439</v>
      </c>
      <c r="I39" s="92" t="s">
        <v>445</v>
      </c>
      <c r="J39" s="92" t="s">
        <v>508</v>
      </c>
      <c r="K39" s="92" t="s">
        <v>507</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444</v>
      </c>
      <c r="C40" s="92">
        <v>5895</v>
      </c>
      <c r="D40" s="92" t="s">
        <v>462</v>
      </c>
      <c r="F40" s="92" t="s">
        <v>506</v>
      </c>
      <c r="G40" s="92">
        <v>109</v>
      </c>
      <c r="H40" s="92" t="s">
        <v>439</v>
      </c>
      <c r="I40" s="92" t="str">
        <f>INDEX($C$9:$C$128,$G40)</f>
        <v>various</v>
      </c>
      <c r="J40" s="92" t="str">
        <f>INDEX($B$9:$B$128,$G40)</f>
        <v>Grootvlei</v>
      </c>
      <c r="K40" s="92" t="s">
        <v>505</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443</v>
      </c>
      <c r="C41" s="92">
        <v>1229749</v>
      </c>
      <c r="D41" s="92" t="s">
        <v>462</v>
      </c>
      <c r="F41" s="92" t="s">
        <v>504</v>
      </c>
      <c r="G41" s="92">
        <v>85</v>
      </c>
      <c r="H41" s="92" t="s">
        <v>439</v>
      </c>
      <c r="I41" s="92" t="s">
        <v>445</v>
      </c>
      <c r="J41" s="92" t="s">
        <v>451</v>
      </c>
      <c r="K41" s="92" t="s">
        <v>503</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442</v>
      </c>
      <c r="C42" s="97">
        <f>C41/C40</f>
        <v>208.60882103477525</v>
      </c>
      <c r="D42" s="92" t="s">
        <v>462</v>
      </c>
      <c r="F42" s="92" t="s">
        <v>502</v>
      </c>
      <c r="G42" s="92">
        <v>25</v>
      </c>
      <c r="H42" s="92" t="s">
        <v>465</v>
      </c>
      <c r="I42" s="92" t="s">
        <v>501</v>
      </c>
      <c r="J42" s="92" t="s">
        <v>497</v>
      </c>
      <c r="K42" s="92" t="s">
        <v>500</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499</v>
      </c>
    </row>
    <row r="43" spans="1:23" x14ac:dyDescent="0.25">
      <c r="A43" s="92" t="str">
        <f t="shared" si="10"/>
        <v>CV as received20.78</v>
      </c>
      <c r="B43" s="92" t="s">
        <v>441</v>
      </c>
      <c r="C43" s="92">
        <v>20.78</v>
      </c>
      <c r="D43" s="92" t="s">
        <v>462</v>
      </c>
      <c r="F43" s="92" t="s">
        <v>498</v>
      </c>
      <c r="G43" s="92">
        <v>67</v>
      </c>
      <c r="H43" s="92" t="s">
        <v>439</v>
      </c>
      <c r="I43" s="92" t="s">
        <v>445</v>
      </c>
      <c r="J43" s="92" t="s">
        <v>497</v>
      </c>
      <c r="K43" s="92" t="s">
        <v>496</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440</v>
      </c>
      <c r="C44" s="97">
        <f>C42/C43</f>
        <v>10.038923052684083</v>
      </c>
      <c r="D44" s="92" t="s">
        <v>462</v>
      </c>
      <c r="F44" s="92" t="s">
        <v>495</v>
      </c>
      <c r="G44" s="92">
        <v>103</v>
      </c>
      <c r="H44" s="92" t="s">
        <v>439</v>
      </c>
      <c r="I44" s="92" t="s">
        <v>445</v>
      </c>
      <c r="J44" s="92" t="s">
        <v>448</v>
      </c>
      <c r="K44" s="92" t="s">
        <v>494</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476</v>
      </c>
      <c r="C45" s="93" t="s">
        <v>477</v>
      </c>
      <c r="D45" s="92" t="s">
        <v>462</v>
      </c>
      <c r="F45" s="92" t="s">
        <v>493</v>
      </c>
      <c r="G45" s="92">
        <v>1</v>
      </c>
      <c r="H45" s="92" t="s">
        <v>465</v>
      </c>
      <c r="I45" s="92" t="s">
        <v>492</v>
      </c>
      <c r="J45" s="92" t="s">
        <v>452</v>
      </c>
      <c r="K45" s="92" t="s">
        <v>491</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444</v>
      </c>
      <c r="C46" s="92">
        <v>14425</v>
      </c>
      <c r="D46" s="92" t="s">
        <v>462</v>
      </c>
      <c r="F46" s="92" t="s">
        <v>490</v>
      </c>
      <c r="G46" s="92">
        <v>79</v>
      </c>
      <c r="H46" s="92" t="s">
        <v>439</v>
      </c>
      <c r="I46" s="92" t="s">
        <v>445</v>
      </c>
      <c r="J46" s="92" t="s">
        <v>452</v>
      </c>
      <c r="K46" s="92" t="s">
        <v>489</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443</v>
      </c>
      <c r="C47" s="92">
        <v>4709451</v>
      </c>
      <c r="D47" s="92" t="s">
        <v>462</v>
      </c>
      <c r="I47" s="92" t="s">
        <v>488</v>
      </c>
      <c r="J47" s="92" t="s">
        <v>446</v>
      </c>
      <c r="K47" s="92" t="s">
        <v>224</v>
      </c>
      <c r="N47" s="92">
        <v>19.5</v>
      </c>
      <c r="P47" s="98">
        <v>156</v>
      </c>
      <c r="R47" s="98">
        <v>16.05</v>
      </c>
      <c r="T47" s="92" t="s">
        <v>487</v>
      </c>
      <c r="V47" s="92">
        <f>-PMT(10%,30,20)/11*1000</f>
        <v>192.87136045933443</v>
      </c>
      <c r="W47" s="92">
        <f>V47/N47</f>
        <v>9.8908389979145852</v>
      </c>
    </row>
    <row r="48" spans="1:23" x14ac:dyDescent="0.25">
      <c r="A48" s="92" t="str">
        <f t="shared" si="10"/>
        <v>rands/ton326.478405545927</v>
      </c>
      <c r="B48" s="92" t="s">
        <v>442</v>
      </c>
      <c r="C48" s="97">
        <f>C47/C46</f>
        <v>326.47840554592722</v>
      </c>
      <c r="D48" s="92" t="s">
        <v>462</v>
      </c>
      <c r="F48" s="92" t="s">
        <v>486</v>
      </c>
      <c r="G48" s="92">
        <v>115</v>
      </c>
      <c r="H48" s="92" t="s">
        <v>439</v>
      </c>
      <c r="I48" s="92" t="s">
        <v>445</v>
      </c>
      <c r="J48" s="92" t="s">
        <v>446</v>
      </c>
      <c r="K48" s="92" t="s">
        <v>485</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441</v>
      </c>
      <c r="C49" s="92">
        <v>18.690000000000001</v>
      </c>
      <c r="D49" s="92" t="s">
        <v>462</v>
      </c>
      <c r="F49" s="92" t="s">
        <v>484</v>
      </c>
      <c r="G49" s="92">
        <v>7</v>
      </c>
      <c r="H49" s="92" t="s">
        <v>465</v>
      </c>
      <c r="I49" s="92" t="s">
        <v>464</v>
      </c>
      <c r="J49" s="92" t="s">
        <v>483</v>
      </c>
      <c r="K49" s="92" t="s">
        <v>482</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440</v>
      </c>
      <c r="C50" s="92">
        <f>C48/C49</f>
        <v>17.4680794834632</v>
      </c>
      <c r="D50" s="92" t="s">
        <v>462</v>
      </c>
      <c r="F50" s="92" t="s">
        <v>481</v>
      </c>
      <c r="G50" s="92">
        <v>97</v>
      </c>
      <c r="H50" s="92" t="s">
        <v>439</v>
      </c>
      <c r="I50" s="92" t="s">
        <v>445</v>
      </c>
      <c r="J50" s="92" t="s">
        <v>449</v>
      </c>
      <c r="K50" s="92" t="s">
        <v>480</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479</v>
      </c>
    </row>
    <row r="51" spans="1:20" x14ac:dyDescent="0.25">
      <c r="A51" s="92" t="str">
        <f t="shared" si="10"/>
        <v>MedupiExxaro</v>
      </c>
      <c r="B51" s="93" t="s">
        <v>468</v>
      </c>
      <c r="C51" s="93" t="s">
        <v>469</v>
      </c>
      <c r="D51" s="92" t="s">
        <v>462</v>
      </c>
      <c r="F51" s="92" t="s">
        <v>478</v>
      </c>
      <c r="G51" s="92">
        <v>37</v>
      </c>
      <c r="H51" s="92" t="s">
        <v>462</v>
      </c>
      <c r="I51" s="92" t="s">
        <v>477</v>
      </c>
      <c r="J51" s="92" t="s">
        <v>476</v>
      </c>
      <c r="K51" s="92" t="s">
        <v>475</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444</v>
      </c>
      <c r="C52" s="92">
        <v>9539</v>
      </c>
      <c r="D52" s="92" t="s">
        <v>462</v>
      </c>
      <c r="F52" s="92" t="s">
        <v>474</v>
      </c>
      <c r="G52" s="92">
        <v>19</v>
      </c>
      <c r="H52" s="92" t="s">
        <v>465</v>
      </c>
      <c r="I52" s="92" t="s">
        <v>469</v>
      </c>
      <c r="J52" s="92" t="s">
        <v>455</v>
      </c>
      <c r="K52" s="92" t="s">
        <v>473</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443</v>
      </c>
      <c r="C53" s="92">
        <v>3812228</v>
      </c>
      <c r="D53" s="92" t="s">
        <v>462</v>
      </c>
      <c r="F53" s="92" t="s">
        <v>472</v>
      </c>
      <c r="G53" s="92">
        <v>61</v>
      </c>
      <c r="H53" s="92" t="s">
        <v>439</v>
      </c>
      <c r="I53" s="92" t="s">
        <v>445</v>
      </c>
      <c r="J53" s="92" t="s">
        <v>455</v>
      </c>
      <c r="K53" s="92" t="s">
        <v>471</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442</v>
      </c>
      <c r="C54" s="92">
        <f>C53/C52</f>
        <v>399.64650382639689</v>
      </c>
      <c r="D54" s="92" t="s">
        <v>462</v>
      </c>
      <c r="F54" s="92" t="s">
        <v>470</v>
      </c>
      <c r="G54" s="92">
        <v>43</v>
      </c>
      <c r="H54" s="92" t="s">
        <v>462</v>
      </c>
      <c r="I54" s="92" t="s">
        <v>469</v>
      </c>
      <c r="J54" s="92" t="s">
        <v>468</v>
      </c>
      <c r="K54" s="92" t="s">
        <v>467</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441</v>
      </c>
      <c r="C55" s="92">
        <v>18.690000000000001</v>
      </c>
      <c r="D55" s="92" t="s">
        <v>462</v>
      </c>
      <c r="F55" s="92" t="s">
        <v>466</v>
      </c>
      <c r="G55" s="92">
        <v>13</v>
      </c>
      <c r="H55" s="92" t="s">
        <v>465</v>
      </c>
      <c r="I55" s="92" t="s">
        <v>464</v>
      </c>
      <c r="J55" s="92" t="s">
        <v>460</v>
      </c>
      <c r="K55" s="92" t="s">
        <v>463</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440</v>
      </c>
      <c r="C56" s="92">
        <f>C54/C55</f>
        <v>21.382905501679875</v>
      </c>
      <c r="D56" s="92" t="s">
        <v>462</v>
      </c>
      <c r="F56" s="92" t="s">
        <v>461</v>
      </c>
      <c r="G56" s="92">
        <v>55</v>
      </c>
      <c r="H56" s="92" t="s">
        <v>439</v>
      </c>
      <c r="I56" s="92" t="s">
        <v>445</v>
      </c>
      <c r="J56" s="92" t="s">
        <v>460</v>
      </c>
      <c r="K56" s="92" t="s">
        <v>459</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458</v>
      </c>
      <c r="C57" s="93" t="s">
        <v>445</v>
      </c>
      <c r="D57" s="92" t="s">
        <v>439</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444</v>
      </c>
      <c r="C58" s="92">
        <v>5858</v>
      </c>
      <c r="D58" s="92" t="s">
        <v>439</v>
      </c>
      <c r="M58" s="92">
        <f>M57*0.73</f>
        <v>323.82978237175473</v>
      </c>
      <c r="O58" s="97"/>
    </row>
    <row r="59" spans="1:20" x14ac:dyDescent="0.25">
      <c r="A59" s="92" t="str">
        <f t="shared" si="10"/>
        <v>Rand '0003113714</v>
      </c>
      <c r="B59" s="92" t="s">
        <v>443</v>
      </c>
      <c r="C59" s="92">
        <v>3113714</v>
      </c>
      <c r="D59" s="92" t="s">
        <v>439</v>
      </c>
    </row>
    <row r="60" spans="1:20" x14ac:dyDescent="0.25">
      <c r="A60" s="92" t="str">
        <f t="shared" si="10"/>
        <v>rands/ton531.531922157733</v>
      </c>
      <c r="B60" s="92" t="s">
        <v>442</v>
      </c>
      <c r="C60" s="92">
        <f>C59/C58</f>
        <v>531.53192215773299</v>
      </c>
      <c r="D60" s="92" t="s">
        <v>439</v>
      </c>
      <c r="Q60" s="92" t="s">
        <v>457</v>
      </c>
    </row>
    <row r="61" spans="1:20" x14ac:dyDescent="0.25">
      <c r="A61" s="92" t="str">
        <f t="shared" si="10"/>
        <v>CV as received20.52</v>
      </c>
      <c r="B61" s="92" t="s">
        <v>441</v>
      </c>
      <c r="C61" s="92">
        <v>20.52</v>
      </c>
      <c r="D61" s="92" t="s">
        <v>439</v>
      </c>
      <c r="Q61" s="96">
        <v>0.4</v>
      </c>
    </row>
    <row r="62" spans="1:20" x14ac:dyDescent="0.25">
      <c r="A62" s="92" t="str">
        <f t="shared" si="10"/>
        <v>Rand/GJ25.9031151148993</v>
      </c>
      <c r="B62" s="92" t="s">
        <v>440</v>
      </c>
      <c r="C62" s="92">
        <f>C60/C61</f>
        <v>25.903115114899268</v>
      </c>
      <c r="D62" s="92" t="s">
        <v>439</v>
      </c>
    </row>
    <row r="63" spans="1:20" x14ac:dyDescent="0.25">
      <c r="A63" s="92" t="str">
        <f t="shared" si="10"/>
        <v>Tutuka various</v>
      </c>
      <c r="B63" s="93" t="s">
        <v>456</v>
      </c>
      <c r="C63" s="93" t="s">
        <v>445</v>
      </c>
      <c r="D63" s="92" t="s">
        <v>439</v>
      </c>
    </row>
    <row r="64" spans="1:20" x14ac:dyDescent="0.25">
      <c r="A64" s="92" t="str">
        <f t="shared" si="10"/>
        <v>Ktons5417</v>
      </c>
      <c r="B64" s="92" t="s">
        <v>444</v>
      </c>
      <c r="C64" s="92">
        <v>5417</v>
      </c>
      <c r="D64" s="92" t="s">
        <v>439</v>
      </c>
    </row>
    <row r="65" spans="1:4" x14ac:dyDescent="0.25">
      <c r="A65" s="92" t="str">
        <f t="shared" si="10"/>
        <v>Rand '0003377630</v>
      </c>
      <c r="B65" s="92" t="s">
        <v>443</v>
      </c>
      <c r="C65" s="92">
        <v>3377630</v>
      </c>
      <c r="D65" s="92" t="s">
        <v>439</v>
      </c>
    </row>
    <row r="66" spans="1:4" x14ac:dyDescent="0.25">
      <c r="A66" s="92" t="str">
        <f t="shared" si="10"/>
        <v>rands/ton623.52409082518</v>
      </c>
      <c r="B66" s="92" t="s">
        <v>442</v>
      </c>
      <c r="C66" s="92">
        <f>C65/C64</f>
        <v>623.52409082518</v>
      </c>
      <c r="D66" s="92" t="s">
        <v>439</v>
      </c>
    </row>
    <row r="67" spans="1:4" x14ac:dyDescent="0.25">
      <c r="A67" s="92" t="str">
        <f t="shared" si="10"/>
        <v>CV as received20.35</v>
      </c>
      <c r="B67" s="92" t="s">
        <v>441</v>
      </c>
      <c r="C67" s="92">
        <v>20.350000000000001</v>
      </c>
      <c r="D67" s="92" t="s">
        <v>439</v>
      </c>
    </row>
    <row r="68" spans="1:4" x14ac:dyDescent="0.25">
      <c r="A68" s="92" t="str">
        <f t="shared" si="10"/>
        <v>Rand/GJ30.6400044631538</v>
      </c>
      <c r="B68" s="92" t="s">
        <v>440</v>
      </c>
      <c r="C68" s="92">
        <f>C66/C67</f>
        <v>30.640004463153804</v>
      </c>
      <c r="D68" s="92" t="s">
        <v>439</v>
      </c>
    </row>
    <row r="69" spans="1:4" x14ac:dyDescent="0.25">
      <c r="A69" s="92" t="str">
        <f t="shared" si="10"/>
        <v>Matlavarious</v>
      </c>
      <c r="B69" s="93" t="s">
        <v>455</v>
      </c>
      <c r="C69" s="93" t="s">
        <v>445</v>
      </c>
      <c r="D69" s="92" t="s">
        <v>439</v>
      </c>
    </row>
    <row r="70" spans="1:4" x14ac:dyDescent="0.25">
      <c r="A70" s="92" t="str">
        <f t="shared" si="10"/>
        <v>Ktons3538</v>
      </c>
      <c r="B70" s="92" t="s">
        <v>444</v>
      </c>
      <c r="C70" s="92">
        <v>3538</v>
      </c>
      <c r="D70" s="92" t="s">
        <v>439</v>
      </c>
    </row>
    <row r="71" spans="1:4" x14ac:dyDescent="0.25">
      <c r="A71" s="92" t="str">
        <f t="shared" si="10"/>
        <v>Rand '0001916967</v>
      </c>
      <c r="B71" s="92" t="s">
        <v>443</v>
      </c>
      <c r="C71" s="92">
        <v>1916967</v>
      </c>
      <c r="D71" s="92" t="s">
        <v>439</v>
      </c>
    </row>
    <row r="72" spans="1:4" x14ac:dyDescent="0.25">
      <c r="A72" s="92" t="str">
        <f t="shared" si="10"/>
        <v>rands/ton541.82221594121</v>
      </c>
      <c r="B72" s="92" t="s">
        <v>442</v>
      </c>
      <c r="C72" s="92">
        <f>C71/C70</f>
        <v>541.82221594120972</v>
      </c>
      <c r="D72" s="92" t="s">
        <v>439</v>
      </c>
    </row>
    <row r="73" spans="1:4" x14ac:dyDescent="0.25">
      <c r="A73" s="92" t="str">
        <f t="shared" ref="A73:A104" si="14">B73&amp;C73</f>
        <v>CV as received19.81</v>
      </c>
      <c r="B73" s="92" t="s">
        <v>441</v>
      </c>
      <c r="C73" s="92">
        <v>19.809999999999999</v>
      </c>
      <c r="D73" s="92" t="s">
        <v>439</v>
      </c>
    </row>
    <row r="74" spans="1:4" x14ac:dyDescent="0.25">
      <c r="A74" s="92" t="str">
        <f t="shared" si="14"/>
        <v>Rand/GJ27.3509447723983</v>
      </c>
      <c r="B74" s="92" t="s">
        <v>440</v>
      </c>
      <c r="C74" s="92">
        <f>C72/C73</f>
        <v>27.350944772398272</v>
      </c>
      <c r="D74" s="92" t="s">
        <v>439</v>
      </c>
    </row>
    <row r="75" spans="1:4" x14ac:dyDescent="0.25">
      <c r="A75" s="92" t="str">
        <f t="shared" si="14"/>
        <v>Kendal various</v>
      </c>
      <c r="B75" s="93" t="s">
        <v>454</v>
      </c>
      <c r="C75" s="93" t="s">
        <v>445</v>
      </c>
      <c r="D75" s="92" t="s">
        <v>439</v>
      </c>
    </row>
    <row r="76" spans="1:4" x14ac:dyDescent="0.25">
      <c r="A76" s="92" t="str">
        <f t="shared" si="14"/>
        <v>Ktons3993</v>
      </c>
      <c r="B76" s="92" t="s">
        <v>444</v>
      </c>
      <c r="C76" s="92">
        <v>3993</v>
      </c>
      <c r="D76" s="92" t="s">
        <v>439</v>
      </c>
    </row>
    <row r="77" spans="1:4" x14ac:dyDescent="0.25">
      <c r="A77" s="92" t="str">
        <f t="shared" si="14"/>
        <v>Rand '0001711509</v>
      </c>
      <c r="B77" s="92" t="s">
        <v>443</v>
      </c>
      <c r="C77" s="92">
        <v>1711509</v>
      </c>
      <c r="D77" s="92" t="s">
        <v>439</v>
      </c>
    </row>
    <row r="78" spans="1:4" x14ac:dyDescent="0.25">
      <c r="A78" s="92" t="str">
        <f t="shared" si="14"/>
        <v>rands/ton428.627347858753</v>
      </c>
      <c r="B78" s="92" t="s">
        <v>442</v>
      </c>
      <c r="C78" s="92">
        <f>C77/C76</f>
        <v>428.62734785875284</v>
      </c>
      <c r="D78" s="92" t="s">
        <v>439</v>
      </c>
    </row>
    <row r="79" spans="1:4" x14ac:dyDescent="0.25">
      <c r="A79" s="92" t="str">
        <f t="shared" si="14"/>
        <v>CV as received18.48</v>
      </c>
      <c r="B79" s="92" t="s">
        <v>441</v>
      </c>
      <c r="C79" s="92">
        <v>18.48</v>
      </c>
      <c r="D79" s="92" t="s">
        <v>439</v>
      </c>
    </row>
    <row r="80" spans="1:4" x14ac:dyDescent="0.25">
      <c r="A80" s="92" t="str">
        <f t="shared" si="14"/>
        <v>Rand/GJ23.1941205551273</v>
      </c>
      <c r="B80" s="92" t="s">
        <v>440</v>
      </c>
      <c r="C80" s="92">
        <f>C78/C79</f>
        <v>23.194120555127316</v>
      </c>
      <c r="D80" s="92" t="s">
        <v>439</v>
      </c>
    </row>
    <row r="81" spans="1:4" x14ac:dyDescent="0.25">
      <c r="A81" s="92" t="str">
        <f t="shared" si="14"/>
        <v>Camden various</v>
      </c>
      <c r="B81" s="93" t="s">
        <v>453</v>
      </c>
      <c r="C81" s="92" t="s">
        <v>445</v>
      </c>
      <c r="D81" s="92" t="s">
        <v>439</v>
      </c>
    </row>
    <row r="82" spans="1:4" x14ac:dyDescent="0.25">
      <c r="A82" s="92" t="str">
        <f t="shared" si="14"/>
        <v>Ktons4508</v>
      </c>
      <c r="B82" s="94" t="s">
        <v>444</v>
      </c>
      <c r="C82" s="92">
        <v>4508</v>
      </c>
      <c r="D82" s="92" t="s">
        <v>439</v>
      </c>
    </row>
    <row r="83" spans="1:4" x14ac:dyDescent="0.25">
      <c r="A83" s="92" t="str">
        <f t="shared" si="14"/>
        <v>Rand '0002713371</v>
      </c>
      <c r="B83" s="94" t="s">
        <v>443</v>
      </c>
      <c r="C83" s="92">
        <v>2713371</v>
      </c>
      <c r="D83" s="92" t="s">
        <v>439</v>
      </c>
    </row>
    <row r="84" spans="1:4" x14ac:dyDescent="0.25">
      <c r="A84" s="92" t="str">
        <f t="shared" si="14"/>
        <v>rands/ton601.901286601597</v>
      </c>
      <c r="B84" s="94" t="s">
        <v>442</v>
      </c>
      <c r="C84" s="92">
        <f>C83/C82</f>
        <v>601.90128660159712</v>
      </c>
      <c r="D84" s="92" t="s">
        <v>439</v>
      </c>
    </row>
    <row r="85" spans="1:4" x14ac:dyDescent="0.25">
      <c r="A85" s="92" t="str">
        <f t="shared" si="14"/>
        <v>CV as received18.65</v>
      </c>
      <c r="B85" s="94" t="s">
        <v>441</v>
      </c>
      <c r="C85" s="92">
        <v>18.649999999999999</v>
      </c>
      <c r="D85" s="92" t="s">
        <v>439</v>
      </c>
    </row>
    <row r="86" spans="1:4" x14ac:dyDescent="0.25">
      <c r="A86" s="92" t="str">
        <f t="shared" si="14"/>
        <v>Rand/GJ32.273527431721</v>
      </c>
      <c r="B86" s="94" t="s">
        <v>440</v>
      </c>
      <c r="C86" s="92">
        <f>C84/C85</f>
        <v>32.273527431721028</v>
      </c>
      <c r="D86" s="92" t="s">
        <v>439</v>
      </c>
    </row>
    <row r="87" spans="1:4" x14ac:dyDescent="0.25">
      <c r="A87" s="92" t="str">
        <f t="shared" si="14"/>
        <v>Krielvarious</v>
      </c>
      <c r="B87" s="93" t="s">
        <v>452</v>
      </c>
      <c r="C87" s="93" t="s">
        <v>445</v>
      </c>
      <c r="D87" s="92" t="s">
        <v>439</v>
      </c>
    </row>
    <row r="88" spans="1:4" x14ac:dyDescent="0.25">
      <c r="A88" s="92" t="str">
        <f t="shared" si="14"/>
        <v>Ktons2559</v>
      </c>
      <c r="B88" s="92" t="s">
        <v>444</v>
      </c>
      <c r="C88" s="92">
        <v>2559</v>
      </c>
      <c r="D88" s="92" t="s">
        <v>439</v>
      </c>
    </row>
    <row r="89" spans="1:4" x14ac:dyDescent="0.25">
      <c r="A89" s="92" t="str">
        <f t="shared" si="14"/>
        <v>Rand '0001308824</v>
      </c>
      <c r="B89" s="92" t="s">
        <v>443</v>
      </c>
      <c r="C89" s="92">
        <v>1308824</v>
      </c>
      <c r="D89" s="92" t="s">
        <v>439</v>
      </c>
    </row>
    <row r="90" spans="1:4" x14ac:dyDescent="0.25">
      <c r="A90" s="92" t="str">
        <f t="shared" si="14"/>
        <v>rands/ton511.459163735834</v>
      </c>
      <c r="B90" s="92" t="s">
        <v>442</v>
      </c>
      <c r="C90" s="92">
        <f>C89/C88</f>
        <v>511.4591637358343</v>
      </c>
      <c r="D90" s="92" t="s">
        <v>439</v>
      </c>
    </row>
    <row r="91" spans="1:4" x14ac:dyDescent="0.25">
      <c r="A91" s="92" t="str">
        <f t="shared" si="14"/>
        <v>CV as received20.94</v>
      </c>
      <c r="B91" s="92" t="s">
        <v>441</v>
      </c>
      <c r="C91" s="92">
        <v>20.94</v>
      </c>
      <c r="D91" s="92" t="s">
        <v>439</v>
      </c>
    </row>
    <row r="92" spans="1:4" x14ac:dyDescent="0.25">
      <c r="A92" s="92" t="str">
        <f t="shared" si="14"/>
        <v>Rand/GJ24.4249839415394</v>
      </c>
      <c r="B92" s="92" t="s">
        <v>440</v>
      </c>
      <c r="C92" s="92">
        <f>C90/C91</f>
        <v>24.424983941539363</v>
      </c>
      <c r="D92" s="92" t="s">
        <v>439</v>
      </c>
    </row>
    <row r="93" spans="1:4" x14ac:dyDescent="0.25">
      <c r="A93" s="92" t="str">
        <f t="shared" si="14"/>
        <v>Hendrinavarious</v>
      </c>
      <c r="B93" s="93" t="s">
        <v>451</v>
      </c>
      <c r="C93" s="93" t="s">
        <v>445</v>
      </c>
      <c r="D93" s="92" t="s">
        <v>439</v>
      </c>
    </row>
    <row r="94" spans="1:4" x14ac:dyDescent="0.25">
      <c r="A94" s="92" t="str">
        <f t="shared" si="14"/>
        <v>Ktons4843</v>
      </c>
      <c r="B94" s="92" t="s">
        <v>444</v>
      </c>
      <c r="C94" s="92">
        <v>4843</v>
      </c>
      <c r="D94" s="92" t="s">
        <v>439</v>
      </c>
    </row>
    <row r="95" spans="1:4" x14ac:dyDescent="0.25">
      <c r="A95" s="92" t="str">
        <f t="shared" si="14"/>
        <v>Rand '0002867288</v>
      </c>
      <c r="B95" s="92" t="s">
        <v>443</v>
      </c>
      <c r="C95" s="92">
        <v>2867288</v>
      </c>
      <c r="D95" s="92" t="s">
        <v>439</v>
      </c>
    </row>
    <row r="96" spans="1:4" x14ac:dyDescent="0.25">
      <c r="A96" s="92" t="str">
        <f t="shared" si="14"/>
        <v>rands/ton592.047904191617</v>
      </c>
      <c r="B96" s="92" t="s">
        <v>442</v>
      </c>
      <c r="C96" s="92">
        <f>C95/C94</f>
        <v>592.04790419161679</v>
      </c>
      <c r="D96" s="92" t="s">
        <v>439</v>
      </c>
    </row>
    <row r="97" spans="1:4" x14ac:dyDescent="0.25">
      <c r="A97" s="92" t="str">
        <f t="shared" si="14"/>
        <v>CV as received20.64</v>
      </c>
      <c r="B97" s="92" t="s">
        <v>441</v>
      </c>
      <c r="C97" s="92">
        <v>20.64</v>
      </c>
      <c r="D97" s="92" t="s">
        <v>439</v>
      </c>
    </row>
    <row r="98" spans="1:4" x14ac:dyDescent="0.25">
      <c r="A98" s="92" t="str">
        <f t="shared" si="14"/>
        <v>Rand/GJ28.684491482152</v>
      </c>
      <c r="B98" s="92" t="s">
        <v>440</v>
      </c>
      <c r="C98" s="92">
        <f>C96/C97</f>
        <v>28.684491482151977</v>
      </c>
      <c r="D98" s="92" t="s">
        <v>439</v>
      </c>
    </row>
    <row r="99" spans="1:4" x14ac:dyDescent="0.25">
      <c r="A99" s="92" t="str">
        <f t="shared" si="14"/>
        <v>duvhavarious</v>
      </c>
      <c r="B99" s="93" t="s">
        <v>450</v>
      </c>
      <c r="C99" s="93" t="s">
        <v>445</v>
      </c>
      <c r="D99" s="92" t="s">
        <v>439</v>
      </c>
    </row>
    <row r="100" spans="1:4" x14ac:dyDescent="0.25">
      <c r="A100" s="92" t="str">
        <f t="shared" si="14"/>
        <v>Ktons104</v>
      </c>
      <c r="B100" s="94" t="s">
        <v>444</v>
      </c>
      <c r="C100" s="92">
        <v>104</v>
      </c>
      <c r="D100" s="92" t="s">
        <v>439</v>
      </c>
    </row>
    <row r="101" spans="1:4" x14ac:dyDescent="0.25">
      <c r="A101" s="92" t="str">
        <f t="shared" si="14"/>
        <v>Rand '00038987</v>
      </c>
      <c r="B101" s="94" t="s">
        <v>443</v>
      </c>
      <c r="C101" s="92">
        <v>38987</v>
      </c>
      <c r="D101" s="92" t="s">
        <v>439</v>
      </c>
    </row>
    <row r="102" spans="1:4" x14ac:dyDescent="0.25">
      <c r="A102" s="92" t="str">
        <f t="shared" si="14"/>
        <v>rands/ton374.875</v>
      </c>
      <c r="B102" s="94" t="s">
        <v>442</v>
      </c>
      <c r="C102" s="92">
        <f>C101/C100</f>
        <v>374.875</v>
      </c>
      <c r="D102" s="92" t="s">
        <v>439</v>
      </c>
    </row>
    <row r="103" spans="1:4" x14ac:dyDescent="0.25">
      <c r="A103" s="92" t="str">
        <f t="shared" si="14"/>
        <v>CV as received20.78</v>
      </c>
      <c r="B103" s="94" t="s">
        <v>441</v>
      </c>
      <c r="C103" s="92">
        <v>20.78</v>
      </c>
      <c r="D103" s="92" t="s">
        <v>439</v>
      </c>
    </row>
    <row r="104" spans="1:4" x14ac:dyDescent="0.25">
      <c r="A104" s="92" t="str">
        <f t="shared" si="14"/>
        <v>Rand/GJ18.0401828681424</v>
      </c>
      <c r="B104" s="94" t="s">
        <v>440</v>
      </c>
      <c r="C104" s="92">
        <f>C102/C103</f>
        <v>18.040182868142445</v>
      </c>
      <c r="D104" s="92" t="s">
        <v>439</v>
      </c>
    </row>
    <row r="105" spans="1:4" x14ac:dyDescent="0.25">
      <c r="A105" s="92" t="str">
        <f t="shared" ref="A105:A128" si="15">B105&amp;C105</f>
        <v>Majubavarious</v>
      </c>
      <c r="B105" s="95" t="s">
        <v>449</v>
      </c>
      <c r="C105" s="93" t="s">
        <v>445</v>
      </c>
      <c r="D105" s="92" t="s">
        <v>439</v>
      </c>
    </row>
    <row r="106" spans="1:4" x14ac:dyDescent="0.25">
      <c r="A106" s="92" t="str">
        <f t="shared" si="15"/>
        <v>Ktons14509</v>
      </c>
      <c r="B106" s="94" t="s">
        <v>444</v>
      </c>
      <c r="C106" s="92">
        <v>14509</v>
      </c>
      <c r="D106" s="92" t="s">
        <v>439</v>
      </c>
    </row>
    <row r="107" spans="1:4" x14ac:dyDescent="0.25">
      <c r="A107" s="92" t="str">
        <f t="shared" si="15"/>
        <v>Rand '0008677704</v>
      </c>
      <c r="B107" s="94" t="s">
        <v>443</v>
      </c>
      <c r="C107" s="92">
        <v>8677704</v>
      </c>
      <c r="D107" s="92" t="s">
        <v>439</v>
      </c>
    </row>
    <row r="108" spans="1:4" x14ac:dyDescent="0.25">
      <c r="A108" s="92" t="str">
        <f t="shared" si="15"/>
        <v>rands/ton598.091115859122</v>
      </c>
      <c r="B108" s="94" t="s">
        <v>442</v>
      </c>
      <c r="C108" s="92">
        <f>C107/C106</f>
        <v>598.09111585912194</v>
      </c>
      <c r="D108" s="92" t="s">
        <v>439</v>
      </c>
    </row>
    <row r="109" spans="1:4" x14ac:dyDescent="0.25">
      <c r="A109" s="92" t="str">
        <f t="shared" si="15"/>
        <v>CV as received18.62</v>
      </c>
      <c r="B109" s="94" t="s">
        <v>441</v>
      </c>
      <c r="C109" s="92">
        <v>18.62</v>
      </c>
      <c r="D109" s="92" t="s">
        <v>439</v>
      </c>
    </row>
    <row r="110" spans="1:4" x14ac:dyDescent="0.25">
      <c r="A110" s="92" t="str">
        <f t="shared" si="15"/>
        <v>Rand/GJ32.1208977367949</v>
      </c>
      <c r="B110" s="94" t="s">
        <v>440</v>
      </c>
      <c r="C110" s="92">
        <f>C108/C109</f>
        <v>32.120897736794944</v>
      </c>
      <c r="D110" s="92" t="s">
        <v>439</v>
      </c>
    </row>
    <row r="111" spans="1:4" x14ac:dyDescent="0.25">
      <c r="A111" s="92" t="str">
        <f t="shared" si="15"/>
        <v>Komativarious</v>
      </c>
      <c r="B111" s="93" t="s">
        <v>448</v>
      </c>
      <c r="C111" s="93" t="s">
        <v>445</v>
      </c>
      <c r="D111" s="92" t="s">
        <v>439</v>
      </c>
    </row>
    <row r="112" spans="1:4" x14ac:dyDescent="0.25">
      <c r="A112" s="92" t="str">
        <f t="shared" si="15"/>
        <v>Ktons1265</v>
      </c>
      <c r="B112" s="94" t="s">
        <v>444</v>
      </c>
      <c r="C112" s="92">
        <v>1265</v>
      </c>
      <c r="D112" s="92" t="s">
        <v>439</v>
      </c>
    </row>
    <row r="113" spans="1:4" x14ac:dyDescent="0.25">
      <c r="A113" s="92" t="str">
        <f t="shared" si="15"/>
        <v>Rand '000863148</v>
      </c>
      <c r="B113" s="94" t="s">
        <v>443</v>
      </c>
      <c r="C113" s="92">
        <v>863148</v>
      </c>
      <c r="D113" s="92" t="s">
        <v>439</v>
      </c>
    </row>
    <row r="114" spans="1:4" x14ac:dyDescent="0.25">
      <c r="A114" s="92" t="str">
        <f t="shared" si="15"/>
        <v>rands/ton682.330434782609</v>
      </c>
      <c r="B114" s="94" t="s">
        <v>442</v>
      </c>
      <c r="C114" s="92">
        <f>C113/C112</f>
        <v>682.33043478260868</v>
      </c>
      <c r="D114" s="92" t="s">
        <v>439</v>
      </c>
    </row>
    <row r="115" spans="1:4" x14ac:dyDescent="0.25">
      <c r="A115" s="92" t="str">
        <f t="shared" si="15"/>
        <v>CV as received19.68</v>
      </c>
      <c r="B115" s="94" t="s">
        <v>441</v>
      </c>
      <c r="C115" s="92">
        <v>19.68</v>
      </c>
      <c r="D115" s="92" t="s">
        <v>439</v>
      </c>
    </row>
    <row r="116" spans="1:4" x14ac:dyDescent="0.25">
      <c r="A116" s="92" t="str">
        <f t="shared" si="15"/>
        <v>Rand/GJ34.6712619300106</v>
      </c>
      <c r="B116" s="94" t="s">
        <v>440</v>
      </c>
      <c r="C116" s="92">
        <f>C114/C115</f>
        <v>34.671261930010601</v>
      </c>
      <c r="D116" s="92" t="s">
        <v>439</v>
      </c>
    </row>
    <row r="117" spans="1:4" x14ac:dyDescent="0.25">
      <c r="A117" s="92" t="str">
        <f t="shared" si="15"/>
        <v>Grootvleivarious</v>
      </c>
      <c r="B117" s="93" t="s">
        <v>447</v>
      </c>
      <c r="C117" s="93" t="s">
        <v>445</v>
      </c>
      <c r="D117" s="92" t="s">
        <v>439</v>
      </c>
    </row>
    <row r="118" spans="1:4" x14ac:dyDescent="0.25">
      <c r="A118" s="92" t="str">
        <f t="shared" si="15"/>
        <v>Ktons1334</v>
      </c>
      <c r="B118" s="92" t="s">
        <v>444</v>
      </c>
      <c r="C118" s="92">
        <v>1334</v>
      </c>
      <c r="D118" s="92" t="s">
        <v>439</v>
      </c>
    </row>
    <row r="119" spans="1:4" x14ac:dyDescent="0.25">
      <c r="A119" s="92" t="str">
        <f t="shared" si="15"/>
        <v>Rand '000816929</v>
      </c>
      <c r="B119" s="92" t="s">
        <v>443</v>
      </c>
      <c r="C119" s="92">
        <v>816929</v>
      </c>
      <c r="D119" s="92" t="s">
        <v>439</v>
      </c>
    </row>
    <row r="120" spans="1:4" x14ac:dyDescent="0.25">
      <c r="A120" s="92" t="str">
        <f t="shared" si="15"/>
        <v>rands/ton612.390554722639</v>
      </c>
      <c r="B120" s="92" t="s">
        <v>442</v>
      </c>
      <c r="C120" s="92">
        <f>C119/C118</f>
        <v>612.39055472263863</v>
      </c>
      <c r="D120" s="92" t="s">
        <v>439</v>
      </c>
    </row>
    <row r="121" spans="1:4" x14ac:dyDescent="0.25">
      <c r="A121" s="92" t="str">
        <f t="shared" si="15"/>
        <v>CV as received20.58</v>
      </c>
      <c r="B121" s="92" t="s">
        <v>441</v>
      </c>
      <c r="C121" s="92">
        <v>20.58</v>
      </c>
      <c r="D121" s="92" t="s">
        <v>439</v>
      </c>
    </row>
    <row r="122" spans="1:4" x14ac:dyDescent="0.25">
      <c r="A122" s="92" t="str">
        <f t="shared" si="15"/>
        <v>Rand/GJ29.7565867212166</v>
      </c>
      <c r="B122" s="92" t="s">
        <v>440</v>
      </c>
      <c r="C122" s="92">
        <f>C120/C121</f>
        <v>29.756586721216649</v>
      </c>
      <c r="D122" s="92" t="s">
        <v>439</v>
      </c>
    </row>
    <row r="123" spans="1:4" x14ac:dyDescent="0.25">
      <c r="A123" s="92" t="str">
        <f t="shared" si="15"/>
        <v>Kusile various</v>
      </c>
      <c r="B123" s="93" t="s">
        <v>446</v>
      </c>
      <c r="C123" s="93" t="s">
        <v>445</v>
      </c>
      <c r="D123" s="92" t="s">
        <v>439</v>
      </c>
    </row>
    <row r="124" spans="1:4" x14ac:dyDescent="0.25">
      <c r="A124" s="92" t="str">
        <f t="shared" si="15"/>
        <v>Ktons2158</v>
      </c>
      <c r="B124" s="92" t="s">
        <v>444</v>
      </c>
      <c r="C124" s="92">
        <v>2158</v>
      </c>
      <c r="D124" s="92" t="s">
        <v>439</v>
      </c>
    </row>
    <row r="125" spans="1:4" x14ac:dyDescent="0.25">
      <c r="A125" s="92" t="str">
        <f t="shared" si="15"/>
        <v>Rand '0001192351</v>
      </c>
      <c r="B125" s="92" t="s">
        <v>443</v>
      </c>
      <c r="C125" s="92">
        <v>1192351</v>
      </c>
      <c r="D125" s="92" t="s">
        <v>439</v>
      </c>
    </row>
    <row r="126" spans="1:4" x14ac:dyDescent="0.25">
      <c r="A126" s="92" t="str">
        <f t="shared" si="15"/>
        <v>rands/ton552.525949953661</v>
      </c>
      <c r="B126" s="92" t="s">
        <v>442</v>
      </c>
      <c r="C126" s="92">
        <f>C125/C124</f>
        <v>552.52594995366076</v>
      </c>
      <c r="D126" s="92" t="s">
        <v>439</v>
      </c>
    </row>
    <row r="127" spans="1:4" x14ac:dyDescent="0.25">
      <c r="A127" s="92" t="str">
        <f t="shared" si="15"/>
        <v>CV as received17.53</v>
      </c>
      <c r="B127" s="92" t="s">
        <v>441</v>
      </c>
      <c r="C127" s="92">
        <v>17.53</v>
      </c>
      <c r="D127" s="92" t="s">
        <v>439</v>
      </c>
    </row>
    <row r="128" spans="1:4" x14ac:dyDescent="0.25">
      <c r="A128" s="92" t="str">
        <f t="shared" si="15"/>
        <v>Rand/GJ31.5188790618175</v>
      </c>
      <c r="B128" s="92" t="s">
        <v>440</v>
      </c>
      <c r="C128" s="92">
        <f>C126/C127</f>
        <v>31.518879061817497</v>
      </c>
      <c r="D128" s="92" t="s">
        <v>439</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dimension ref="A1:DZ128"/>
  <sheetViews>
    <sheetView workbookViewId="0"/>
    <sheetView topLeftCell="A61" workbookViewId="1">
      <selection activeCell="W97" sqref="W97"/>
    </sheetView>
  </sheetViews>
  <sheetFormatPr defaultColWidth="9.140625" defaultRowHeight="12.75" x14ac:dyDescent="0.2"/>
  <cols>
    <col min="1" max="1" width="13"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19" width="16.42578125" style="101" customWidth="1"/>
    <col min="20" max="20" width="12.140625" style="101" customWidth="1"/>
    <col min="21" max="21" width="15.140625" style="101" customWidth="1"/>
    <col min="22" max="22" width="13.5703125" style="101" customWidth="1"/>
    <col min="23" max="23" width="14.7109375" style="101" bestFit="1" customWidth="1"/>
    <col min="24" max="24" width="11.28515625" style="101" bestFit="1" customWidth="1"/>
    <col min="25" max="25" width="18.28515625" style="101" bestFit="1" customWidth="1"/>
    <col min="26" max="26" width="12" style="101" customWidth="1"/>
    <col min="27" max="27" width="16.42578125" style="101" bestFit="1" customWidth="1"/>
    <col min="28" max="28" width="14.140625" style="101" customWidth="1"/>
    <col min="29" max="29" width="11.42578125" style="101" bestFit="1" customWidth="1"/>
    <col min="30" max="30" width="9.140625" style="101"/>
    <col min="31" max="31" width="13.85546875" style="101" customWidth="1"/>
    <col min="32" max="16384" width="9.140625" style="101"/>
  </cols>
  <sheetData>
    <row r="1" spans="1:31" ht="17.100000000000001" customHeight="1" x14ac:dyDescent="0.2">
      <c r="A1" s="139" t="s">
        <v>661</v>
      </c>
      <c r="Q1" s="64"/>
      <c r="R1" s="64"/>
      <c r="S1" s="64"/>
      <c r="T1" s="64"/>
      <c r="U1" s="64"/>
      <c r="V1" s="64"/>
      <c r="W1" s="64"/>
      <c r="X1" s="64"/>
      <c r="Y1" s="64"/>
      <c r="Z1" s="64"/>
      <c r="AA1" s="64"/>
      <c r="AB1" s="64"/>
      <c r="AC1" s="64"/>
      <c r="AD1" s="64"/>
      <c r="AE1" s="64"/>
    </row>
    <row r="2" spans="1:31" ht="14.1" customHeight="1" x14ac:dyDescent="0.2">
      <c r="A2" s="363" t="s">
        <v>660</v>
      </c>
      <c r="B2" s="363"/>
      <c r="C2" s="363"/>
      <c r="D2" s="364"/>
      <c r="E2" s="138"/>
      <c r="F2" s="138"/>
      <c r="G2" s="365" t="s">
        <v>659</v>
      </c>
      <c r="H2" s="366"/>
      <c r="I2" s="366"/>
      <c r="J2" s="366"/>
      <c r="K2" s="366"/>
      <c r="L2" s="366"/>
      <c r="M2" s="366"/>
      <c r="N2" s="366"/>
      <c r="O2" s="137"/>
      <c r="P2" s="101" t="s">
        <v>658</v>
      </c>
      <c r="Q2" s="64"/>
      <c r="R2" s="64"/>
      <c r="S2" s="64"/>
      <c r="T2" s="64"/>
      <c r="U2" s="64"/>
      <c r="V2" s="64"/>
      <c r="W2" s="64"/>
      <c r="X2" s="64"/>
      <c r="Y2" s="64"/>
      <c r="Z2" s="64"/>
      <c r="AA2" s="64"/>
      <c r="AB2" s="64"/>
      <c r="AC2" s="64"/>
      <c r="AD2" s="64"/>
      <c r="AE2" s="64"/>
    </row>
    <row r="3" spans="1:31" ht="47.1" customHeight="1" x14ac:dyDescent="0.2">
      <c r="A3" s="369" t="s">
        <v>657</v>
      </c>
      <c r="B3" s="371" t="s">
        <v>656</v>
      </c>
      <c r="C3" s="373" t="s">
        <v>655</v>
      </c>
      <c r="D3" s="375" t="s">
        <v>654</v>
      </c>
      <c r="E3" s="371" t="s">
        <v>653</v>
      </c>
      <c r="F3" s="371" t="s">
        <v>652</v>
      </c>
      <c r="G3" s="367"/>
      <c r="H3" s="368"/>
      <c r="I3" s="368"/>
      <c r="J3" s="368"/>
      <c r="K3" s="368"/>
      <c r="L3" s="368"/>
      <c r="M3" s="368"/>
      <c r="N3" s="368"/>
      <c r="O3" s="137"/>
      <c r="P3" s="136">
        <v>0.82</v>
      </c>
      <c r="Q3" s="64"/>
      <c r="R3" s="64"/>
      <c r="S3" s="64"/>
      <c r="T3" s="64"/>
      <c r="U3" s="64"/>
      <c r="V3" s="64"/>
      <c r="W3" s="64"/>
      <c r="X3" s="64"/>
      <c r="Y3" s="64"/>
      <c r="Z3" s="64"/>
      <c r="AA3" s="64"/>
      <c r="AB3" s="64"/>
      <c r="AC3" s="64"/>
      <c r="AD3" s="64"/>
      <c r="AE3" s="64"/>
    </row>
    <row r="4" spans="1:31" ht="14.1" customHeight="1" x14ac:dyDescent="0.2">
      <c r="A4" s="370"/>
      <c r="B4" s="372"/>
      <c r="C4" s="374"/>
      <c r="D4" s="376"/>
      <c r="E4" s="372"/>
      <c r="F4" s="372"/>
      <c r="G4" s="135" t="s">
        <v>651</v>
      </c>
      <c r="H4" s="135" t="s">
        <v>650</v>
      </c>
      <c r="I4" s="135" t="s">
        <v>649</v>
      </c>
      <c r="J4" s="135" t="s">
        <v>648</v>
      </c>
      <c r="K4" s="135" t="s">
        <v>647</v>
      </c>
      <c r="L4" s="135" t="s">
        <v>646</v>
      </c>
      <c r="M4" s="135" t="s">
        <v>645</v>
      </c>
      <c r="N4" s="135" t="s">
        <v>644</v>
      </c>
      <c r="O4" s="134" t="s">
        <v>643</v>
      </c>
      <c r="P4" s="101">
        <v>2017</v>
      </c>
      <c r="Q4" s="64">
        <v>2012</v>
      </c>
      <c r="R4" s="64"/>
      <c r="S4" s="64" t="s">
        <v>642</v>
      </c>
      <c r="T4" s="64" t="s">
        <v>641</v>
      </c>
      <c r="U4" s="64"/>
      <c r="V4" s="64"/>
      <c r="W4" s="64"/>
      <c r="X4" s="64"/>
      <c r="Y4" s="64"/>
      <c r="Z4" s="64"/>
      <c r="AA4" s="64"/>
      <c r="AB4" s="64"/>
      <c r="AC4" s="64"/>
      <c r="AD4" s="64"/>
      <c r="AE4" s="64"/>
    </row>
    <row r="5" spans="1:31" ht="14.1" customHeight="1" x14ac:dyDescent="0.2">
      <c r="A5" s="105" t="s">
        <v>640</v>
      </c>
      <c r="B5" s="108">
        <v>1980</v>
      </c>
      <c r="C5" s="107">
        <v>26197</v>
      </c>
      <c r="D5" s="107">
        <v>26197</v>
      </c>
      <c r="E5" s="106" t="s">
        <v>639</v>
      </c>
      <c r="F5" s="105" t="s">
        <v>590</v>
      </c>
      <c r="G5" s="127">
        <v>13227864</v>
      </c>
      <c r="H5" s="127">
        <v>12194878</v>
      </c>
      <c r="I5" s="127">
        <v>12229098</v>
      </c>
      <c r="J5" s="127">
        <v>11950797</v>
      </c>
      <c r="K5" s="127">
        <v>10840753</v>
      </c>
      <c r="L5" s="127">
        <v>9893812</v>
      </c>
      <c r="M5" s="127">
        <v>10099018</v>
      </c>
      <c r="N5" s="127">
        <v>10483060</v>
      </c>
      <c r="O5" s="126">
        <v>10305115</v>
      </c>
      <c r="P5" s="125">
        <f t="shared" ref="P5:P13" si="0">3/12*N5+9/12*O5</f>
        <v>10349601.25</v>
      </c>
      <c r="Q5" s="125">
        <f t="shared" ref="Q5:Q15" si="1">3/12*I5+9/12*J5</f>
        <v>12020372.25</v>
      </c>
      <c r="R5" s="64"/>
      <c r="S5" s="90">
        <f>P5*'eskom fuel 2009-YTD'!$P$34/'eskom fuel 2009-YTD'!$P$33/1000000</f>
        <v>10.343472451641308</v>
      </c>
      <c r="T5" s="123">
        <f>SUMIF(NERSA2017!$D$2:$D$131,A5,NERSA2017!$O$2:$O$131)/1000000</f>
        <v>9.96671744</v>
      </c>
      <c r="U5" s="64"/>
      <c r="V5" s="64"/>
      <c r="W5" s="64"/>
      <c r="X5" s="64"/>
      <c r="Y5" s="64"/>
      <c r="Z5" s="64"/>
      <c r="AA5" s="64"/>
      <c r="AB5" s="64"/>
      <c r="AC5" s="64"/>
      <c r="AD5" s="64"/>
      <c r="AE5" s="64"/>
    </row>
    <row r="6" spans="1:31" ht="14.1" customHeight="1" x14ac:dyDescent="0.2">
      <c r="A6" s="105" t="s">
        <v>638</v>
      </c>
      <c r="B6" s="108">
        <v>3450</v>
      </c>
      <c r="C6" s="107">
        <v>29238</v>
      </c>
      <c r="D6" s="107">
        <v>29238</v>
      </c>
      <c r="E6" s="106" t="s">
        <v>637</v>
      </c>
      <c r="F6" s="105" t="s">
        <v>590</v>
      </c>
      <c r="G6" s="127">
        <v>22581228</v>
      </c>
      <c r="H6" s="127">
        <v>20267508</v>
      </c>
      <c r="I6" s="127">
        <v>17556459</v>
      </c>
      <c r="J6" s="127">
        <v>17413964</v>
      </c>
      <c r="K6" s="127">
        <v>17925378</v>
      </c>
      <c r="L6" s="127">
        <v>13191464</v>
      </c>
      <c r="M6" s="127">
        <v>14060101</v>
      </c>
      <c r="N6" s="127">
        <v>16359000</v>
      </c>
      <c r="O6" s="126">
        <v>13001015</v>
      </c>
      <c r="P6" s="125">
        <f t="shared" si="0"/>
        <v>13840511.25</v>
      </c>
      <c r="Q6" s="125">
        <f t="shared" si="1"/>
        <v>17449587.75</v>
      </c>
      <c r="R6" s="64"/>
      <c r="S6" s="90">
        <f>P6*'eskom fuel 2009-YTD'!$P$34/'eskom fuel 2009-YTD'!$P$33/1000000</f>
        <v>13.832315214173745</v>
      </c>
      <c r="T6" s="123">
        <f>SUMIF(NERSA2017!$D$2:$D$131,A6,NERSA2017!$O$2:$O$131)/1000000</f>
        <v>15.031081919999998</v>
      </c>
      <c r="U6" s="64"/>
      <c r="V6" s="64"/>
      <c r="W6" s="64"/>
      <c r="X6" s="64"/>
      <c r="Y6" s="64"/>
      <c r="Z6" s="64"/>
      <c r="AA6" s="64"/>
      <c r="AB6" s="64"/>
      <c r="AC6" s="64"/>
      <c r="AD6" s="64"/>
      <c r="AE6" s="64"/>
    </row>
    <row r="7" spans="1:31" ht="14.1" customHeight="1" x14ac:dyDescent="0.2">
      <c r="A7" s="105" t="s">
        <v>636</v>
      </c>
      <c r="B7" s="108">
        <v>1895</v>
      </c>
      <c r="C7" s="107">
        <v>25700</v>
      </c>
      <c r="D7" s="107">
        <v>25700</v>
      </c>
      <c r="E7" s="106" t="s">
        <v>635</v>
      </c>
      <c r="F7" s="105" t="s">
        <v>590</v>
      </c>
      <c r="G7" s="127">
        <v>12143292</v>
      </c>
      <c r="H7" s="127">
        <v>11938206</v>
      </c>
      <c r="I7" s="127">
        <v>11412357</v>
      </c>
      <c r="J7" s="127">
        <v>9489357</v>
      </c>
      <c r="K7" s="127">
        <v>8861776</v>
      </c>
      <c r="L7" s="127">
        <v>10079833</v>
      </c>
      <c r="M7" s="127">
        <v>8172225</v>
      </c>
      <c r="N7" s="127">
        <v>8919238</v>
      </c>
      <c r="O7" s="126">
        <v>7667408</v>
      </c>
      <c r="P7" s="125">
        <f t="shared" si="0"/>
        <v>7980365.5</v>
      </c>
      <c r="Q7" s="125">
        <f t="shared" si="1"/>
        <v>9970107</v>
      </c>
      <c r="R7" s="64"/>
      <c r="S7" s="90">
        <f>P7*'eskom fuel 2009-YTD'!$P$34/'eskom fuel 2009-YTD'!$P$33/1000000</f>
        <v>7.9756397091413271</v>
      </c>
      <c r="T7" s="123">
        <f>SUMIF(NERSA2017!$D$2:$D$131,A7,NERSA2017!$O$2:$O$131)/1000000</f>
        <v>7.6544970599999997</v>
      </c>
      <c r="U7" s="64"/>
      <c r="V7" s="64"/>
      <c r="W7" s="64"/>
      <c r="X7" s="64"/>
      <c r="Y7" s="64"/>
      <c r="Z7" s="64"/>
      <c r="AA7" s="64"/>
      <c r="AB7" s="64"/>
      <c r="AC7" s="64"/>
      <c r="AD7" s="64"/>
      <c r="AE7" s="64"/>
    </row>
    <row r="8" spans="1:31" ht="14.1" customHeight="1" x14ac:dyDescent="0.2">
      <c r="A8" s="105" t="s">
        <v>634</v>
      </c>
      <c r="B8" s="108">
        <v>3840</v>
      </c>
      <c r="C8" s="107">
        <v>32417</v>
      </c>
      <c r="D8" s="107">
        <v>32417</v>
      </c>
      <c r="E8" s="106" t="s">
        <v>633</v>
      </c>
      <c r="F8" s="105" t="s">
        <v>590</v>
      </c>
      <c r="G8" s="127">
        <v>23307031</v>
      </c>
      <c r="H8" s="127">
        <v>25648258</v>
      </c>
      <c r="I8" s="127">
        <v>27309297</v>
      </c>
      <c r="J8" s="127">
        <v>26198513</v>
      </c>
      <c r="K8" s="127">
        <v>27012212</v>
      </c>
      <c r="L8" s="127">
        <v>24459162</v>
      </c>
      <c r="M8" s="127">
        <v>25301535</v>
      </c>
      <c r="N8" s="127">
        <v>23183480</v>
      </c>
      <c r="O8" s="126">
        <v>25445952</v>
      </c>
      <c r="P8" s="125">
        <f t="shared" si="0"/>
        <v>24880334</v>
      </c>
      <c r="Q8" s="125">
        <f t="shared" si="1"/>
        <v>26476209</v>
      </c>
      <c r="R8" s="64"/>
      <c r="S8" s="90">
        <f>P8*'eskom fuel 2009-YTD'!$P$34/'eskom fuel 2009-YTD'!$P$33/1000000</f>
        <v>24.865600432348501</v>
      </c>
      <c r="T8" s="123">
        <f>SUMIF(NERSA2017!$D$2:$D$131,A8,NERSA2017!$O$2:$O$131)/1000000</f>
        <v>25.272271910000001</v>
      </c>
      <c r="U8" s="64"/>
      <c r="V8" s="64"/>
      <c r="W8" s="64"/>
      <c r="X8" s="64"/>
      <c r="Y8" s="64"/>
      <c r="Z8" s="64"/>
      <c r="AA8" s="64"/>
      <c r="AB8" s="64"/>
      <c r="AC8" s="64"/>
      <c r="AD8" s="64"/>
      <c r="AE8" s="64"/>
    </row>
    <row r="9" spans="1:31" ht="14.1" customHeight="1" x14ac:dyDescent="0.2">
      <c r="A9" s="105" t="s">
        <v>632</v>
      </c>
      <c r="B9" s="108">
        <v>2850</v>
      </c>
      <c r="C9" s="107">
        <v>27886</v>
      </c>
      <c r="D9" s="107">
        <v>27886</v>
      </c>
      <c r="E9" s="106" t="s">
        <v>631</v>
      </c>
      <c r="F9" s="105" t="s">
        <v>590</v>
      </c>
      <c r="G9" s="127">
        <v>15906816</v>
      </c>
      <c r="H9" s="127">
        <v>18204910</v>
      </c>
      <c r="I9" s="127">
        <v>15289169</v>
      </c>
      <c r="J9" s="127">
        <v>16570689</v>
      </c>
      <c r="K9" s="127">
        <v>14443442</v>
      </c>
      <c r="L9" s="127">
        <v>14803828</v>
      </c>
      <c r="M9" s="127">
        <v>15940417</v>
      </c>
      <c r="N9" s="127">
        <v>14837902</v>
      </c>
      <c r="O9" s="126">
        <v>12183630</v>
      </c>
      <c r="P9" s="125">
        <f t="shared" si="0"/>
        <v>12847198</v>
      </c>
      <c r="Q9" s="125">
        <f t="shared" si="1"/>
        <v>16250309</v>
      </c>
      <c r="R9" s="64"/>
      <c r="S9" s="90">
        <f>P9*'eskom fuel 2009-YTD'!$P$34/'eskom fuel 2009-YTD'!$P$33/1000000</f>
        <v>12.839590181677899</v>
      </c>
      <c r="T9" s="123">
        <f>SUMIF(NERSA2017!$D$2:$D$131,A9,NERSA2017!$O$2:$O$131)/1000000</f>
        <v>12.509279580000001</v>
      </c>
      <c r="U9" s="64"/>
      <c r="V9" s="64"/>
      <c r="W9" s="64"/>
      <c r="X9" s="64"/>
      <c r="Y9" s="64"/>
      <c r="Z9" s="64"/>
      <c r="AA9" s="64"/>
      <c r="AB9" s="64"/>
      <c r="AC9" s="64"/>
      <c r="AD9" s="64"/>
      <c r="AE9" s="64"/>
    </row>
    <row r="10" spans="1:31" ht="14.1" customHeight="1" x14ac:dyDescent="0.2">
      <c r="A10" s="105" t="s">
        <v>630</v>
      </c>
      <c r="B10" s="108">
        <v>3558</v>
      </c>
      <c r="C10" s="107">
        <v>31403</v>
      </c>
      <c r="D10" s="107">
        <v>31403</v>
      </c>
      <c r="E10" s="106" t="s">
        <v>629</v>
      </c>
      <c r="F10" s="105" t="s">
        <v>590</v>
      </c>
      <c r="G10" s="127">
        <v>25522698</v>
      </c>
      <c r="H10" s="127">
        <v>25500366</v>
      </c>
      <c r="I10" s="127">
        <v>24274937</v>
      </c>
      <c r="J10" s="127">
        <v>22480206</v>
      </c>
      <c r="K10" s="127">
        <v>23092551</v>
      </c>
      <c r="L10" s="127">
        <v>23742350</v>
      </c>
      <c r="M10" s="127">
        <v>20996410</v>
      </c>
      <c r="N10" s="127">
        <v>22271522</v>
      </c>
      <c r="O10" s="126">
        <v>18202800</v>
      </c>
      <c r="P10" s="125">
        <f t="shared" si="0"/>
        <v>19219980.5</v>
      </c>
      <c r="Q10" s="125">
        <f t="shared" si="1"/>
        <v>22928888.75</v>
      </c>
      <c r="R10" s="64"/>
      <c r="S10" s="90">
        <f>P10*'eskom fuel 2009-YTD'!$P$34/'eskom fuel 2009-YTD'!$P$33/1000000</f>
        <v>19.208598864891837</v>
      </c>
      <c r="T10" s="123">
        <f>SUMIF(NERSA2017!$D$2:$D$131,A10,NERSA2017!$O$2:$O$131)/1000000</f>
        <v>20.021889999999999</v>
      </c>
      <c r="U10" s="64"/>
      <c r="V10" s="64"/>
      <c r="W10" s="64"/>
      <c r="X10" s="64"/>
      <c r="Y10" s="64"/>
      <c r="Z10" s="64"/>
      <c r="AA10" s="64"/>
      <c r="AB10" s="64"/>
      <c r="AC10" s="64"/>
      <c r="AD10" s="64"/>
      <c r="AE10" s="64"/>
    </row>
    <row r="11" spans="1:31" ht="14.1" customHeight="1" x14ac:dyDescent="0.2">
      <c r="A11" s="105" t="s">
        <v>628</v>
      </c>
      <c r="B11" s="108">
        <v>3690</v>
      </c>
      <c r="C11" s="107">
        <v>32115</v>
      </c>
      <c r="D11" s="107">
        <v>32115</v>
      </c>
      <c r="E11" s="106" t="s">
        <v>627</v>
      </c>
      <c r="F11" s="105" t="s">
        <v>590</v>
      </c>
      <c r="G11" s="127">
        <v>27964141</v>
      </c>
      <c r="H11" s="127">
        <v>28163040</v>
      </c>
      <c r="I11" s="127">
        <v>27899475</v>
      </c>
      <c r="J11" s="127">
        <v>26714123</v>
      </c>
      <c r="K11" s="127">
        <v>25895187</v>
      </c>
      <c r="L11" s="127">
        <v>26851628</v>
      </c>
      <c r="M11" s="127">
        <v>24554035</v>
      </c>
      <c r="N11" s="127">
        <v>25610275</v>
      </c>
      <c r="O11" s="126">
        <v>26369000</v>
      </c>
      <c r="P11" s="125">
        <f t="shared" si="0"/>
        <v>26179318.75</v>
      </c>
      <c r="Q11" s="125">
        <f t="shared" si="1"/>
        <v>27010461</v>
      </c>
      <c r="R11" s="64"/>
      <c r="S11" s="90">
        <f>P11*'eskom fuel 2009-YTD'!$P$34/'eskom fuel 2009-YTD'!$P$33/1000000</f>
        <v>26.163815953137497</v>
      </c>
      <c r="T11" s="123">
        <f>SUMIF(NERSA2017!$D$2:$D$131,A11,NERSA2017!$O$2:$O$131)/1000000</f>
        <v>25.806636709999999</v>
      </c>
      <c r="U11" s="64"/>
      <c r="V11" s="64"/>
      <c r="W11" s="64"/>
      <c r="X11" s="64"/>
      <c r="Y11" s="64"/>
      <c r="Z11" s="64"/>
      <c r="AA11" s="64"/>
      <c r="AB11" s="64"/>
      <c r="AC11" s="64"/>
      <c r="AD11" s="64"/>
      <c r="AE11" s="64"/>
    </row>
    <row r="12" spans="1:31" ht="14.1" customHeight="1" x14ac:dyDescent="0.2">
      <c r="A12" s="105" t="s">
        <v>626</v>
      </c>
      <c r="B12" s="108">
        <v>3843</v>
      </c>
      <c r="C12" s="107">
        <v>35156</v>
      </c>
      <c r="D12" s="107">
        <v>35156</v>
      </c>
      <c r="E12" s="106" t="s">
        <v>625</v>
      </c>
      <c r="F12" s="105" t="s">
        <v>590</v>
      </c>
      <c r="G12" s="127">
        <v>22340081</v>
      </c>
      <c r="H12" s="127">
        <v>24632585</v>
      </c>
      <c r="I12" s="127">
        <v>25325348</v>
      </c>
      <c r="J12" s="127">
        <v>24781734</v>
      </c>
      <c r="K12" s="127">
        <v>23801048</v>
      </c>
      <c r="L12" s="127">
        <v>22423750</v>
      </c>
      <c r="M12" s="127">
        <v>21187846</v>
      </c>
      <c r="N12" s="127">
        <v>20900760</v>
      </c>
      <c r="O12" s="126">
        <v>24413270</v>
      </c>
      <c r="P12" s="125">
        <f t="shared" si="0"/>
        <v>23535142.5</v>
      </c>
      <c r="Q12" s="125">
        <f t="shared" si="1"/>
        <v>24917637.5</v>
      </c>
      <c r="R12" s="64"/>
      <c r="S12" s="90">
        <f>P12*'eskom fuel 2009-YTD'!$P$34/'eskom fuel 2009-YTD'!$P$33/1000000</f>
        <v>23.521205524145444</v>
      </c>
      <c r="T12" s="123">
        <f>SUMIF(NERSA2017!$D$2:$D$131,A12,NERSA2017!$O$2:$O$131)/1000000</f>
        <v>23.367554640000002</v>
      </c>
      <c r="U12" s="64"/>
      <c r="V12" s="64"/>
      <c r="W12" s="64"/>
      <c r="X12" s="64"/>
      <c r="Y12" s="64"/>
      <c r="Z12" s="64"/>
      <c r="AA12" s="64"/>
      <c r="AB12" s="64"/>
      <c r="AC12" s="64"/>
      <c r="AD12" s="64"/>
      <c r="AE12" s="64"/>
    </row>
    <row r="13" spans="1:31" ht="14.1" customHeight="1" x14ac:dyDescent="0.2">
      <c r="A13" s="105" t="s">
        <v>624</v>
      </c>
      <c r="B13" s="108">
        <v>3450</v>
      </c>
      <c r="C13" s="107">
        <v>29127</v>
      </c>
      <c r="D13" s="107">
        <v>29127</v>
      </c>
      <c r="E13" s="106" t="s">
        <v>623</v>
      </c>
      <c r="F13" s="105" t="s">
        <v>590</v>
      </c>
      <c r="G13" s="127">
        <v>21954536</v>
      </c>
      <c r="H13" s="127">
        <v>21504422</v>
      </c>
      <c r="I13" s="127">
        <v>20650022</v>
      </c>
      <c r="J13" s="127">
        <v>21939690</v>
      </c>
      <c r="K13" s="127">
        <v>18376342</v>
      </c>
      <c r="L13" s="127">
        <v>20221135</v>
      </c>
      <c r="M13" s="127">
        <v>20811348</v>
      </c>
      <c r="N13" s="127">
        <v>20032197</v>
      </c>
      <c r="O13" s="126">
        <v>19408403</v>
      </c>
      <c r="P13" s="125">
        <f t="shared" si="0"/>
        <v>19564351.5</v>
      </c>
      <c r="Q13" s="125">
        <f t="shared" si="1"/>
        <v>21617273</v>
      </c>
      <c r="R13" s="64"/>
      <c r="S13" s="90">
        <f>P13*'eskom fuel 2009-YTD'!$P$34/'eskom fuel 2009-YTD'!$P$33/1000000</f>
        <v>19.552765936221682</v>
      </c>
      <c r="T13" s="123">
        <f>SUMIF(NERSA2017!$D$2:$D$131,A13,NERSA2017!$O$2:$O$131)/1000000</f>
        <v>18.703783389999998</v>
      </c>
      <c r="U13" s="64"/>
      <c r="V13" s="64"/>
      <c r="W13" s="64"/>
      <c r="X13" s="64"/>
      <c r="Y13" s="64"/>
      <c r="Z13" s="64"/>
      <c r="AA13" s="64"/>
      <c r="AB13" s="64"/>
      <c r="AC13" s="64"/>
      <c r="AD13" s="64"/>
      <c r="AE13" s="64"/>
    </row>
    <row r="14" spans="1:31" ht="14.1" customHeight="1" x14ac:dyDescent="0.2">
      <c r="A14" s="105" t="s">
        <v>622</v>
      </c>
      <c r="B14" s="108">
        <v>4764</v>
      </c>
      <c r="C14" s="107">
        <v>42238</v>
      </c>
      <c r="D14" s="107">
        <v>42239</v>
      </c>
      <c r="E14" s="106" t="s">
        <v>621</v>
      </c>
      <c r="F14" s="105" t="s">
        <v>590</v>
      </c>
      <c r="G14" s="129"/>
      <c r="H14" s="129"/>
      <c r="I14" s="129"/>
      <c r="J14" s="129"/>
      <c r="K14" s="129"/>
      <c r="L14" s="129"/>
      <c r="M14" s="129"/>
      <c r="N14" s="127">
        <v>2428262</v>
      </c>
      <c r="O14" s="126">
        <v>12365764</v>
      </c>
      <c r="P14" s="133">
        <f>O14*P3</f>
        <v>10139926.479999999</v>
      </c>
      <c r="Q14" s="125">
        <f t="shared" si="1"/>
        <v>0</v>
      </c>
      <c r="R14" s="64"/>
      <c r="S14" s="90">
        <f>P14*'eskom fuel 2009-YTD'!$P$34/'eskom fuel 2009-YTD'!$P$33/1000000</f>
        <v>10.133921846269024</v>
      </c>
      <c r="T14" s="123">
        <f>SUMIF(NERSA2017!$D$2:$D$131,A14,NERSA2017!$O$2:$O$131)/1000000</f>
        <v>7.8446610799999998</v>
      </c>
      <c r="U14" s="64"/>
      <c r="V14" s="64"/>
      <c r="W14" s="64"/>
      <c r="X14" s="64"/>
      <c r="Y14" s="64"/>
      <c r="Z14" s="64"/>
      <c r="AA14" s="64"/>
      <c r="AB14" s="64"/>
      <c r="AC14" s="64"/>
      <c r="AD14" s="64"/>
      <c r="AE14" s="64"/>
    </row>
    <row r="15" spans="1:31" ht="14.1" customHeight="1" x14ac:dyDescent="0.2">
      <c r="A15" s="105" t="s">
        <v>620</v>
      </c>
      <c r="B15" s="108">
        <v>3510</v>
      </c>
      <c r="C15" s="107">
        <v>31199</v>
      </c>
      <c r="D15" s="107">
        <v>31199</v>
      </c>
      <c r="E15" s="106" t="s">
        <v>619</v>
      </c>
      <c r="F15" s="105" t="s">
        <v>590</v>
      </c>
      <c r="G15" s="127">
        <v>19847894</v>
      </c>
      <c r="H15" s="127">
        <v>19067501</v>
      </c>
      <c r="I15" s="127">
        <v>20504886</v>
      </c>
      <c r="J15" s="127">
        <v>19306569</v>
      </c>
      <c r="K15" s="127">
        <v>18103698</v>
      </c>
      <c r="L15" s="127">
        <v>20594572</v>
      </c>
      <c r="M15" s="127">
        <v>18383009</v>
      </c>
      <c r="N15" s="127">
        <v>16028708</v>
      </c>
      <c r="O15" s="126">
        <v>16730961</v>
      </c>
      <c r="P15" s="125">
        <f>3/12*N15+9/12*O15</f>
        <v>16555397.75</v>
      </c>
      <c r="Q15" s="125">
        <f t="shared" si="1"/>
        <v>19606148.25</v>
      </c>
      <c r="R15" s="64"/>
      <c r="S15" s="90">
        <f>P15*'eskom fuel 2009-YTD'!$P$34/'eskom fuel 2009-YTD'!$P$33/1000000</f>
        <v>16.545594020164739</v>
      </c>
      <c r="T15" s="123">
        <f>SUMIF(NERSA2017!$D$2:$D$131,A15,NERSA2017!$O$2:$O$131)/1000000</f>
        <v>16.473325799999998</v>
      </c>
      <c r="U15" s="64"/>
      <c r="V15" s="64"/>
      <c r="W15" s="64"/>
      <c r="X15" s="64"/>
      <c r="Y15" s="64"/>
      <c r="Z15" s="64"/>
      <c r="AA15" s="64"/>
      <c r="AB15" s="64"/>
      <c r="AC15" s="64"/>
      <c r="AD15" s="64"/>
      <c r="AE15" s="64"/>
    </row>
    <row r="16" spans="1:31" ht="14.1" customHeight="1" x14ac:dyDescent="0.2">
      <c r="A16" s="105" t="s">
        <v>559</v>
      </c>
      <c r="B16" s="108"/>
      <c r="C16" s="107"/>
      <c r="D16" s="107"/>
      <c r="E16" s="106"/>
      <c r="F16" s="105"/>
      <c r="G16" s="127"/>
      <c r="H16" s="127"/>
      <c r="I16" s="127"/>
      <c r="J16" s="127"/>
      <c r="K16" s="127"/>
      <c r="L16" s="127"/>
      <c r="M16" s="127"/>
      <c r="N16" s="127"/>
      <c r="O16" s="126"/>
      <c r="P16" s="133">
        <f>S16*1000000</f>
        <v>1379599</v>
      </c>
      <c r="Q16" s="125"/>
      <c r="R16" s="64"/>
      <c r="S16" s="90">
        <f>T16</f>
        <v>1.379599</v>
      </c>
      <c r="T16" s="123">
        <f>SUMIF(NERSA2017!$D$2:$D$131,A16,NERSA2017!$O$2:$O$131)/1000000</f>
        <v>1.379599</v>
      </c>
      <c r="U16" s="64"/>
      <c r="V16" s="64"/>
      <c r="W16" s="64"/>
      <c r="X16" s="64"/>
      <c r="Y16" s="64"/>
      <c r="Z16" s="64"/>
      <c r="AA16" s="64"/>
      <c r="AB16" s="64"/>
      <c r="AC16" s="64"/>
      <c r="AD16" s="64"/>
      <c r="AE16" s="64"/>
    </row>
    <row r="17" spans="1:130" ht="14.1" customHeight="1" x14ac:dyDescent="0.2">
      <c r="A17" s="105" t="s">
        <v>618</v>
      </c>
      <c r="B17" s="108">
        <v>1800</v>
      </c>
      <c r="C17" s="107">
        <v>30884</v>
      </c>
      <c r="D17" s="107">
        <v>30884</v>
      </c>
      <c r="E17" s="106" t="s">
        <v>617</v>
      </c>
      <c r="F17" s="105" t="s">
        <v>590</v>
      </c>
      <c r="G17" s="129"/>
      <c r="H17" s="129"/>
      <c r="I17" s="129"/>
      <c r="J17" s="129"/>
      <c r="K17" s="129"/>
      <c r="L17" s="129"/>
      <c r="M17" s="129"/>
      <c r="N17" s="129"/>
      <c r="O17" s="128">
        <v>14193287</v>
      </c>
      <c r="P17" s="125">
        <f>O17</f>
        <v>14193287</v>
      </c>
      <c r="Q17" s="125">
        <f t="shared" ref="Q17:Q32" si="2">3/12*I17+9/12*J17</f>
        <v>0</v>
      </c>
      <c r="R17" s="64"/>
      <c r="S17" s="90"/>
      <c r="T17" s="123">
        <f>SUMIF(NERSA2017!$D$2:$D$131,A17,NERSA2017!$O$2:$O$131)/1000000</f>
        <v>15.086884</v>
      </c>
      <c r="U17" s="64"/>
      <c r="V17" s="64"/>
      <c r="W17" s="64"/>
      <c r="X17" s="64"/>
      <c r="Y17" s="64"/>
      <c r="Z17" s="64"/>
      <c r="AA17" s="64"/>
      <c r="AB17" s="64"/>
      <c r="AC17" s="64"/>
      <c r="AD17" s="64"/>
      <c r="AE17" s="64"/>
    </row>
    <row r="18" spans="1:130" ht="14.1" customHeight="1" x14ac:dyDescent="0.2">
      <c r="A18" s="105" t="s">
        <v>616</v>
      </c>
      <c r="B18" s="108">
        <v>171</v>
      </c>
      <c r="C18" s="107">
        <v>27893</v>
      </c>
      <c r="D18" s="107">
        <v>27893</v>
      </c>
      <c r="E18" s="106" t="s">
        <v>615</v>
      </c>
      <c r="F18" s="105" t="s">
        <v>590</v>
      </c>
      <c r="G18" s="127">
        <v>2187</v>
      </c>
      <c r="H18" s="132">
        <v>992</v>
      </c>
      <c r="I18" s="127">
        <v>1163</v>
      </c>
      <c r="J18" s="127">
        <v>9958</v>
      </c>
      <c r="K18" s="127">
        <v>56443</v>
      </c>
      <c r="L18" s="127">
        <v>64570</v>
      </c>
      <c r="M18" s="127">
        <v>55960</v>
      </c>
      <c r="N18" s="132">
        <v>151</v>
      </c>
      <c r="O18" s="131">
        <v>76</v>
      </c>
      <c r="P18" s="125">
        <f t="shared" ref="P18:P32" si="3">3/12*N18+9/12*O18</f>
        <v>94.75</v>
      </c>
      <c r="Q18" s="125">
        <f t="shared" si="2"/>
        <v>7759.25</v>
      </c>
      <c r="R18" s="64"/>
      <c r="S18" s="90"/>
      <c r="T18" s="123">
        <f>SUMIF(NERSA2017!$D$2:$D$131,A18,NERSA2017!$O$2:$O$131)/1000000</f>
        <v>7.2999999999999999E-5</v>
      </c>
      <c r="U18" s="356"/>
      <c r="V18" s="356"/>
      <c r="W18" s="356"/>
      <c r="X18" s="356"/>
      <c r="Y18" s="356"/>
      <c r="Z18" s="64"/>
      <c r="AA18" s="64"/>
      <c r="AB18" s="64"/>
      <c r="AC18" s="64"/>
      <c r="AD18" s="64"/>
      <c r="AE18" s="64"/>
    </row>
    <row r="19" spans="1:130" ht="14.1" customHeight="1" x14ac:dyDescent="0.2">
      <c r="A19" s="105" t="s">
        <v>614</v>
      </c>
      <c r="B19" s="119"/>
      <c r="C19" s="107">
        <v>39356</v>
      </c>
      <c r="D19" s="107">
        <v>39356</v>
      </c>
      <c r="E19" s="106" t="s">
        <v>613</v>
      </c>
      <c r="F19" s="105" t="s">
        <v>590</v>
      </c>
      <c r="G19" s="127">
        <v>23367</v>
      </c>
      <c r="H19" s="127">
        <v>130241</v>
      </c>
      <c r="I19" s="127">
        <v>391049</v>
      </c>
      <c r="J19" s="127">
        <v>1225994</v>
      </c>
      <c r="K19" s="127">
        <v>2358259</v>
      </c>
      <c r="L19" s="127">
        <v>2350792</v>
      </c>
      <c r="M19" s="127">
        <v>2503859</v>
      </c>
      <c r="N19" s="127">
        <v>20939</v>
      </c>
      <c r="O19" s="126">
        <v>62963</v>
      </c>
      <c r="P19" s="125">
        <f t="shared" si="3"/>
        <v>52457</v>
      </c>
      <c r="Q19" s="125">
        <f t="shared" si="2"/>
        <v>1017257.75</v>
      </c>
      <c r="R19" s="64"/>
      <c r="S19" s="90"/>
      <c r="T19" s="123">
        <f>SUMIF(NERSA2017!$D$2:$D$131,A19,NERSA2017!$O$2:$O$131)/1000000</f>
        <v>2.2450000000000001E-2</v>
      </c>
      <c r="U19" s="356"/>
      <c r="V19" s="356"/>
      <c r="W19" s="356"/>
      <c r="X19" s="356"/>
      <c r="Y19" s="356"/>
      <c r="Z19" s="64"/>
      <c r="AA19" s="64"/>
      <c r="AB19" s="64"/>
      <c r="AC19" s="64"/>
      <c r="AD19" s="64"/>
      <c r="AE19" s="64"/>
    </row>
    <row r="20" spans="1:130" ht="14.1" customHeight="1" x14ac:dyDescent="0.2">
      <c r="A20" s="105" t="s">
        <v>612</v>
      </c>
      <c r="B20" s="119"/>
      <c r="C20" s="107">
        <v>39356</v>
      </c>
      <c r="D20" s="107">
        <v>39356</v>
      </c>
      <c r="E20" s="106" t="s">
        <v>611</v>
      </c>
      <c r="F20" s="105" t="s">
        <v>590</v>
      </c>
      <c r="G20" s="127">
        <v>22612</v>
      </c>
      <c r="H20" s="127">
        <v>62233</v>
      </c>
      <c r="I20" s="127">
        <v>314651</v>
      </c>
      <c r="J20" s="127">
        <v>657374</v>
      </c>
      <c r="K20" s="127">
        <v>1133246</v>
      </c>
      <c r="L20" s="127">
        <v>1226384</v>
      </c>
      <c r="M20" s="127">
        <v>1307888</v>
      </c>
      <c r="N20" s="127">
        <v>8153</v>
      </c>
      <c r="O20" s="126">
        <v>54495</v>
      </c>
      <c r="P20" s="125">
        <f t="shared" si="3"/>
        <v>42909.5</v>
      </c>
      <c r="Q20" s="125">
        <f t="shared" si="2"/>
        <v>571693.25</v>
      </c>
      <c r="R20" s="64"/>
      <c r="S20" s="90"/>
      <c r="T20" s="123">
        <f>SUMIF(NERSA2017!$D$2:$D$131,A20,NERSA2017!$O$2:$O$131)/1000000</f>
        <v>1.606264E-2</v>
      </c>
      <c r="U20" s="356"/>
      <c r="V20" s="356"/>
      <c r="W20" s="356"/>
      <c r="X20" s="356"/>
      <c r="Y20" s="356"/>
      <c r="Z20" s="64"/>
      <c r="AA20" s="64"/>
      <c r="AB20" s="64"/>
      <c r="AC20" s="64"/>
      <c r="AD20" s="64"/>
      <c r="AE20" s="64"/>
    </row>
    <row r="21" spans="1:130" x14ac:dyDescent="0.2">
      <c r="A21" s="105" t="s">
        <v>610</v>
      </c>
      <c r="B21" s="108">
        <v>171</v>
      </c>
      <c r="C21" s="107">
        <v>28033</v>
      </c>
      <c r="D21" s="107">
        <v>28033</v>
      </c>
      <c r="E21" s="106" t="s">
        <v>609</v>
      </c>
      <c r="F21" s="105" t="s">
        <v>590</v>
      </c>
      <c r="G21" s="132">
        <v>889</v>
      </c>
      <c r="H21" s="127">
        <v>5507</v>
      </c>
      <c r="I21" s="127">
        <v>2162</v>
      </c>
      <c r="J21" s="127">
        <v>10830</v>
      </c>
      <c r="K21" s="127">
        <v>73166</v>
      </c>
      <c r="L21" s="127">
        <v>67421</v>
      </c>
      <c r="M21" s="127">
        <v>68699</v>
      </c>
      <c r="N21" s="132">
        <v>41</v>
      </c>
      <c r="O21" s="131">
        <v>63</v>
      </c>
      <c r="P21" s="125">
        <f t="shared" si="3"/>
        <v>57.5</v>
      </c>
      <c r="Q21" s="125">
        <f t="shared" si="2"/>
        <v>8663</v>
      </c>
      <c r="S21" s="90"/>
      <c r="T21" s="123">
        <f>SUMIF(NERSA2017!$D$2:$D$131,A21,NERSA2017!$O$2:$O$131)/1000000</f>
        <v>6.4999999999999994E-5</v>
      </c>
      <c r="U21" s="356"/>
      <c r="V21" s="356"/>
      <c r="W21" s="356"/>
      <c r="X21" s="356"/>
      <c r="Y21" s="356"/>
      <c r="Z21" s="64"/>
      <c r="AA21" s="64"/>
      <c r="AB21" s="64"/>
      <c r="AC21" s="64"/>
    </row>
    <row r="22" spans="1:130" x14ac:dyDescent="0.2">
      <c r="A22" s="105" t="s">
        <v>608</v>
      </c>
      <c r="B22" s="108">
        <v>42</v>
      </c>
      <c r="C22" s="107">
        <v>31048</v>
      </c>
      <c r="D22" s="107">
        <v>31048</v>
      </c>
      <c r="E22" s="122">
        <v>0</v>
      </c>
      <c r="F22" s="105" t="s">
        <v>590</v>
      </c>
      <c r="G22" s="129"/>
      <c r="H22" s="129"/>
      <c r="I22" s="129"/>
      <c r="J22" s="129"/>
      <c r="K22" s="129"/>
      <c r="L22" s="129"/>
      <c r="M22" s="129"/>
      <c r="N22" s="129"/>
      <c r="O22" s="130"/>
      <c r="P22" s="125">
        <f t="shared" si="3"/>
        <v>0</v>
      </c>
      <c r="Q22" s="125">
        <f t="shared" si="2"/>
        <v>0</v>
      </c>
      <c r="S22" s="90"/>
      <c r="T22" s="123">
        <f>SUMIF(NERSA2017!$D$2:$D$131,A22,NERSA2017!$O$2:$O$131)/1000000</f>
        <v>0</v>
      </c>
      <c r="U22" s="64"/>
      <c r="V22" s="64"/>
      <c r="W22" s="64"/>
      <c r="X22" s="64"/>
      <c r="Y22" s="64"/>
      <c r="Z22" s="64"/>
      <c r="AA22" s="64"/>
      <c r="AB22" s="64"/>
      <c r="AC22" s="64"/>
    </row>
    <row r="23" spans="1:130" x14ac:dyDescent="0.2">
      <c r="A23" s="105" t="s">
        <v>607</v>
      </c>
      <c r="B23" s="108">
        <v>6</v>
      </c>
      <c r="C23" s="107">
        <v>28887</v>
      </c>
      <c r="D23" s="107">
        <v>28887</v>
      </c>
      <c r="E23" s="122">
        <v>0</v>
      </c>
      <c r="F23" s="105" t="s">
        <v>590</v>
      </c>
      <c r="G23" s="129"/>
      <c r="H23" s="129"/>
      <c r="I23" s="129"/>
      <c r="J23" s="129"/>
      <c r="K23" s="129"/>
      <c r="L23" s="129"/>
      <c r="M23" s="129"/>
      <c r="N23" s="129"/>
      <c r="O23" s="130"/>
      <c r="P23" s="125">
        <f t="shared" si="3"/>
        <v>0</v>
      </c>
      <c r="Q23" s="125">
        <f t="shared" si="2"/>
        <v>0</v>
      </c>
      <c r="S23" s="90"/>
      <c r="T23" s="123">
        <f>SUMIF(NERSA2017!$D$2:$D$131,A23,NERSA2017!$O$2:$O$131)/1000000</f>
        <v>0</v>
      </c>
      <c r="U23" s="64"/>
      <c r="V23" s="64"/>
      <c r="W23" s="64"/>
      <c r="X23" s="64"/>
      <c r="Y23" s="64"/>
      <c r="Z23" s="64"/>
      <c r="AA23" s="64"/>
      <c r="AB23" s="64"/>
      <c r="AC23" s="64"/>
    </row>
    <row r="24" spans="1:130" ht="14.1" customHeight="1" x14ac:dyDescent="0.2">
      <c r="A24" s="105" t="s">
        <v>606</v>
      </c>
      <c r="B24" s="108">
        <v>360</v>
      </c>
      <c r="C24" s="107">
        <v>26184</v>
      </c>
      <c r="D24" s="107">
        <v>26184</v>
      </c>
      <c r="E24" s="106" t="s">
        <v>605</v>
      </c>
      <c r="F24" s="105" t="s">
        <v>590</v>
      </c>
      <c r="G24" s="129"/>
      <c r="H24" s="129"/>
      <c r="I24" s="129"/>
      <c r="J24" s="129"/>
      <c r="K24" s="129"/>
      <c r="L24" s="129"/>
      <c r="M24" s="129"/>
      <c r="N24" s="129"/>
      <c r="O24" s="128">
        <v>341174</v>
      </c>
      <c r="P24" s="125">
        <f t="shared" si="3"/>
        <v>255880.5</v>
      </c>
      <c r="Q24" s="125">
        <f t="shared" si="2"/>
        <v>0</v>
      </c>
      <c r="R24" s="64"/>
      <c r="S24" s="90"/>
      <c r="T24" s="123">
        <f>SUMIF(NERSA2017!$D$2:$D$131,A24,NERSA2017!$O$2:$O$131)/1000000</f>
        <v>0.34170116000000006</v>
      </c>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row>
    <row r="25" spans="1:130" ht="14.1" customHeight="1" x14ac:dyDescent="0.2">
      <c r="A25" s="105" t="s">
        <v>604</v>
      </c>
      <c r="B25" s="108">
        <v>2</v>
      </c>
      <c r="C25" s="107">
        <v>30376</v>
      </c>
      <c r="D25" s="107">
        <v>30376</v>
      </c>
      <c r="E25" s="122">
        <v>0</v>
      </c>
      <c r="F25" s="105" t="s">
        <v>590</v>
      </c>
      <c r="G25" s="129"/>
      <c r="H25" s="129"/>
      <c r="I25" s="129"/>
      <c r="J25" s="129"/>
      <c r="K25" s="129"/>
      <c r="L25" s="129"/>
      <c r="M25" s="129"/>
      <c r="N25" s="129"/>
      <c r="O25" s="130"/>
      <c r="P25" s="125">
        <f t="shared" si="3"/>
        <v>0</v>
      </c>
      <c r="Q25" s="125">
        <f t="shared" si="2"/>
        <v>0</v>
      </c>
      <c r="R25" s="64"/>
      <c r="S25" s="90"/>
      <c r="T25" s="123">
        <f>SUMIF(NERSA2017!$D$2:$D$131,A25,NERSA2017!$O$2:$O$131)/1000000</f>
        <v>1.7395432999999995E-3</v>
      </c>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row>
    <row r="26" spans="1:130" ht="14.1" customHeight="1" x14ac:dyDescent="0.2">
      <c r="A26" s="105" t="s">
        <v>603</v>
      </c>
      <c r="B26" s="108">
        <v>11</v>
      </c>
      <c r="C26" s="107">
        <v>28946</v>
      </c>
      <c r="D26" s="107">
        <v>28946</v>
      </c>
      <c r="E26" s="122">
        <v>0</v>
      </c>
      <c r="F26" s="105" t="s">
        <v>590</v>
      </c>
      <c r="G26" s="129"/>
      <c r="H26" s="129"/>
      <c r="I26" s="129"/>
      <c r="J26" s="129"/>
      <c r="K26" s="129"/>
      <c r="L26" s="129"/>
      <c r="M26" s="129"/>
      <c r="N26" s="129"/>
      <c r="O26" s="130"/>
      <c r="P26" s="125">
        <f t="shared" si="3"/>
        <v>0</v>
      </c>
      <c r="Q26" s="125">
        <f t="shared" si="2"/>
        <v>0</v>
      </c>
      <c r="S26" s="90"/>
      <c r="T26" s="123">
        <f>SUMIF(NERSA2017!$D$2:$D$131,A26,NERSA2017!$O$2:$O$131)/1000000</f>
        <v>0</v>
      </c>
    </row>
    <row r="27" spans="1:130" ht="14.1" customHeight="1" x14ac:dyDescent="0.2">
      <c r="A27" s="105" t="s">
        <v>602</v>
      </c>
      <c r="B27" s="108">
        <v>240</v>
      </c>
      <c r="C27" s="107">
        <v>28126</v>
      </c>
      <c r="D27" s="107">
        <v>28126</v>
      </c>
      <c r="E27" s="106" t="s">
        <v>601</v>
      </c>
      <c r="F27" s="105" t="s">
        <v>590</v>
      </c>
      <c r="G27" s="129"/>
      <c r="H27" s="129"/>
      <c r="I27" s="129"/>
      <c r="J27" s="129"/>
      <c r="K27" s="129"/>
      <c r="L27" s="129"/>
      <c r="M27" s="129"/>
      <c r="N27" s="129"/>
      <c r="O27" s="130"/>
      <c r="P27" s="125">
        <f t="shared" si="3"/>
        <v>0</v>
      </c>
      <c r="Q27" s="125">
        <f t="shared" si="2"/>
        <v>0</v>
      </c>
      <c r="S27" s="90"/>
      <c r="T27" s="123">
        <f>SUMIF(NERSA2017!$D$2:$D$131,A27,NERSA2017!$O$2:$O$131)/1000000</f>
        <v>0</v>
      </c>
    </row>
    <row r="28" spans="1:130" ht="14.1" customHeight="1" x14ac:dyDescent="0.2">
      <c r="A28" s="105" t="s">
        <v>600</v>
      </c>
      <c r="B28" s="108">
        <v>1000</v>
      </c>
      <c r="C28" s="107">
        <v>29754</v>
      </c>
      <c r="D28" s="107">
        <v>29754</v>
      </c>
      <c r="E28" s="106" t="s">
        <v>599</v>
      </c>
      <c r="F28" s="105" t="s">
        <v>590</v>
      </c>
      <c r="G28" s="129"/>
      <c r="H28" s="129"/>
      <c r="I28" s="129"/>
      <c r="J28" s="129"/>
      <c r="K28" s="129"/>
      <c r="L28" s="129"/>
      <c r="M28" s="129"/>
      <c r="N28" s="129"/>
      <c r="O28" s="128">
        <v>1464051</v>
      </c>
      <c r="P28" s="125">
        <f t="shared" si="3"/>
        <v>1098038.25</v>
      </c>
      <c r="Q28" s="125">
        <f t="shared" si="2"/>
        <v>0</v>
      </c>
      <c r="S28" s="90"/>
      <c r="T28" s="123">
        <f>SUMIF(NERSA2017!$D$2:$D$131,A28,NERSA2017!$O$2:$O$131)/1000000</f>
        <v>-0.88552982000000002</v>
      </c>
    </row>
    <row r="29" spans="1:130" ht="14.1" customHeight="1" x14ac:dyDescent="0.2">
      <c r="A29" s="105" t="s">
        <v>598</v>
      </c>
      <c r="B29" s="108">
        <v>400</v>
      </c>
      <c r="C29" s="107">
        <v>32251</v>
      </c>
      <c r="D29" s="107">
        <v>32251</v>
      </c>
      <c r="E29" s="106" t="s">
        <v>597</v>
      </c>
      <c r="F29" s="105" t="s">
        <v>590</v>
      </c>
      <c r="G29" s="129"/>
      <c r="H29" s="129"/>
      <c r="I29" s="129"/>
      <c r="J29" s="129"/>
      <c r="K29" s="129"/>
      <c r="L29" s="129"/>
      <c r="M29" s="129"/>
      <c r="N29" s="129"/>
      <c r="O29" s="128">
        <v>705005</v>
      </c>
      <c r="P29" s="125">
        <f t="shared" si="3"/>
        <v>528753.75</v>
      </c>
      <c r="Q29" s="125">
        <f t="shared" si="2"/>
        <v>0</v>
      </c>
      <c r="S29" s="90"/>
      <c r="T29" s="123">
        <f>SUMIF(NERSA2017!$D$2:$D$131,A29,NERSA2017!$O$2:$O$131)/1000000</f>
        <v>-0.18672351000000001</v>
      </c>
    </row>
    <row r="30" spans="1:130" ht="14.1" customHeight="1" x14ac:dyDescent="0.2">
      <c r="A30" s="105" t="s">
        <v>596</v>
      </c>
      <c r="B30" s="108">
        <v>1600</v>
      </c>
      <c r="C30" s="107">
        <v>24462</v>
      </c>
      <c r="D30" s="107">
        <v>38504</v>
      </c>
      <c r="E30" s="106" t="s">
        <v>595</v>
      </c>
      <c r="F30" s="105" t="s">
        <v>590</v>
      </c>
      <c r="G30" s="127">
        <v>7472070</v>
      </c>
      <c r="H30" s="127">
        <v>7490836</v>
      </c>
      <c r="I30" s="127">
        <v>7267648</v>
      </c>
      <c r="J30" s="127">
        <v>8379789</v>
      </c>
      <c r="K30" s="127">
        <v>8727143</v>
      </c>
      <c r="L30" s="127">
        <v>8336111</v>
      </c>
      <c r="M30" s="127">
        <v>7947972</v>
      </c>
      <c r="N30" s="127">
        <v>7763734</v>
      </c>
      <c r="O30" s="126">
        <v>6777927</v>
      </c>
      <c r="P30" s="125">
        <f t="shared" si="3"/>
        <v>7024378.75</v>
      </c>
      <c r="Q30" s="125">
        <f t="shared" si="2"/>
        <v>8101753.75</v>
      </c>
      <c r="S30" s="90">
        <f>P30*'eskom fuel 2009-YTD'!$P$34/'eskom fuel 2009-YTD'!$P$33/1000000</f>
        <v>7.0202190727415328</v>
      </c>
      <c r="T30" s="123">
        <f>SUMIF(NERSA2017!$D$2:$D$131,A30,NERSA2017!$O$2:$O$131)/1000000</f>
        <v>6.6586663899999987</v>
      </c>
    </row>
    <row r="31" spans="1:130" ht="14.1" customHeight="1" x14ac:dyDescent="0.2">
      <c r="A31" s="105" t="s">
        <v>594</v>
      </c>
      <c r="B31" s="108">
        <v>1200</v>
      </c>
      <c r="C31" s="107">
        <v>25384</v>
      </c>
      <c r="D31" s="107">
        <v>25384</v>
      </c>
      <c r="E31" s="106" t="s">
        <v>593</v>
      </c>
      <c r="F31" s="105" t="s">
        <v>590</v>
      </c>
      <c r="G31" s="127">
        <v>2656230</v>
      </c>
      <c r="H31" s="127">
        <v>3546952</v>
      </c>
      <c r="I31" s="127">
        <v>6094910</v>
      </c>
      <c r="J31" s="127">
        <v>5491180</v>
      </c>
      <c r="K31" s="127">
        <v>7345967</v>
      </c>
      <c r="L31" s="127">
        <v>6144207</v>
      </c>
      <c r="M31" s="127">
        <v>5273434</v>
      </c>
      <c r="N31" s="127">
        <v>4545234</v>
      </c>
      <c r="O31" s="126">
        <v>3295218</v>
      </c>
      <c r="P31" s="125">
        <f t="shared" si="3"/>
        <v>3607722</v>
      </c>
      <c r="Q31" s="125">
        <f t="shared" si="2"/>
        <v>5642112.5</v>
      </c>
      <c r="S31" s="90">
        <f>P31*'eskom fuel 2009-YTD'!$P$34/'eskom fuel 2009-YTD'!$P$33/1000000</f>
        <v>3.6055855891240527</v>
      </c>
      <c r="T31" s="123">
        <f>SUMIF(NERSA2017!$D$2:$D$131,A31,NERSA2017!$O$2:$O$131)/1000000</f>
        <v>3.5216568700000006</v>
      </c>
    </row>
    <row r="32" spans="1:130" ht="14.1" customHeight="1" x14ac:dyDescent="0.2">
      <c r="A32" s="105" t="s">
        <v>592</v>
      </c>
      <c r="B32" s="108">
        <v>1000</v>
      </c>
      <c r="C32" s="107">
        <v>22591</v>
      </c>
      <c r="D32" s="107">
        <v>22591</v>
      </c>
      <c r="E32" s="106" t="s">
        <v>591</v>
      </c>
      <c r="F32" s="105" t="s">
        <v>590</v>
      </c>
      <c r="G32" s="127">
        <v>1016023</v>
      </c>
      <c r="H32" s="127">
        <v>2060141</v>
      </c>
      <c r="I32" s="127">
        <v>2398132</v>
      </c>
      <c r="J32" s="127">
        <v>4104105</v>
      </c>
      <c r="K32" s="127">
        <v>5059255</v>
      </c>
      <c r="L32" s="127">
        <v>4066079</v>
      </c>
      <c r="M32" s="127">
        <v>4241812</v>
      </c>
      <c r="N32" s="127">
        <v>4123522</v>
      </c>
      <c r="O32" s="126">
        <v>2209493</v>
      </c>
      <c r="P32" s="125">
        <f t="shared" si="3"/>
        <v>2688000.25</v>
      </c>
      <c r="Q32" s="125">
        <f t="shared" si="2"/>
        <v>3677611.75</v>
      </c>
      <c r="S32" s="90">
        <f>P32*'eskom fuel 2009-YTD'!$P$34/'eskom fuel 2009-YTD'!$P$33/1000000</f>
        <v>2.6864084774164558</v>
      </c>
      <c r="T32" s="123">
        <f>SUMIF(NERSA2017!$D$2:$D$131,A32,NERSA2017!$O$2:$O$131)/1000000</f>
        <v>2.41877633</v>
      </c>
    </row>
    <row r="33" spans="1:22" ht="14.1" customHeight="1" x14ac:dyDescent="0.2">
      <c r="A33" s="120"/>
      <c r="B33" s="119"/>
      <c r="C33" s="119"/>
      <c r="D33" s="119"/>
      <c r="E33" s="119"/>
      <c r="F33" s="119"/>
      <c r="G33" s="361"/>
      <c r="H33" s="362"/>
      <c r="I33" s="362"/>
      <c r="J33" s="362"/>
      <c r="K33" s="362"/>
      <c r="L33" s="362"/>
      <c r="M33" s="362"/>
      <c r="N33" s="362"/>
      <c r="O33" s="118"/>
      <c r="P33" s="101">
        <f>SUM(P5:P32)/1000000</f>
        <v>215.96330573</v>
      </c>
      <c r="T33" s="123"/>
    </row>
    <row r="34" spans="1:22" x14ac:dyDescent="0.2">
      <c r="N34" s="101" t="s">
        <v>589</v>
      </c>
      <c r="O34" s="124">
        <f>(SUM(O5:O15)+SUM(O30:O32))/1000000</f>
        <v>198.375956</v>
      </c>
      <c r="P34" s="124">
        <f>(SUM(P5:P16)+SUM(P30:P32))/1000000</f>
        <v>199.79182747999999</v>
      </c>
      <c r="R34" s="101" t="s">
        <v>588</v>
      </c>
      <c r="S34" s="90">
        <f>SUM(S5:S32)</f>
        <v>199.67433227309505</v>
      </c>
      <c r="T34" s="123">
        <f>SUM(T5:T16)+SUM(T30:T32)</f>
        <v>196.63039812000002</v>
      </c>
    </row>
    <row r="35" spans="1:22" x14ac:dyDescent="0.2">
      <c r="A35" s="105" t="s">
        <v>458</v>
      </c>
      <c r="B35" s="108">
        <v>1980</v>
      </c>
      <c r="C35" s="107">
        <v>26197</v>
      </c>
      <c r="D35" s="107">
        <v>26197</v>
      </c>
      <c r="E35" s="106" t="s">
        <v>556</v>
      </c>
      <c r="F35" s="105" t="s">
        <v>564</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531</v>
      </c>
      <c r="S35" s="90">
        <f>NERSA2018!K150/1000000</f>
        <v>1.707095</v>
      </c>
      <c r="T35" s="123"/>
      <c r="U35" s="114"/>
      <c r="V35" s="117"/>
    </row>
    <row r="36" spans="1:22" x14ac:dyDescent="0.2">
      <c r="A36" s="105" t="s">
        <v>508</v>
      </c>
      <c r="B36" s="108">
        <v>3450</v>
      </c>
      <c r="C36" s="107">
        <v>29238</v>
      </c>
      <c r="D36" s="107">
        <v>29238</v>
      </c>
      <c r="E36" s="106" t="s">
        <v>555</v>
      </c>
      <c r="F36" s="105" t="s">
        <v>564</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587</v>
      </c>
      <c r="S36" s="90">
        <f>S35+S34</f>
        <v>201.38142727309506</v>
      </c>
      <c r="T36" s="123"/>
      <c r="U36" s="114"/>
      <c r="V36" s="117"/>
    </row>
    <row r="37" spans="1:22" x14ac:dyDescent="0.2">
      <c r="A37" s="105" t="s">
        <v>451</v>
      </c>
      <c r="B37" s="108">
        <v>1895</v>
      </c>
      <c r="C37" s="107">
        <v>25700</v>
      </c>
      <c r="D37" s="107">
        <v>25700</v>
      </c>
      <c r="E37" s="106" t="s">
        <v>554</v>
      </c>
      <c r="F37" s="105" t="s">
        <v>564</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558</v>
      </c>
      <c r="S37" s="90">
        <f>HistoricalDispatch!B4/1000000</f>
        <v>201.59838799999949</v>
      </c>
      <c r="T37" s="123"/>
      <c r="U37" s="114"/>
      <c r="V37" s="117"/>
    </row>
    <row r="38" spans="1:22" x14ac:dyDescent="0.2">
      <c r="A38" s="105" t="s">
        <v>497</v>
      </c>
      <c r="B38" s="108">
        <v>3840</v>
      </c>
      <c r="C38" s="107">
        <v>32417</v>
      </c>
      <c r="D38" s="107">
        <v>32417</v>
      </c>
      <c r="E38" s="106" t="s">
        <v>553</v>
      </c>
      <c r="F38" s="105" t="s">
        <v>564</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S38" s="114"/>
      <c r="T38" s="114"/>
      <c r="U38" s="114"/>
      <c r="V38" s="117"/>
    </row>
    <row r="39" spans="1:22" x14ac:dyDescent="0.2">
      <c r="A39" s="105" t="s">
        <v>452</v>
      </c>
      <c r="B39" s="108">
        <v>2850</v>
      </c>
      <c r="C39" s="107">
        <v>27886</v>
      </c>
      <c r="D39" s="107">
        <v>27886</v>
      </c>
      <c r="E39" s="106" t="s">
        <v>552</v>
      </c>
      <c r="F39" s="105" t="s">
        <v>564</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S39" s="114"/>
      <c r="T39" s="114"/>
      <c r="U39" s="114"/>
      <c r="V39" s="117"/>
    </row>
    <row r="40" spans="1:22" x14ac:dyDescent="0.2">
      <c r="A40" s="105" t="s">
        <v>483</v>
      </c>
      <c r="B40" s="108">
        <v>3558</v>
      </c>
      <c r="C40" s="107">
        <v>31403</v>
      </c>
      <c r="D40" s="107">
        <v>31403</v>
      </c>
      <c r="E40" s="106" t="s">
        <v>551</v>
      </c>
      <c r="F40" s="105" t="s">
        <v>564</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S40" s="114"/>
      <c r="T40" s="114"/>
      <c r="U40" s="114"/>
      <c r="V40" s="117"/>
    </row>
    <row r="41" spans="1:22" x14ac:dyDescent="0.2">
      <c r="A41" s="105" t="s">
        <v>476</v>
      </c>
      <c r="B41" s="108">
        <v>3690</v>
      </c>
      <c r="C41" s="107">
        <v>32115</v>
      </c>
      <c r="D41" s="107">
        <v>32115</v>
      </c>
      <c r="E41" s="106" t="s">
        <v>550</v>
      </c>
      <c r="F41" s="105" t="s">
        <v>564</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S41" s="114"/>
      <c r="T41" s="114"/>
      <c r="U41" s="114"/>
      <c r="V41" s="117"/>
    </row>
    <row r="42" spans="1:22" x14ac:dyDescent="0.2">
      <c r="A42" s="105" t="s">
        <v>449</v>
      </c>
      <c r="B42" s="108">
        <v>3843</v>
      </c>
      <c r="C42" s="107">
        <v>35156</v>
      </c>
      <c r="D42" s="107">
        <v>35156</v>
      </c>
      <c r="E42" s="106" t="s">
        <v>549</v>
      </c>
      <c r="F42" s="105" t="s">
        <v>564</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S42" s="114"/>
      <c r="T42" s="114"/>
      <c r="U42" s="114"/>
      <c r="V42" s="117"/>
    </row>
    <row r="43" spans="1:22" x14ac:dyDescent="0.2">
      <c r="A43" s="105" t="s">
        <v>455</v>
      </c>
      <c r="B43" s="108">
        <v>3450</v>
      </c>
      <c r="C43" s="107">
        <v>29127</v>
      </c>
      <c r="D43" s="107">
        <v>29127</v>
      </c>
      <c r="E43" s="106" t="s">
        <v>548</v>
      </c>
      <c r="F43" s="105" t="s">
        <v>564</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S43" s="114"/>
      <c r="T43" s="114"/>
      <c r="U43" s="114"/>
      <c r="V43" s="117"/>
    </row>
    <row r="44" spans="1:22" x14ac:dyDescent="0.2">
      <c r="A44" s="105" t="s">
        <v>468</v>
      </c>
      <c r="B44" s="108">
        <v>4764</v>
      </c>
      <c r="C44" s="107">
        <v>42238</v>
      </c>
      <c r="D44" s="107">
        <v>42239</v>
      </c>
      <c r="E44" s="106" t="s">
        <v>547</v>
      </c>
      <c r="F44" s="105" t="s">
        <v>564</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S44" s="114"/>
      <c r="T44" s="114"/>
      <c r="U44" s="114"/>
      <c r="V44" s="117"/>
    </row>
    <row r="45" spans="1:22" x14ac:dyDescent="0.2">
      <c r="A45" s="105" t="s">
        <v>460</v>
      </c>
      <c r="B45" s="108">
        <v>3510</v>
      </c>
      <c r="C45" s="107">
        <v>31199</v>
      </c>
      <c r="D45" s="107">
        <v>31199</v>
      </c>
      <c r="E45" s="106" t="s">
        <v>546</v>
      </c>
      <c r="F45" s="105" t="s">
        <v>564</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S45" s="114"/>
      <c r="T45" s="114"/>
      <c r="U45" s="114"/>
      <c r="V45" s="117"/>
    </row>
    <row r="46" spans="1:22" x14ac:dyDescent="0.2">
      <c r="A46" s="105" t="s">
        <v>559</v>
      </c>
      <c r="B46" s="108"/>
      <c r="C46" s="107"/>
      <c r="D46" s="107"/>
      <c r="E46" s="106"/>
      <c r="F46" s="105"/>
      <c r="G46" s="104"/>
      <c r="H46" s="104"/>
      <c r="I46" s="104"/>
      <c r="J46" s="104"/>
      <c r="K46" s="104"/>
      <c r="L46" s="104"/>
      <c r="M46" s="104"/>
      <c r="N46" s="104"/>
      <c r="O46" s="104"/>
      <c r="P46" s="104">
        <f>(P16*3.6)/('eskom fuel 2009-YTD'!P16*'eskom fuel 2009-YTD'!P55)</f>
        <v>0.37100000000000005</v>
      </c>
      <c r="S46" s="114"/>
      <c r="T46" s="114"/>
      <c r="U46" s="114"/>
      <c r="V46" s="117"/>
    </row>
    <row r="47" spans="1:22" x14ac:dyDescent="0.2">
      <c r="A47" s="105" t="s">
        <v>586</v>
      </c>
      <c r="B47" s="108">
        <v>1800</v>
      </c>
      <c r="C47" s="107">
        <v>30884</v>
      </c>
      <c r="D47" s="107">
        <v>30884</v>
      </c>
      <c r="E47" s="106" t="s">
        <v>585</v>
      </c>
      <c r="F47" s="105" t="s">
        <v>564</v>
      </c>
      <c r="G47" s="121"/>
      <c r="H47" s="121"/>
      <c r="I47" s="121"/>
      <c r="J47" s="121"/>
      <c r="K47" s="121"/>
      <c r="L47" s="121"/>
      <c r="M47" s="121"/>
      <c r="N47" s="121"/>
      <c r="O47" s="121"/>
      <c r="P47" s="104"/>
      <c r="S47" s="114"/>
      <c r="T47" s="114"/>
      <c r="U47" s="114"/>
      <c r="V47" s="117"/>
    </row>
    <row r="48" spans="1:22" x14ac:dyDescent="0.2">
      <c r="A48" s="105" t="s">
        <v>584</v>
      </c>
      <c r="B48" s="108">
        <v>171</v>
      </c>
      <c r="C48" s="107">
        <v>27893</v>
      </c>
      <c r="D48" s="107">
        <v>27893</v>
      </c>
      <c r="E48" s="106" t="s">
        <v>583</v>
      </c>
      <c r="F48" s="105" t="s">
        <v>564</v>
      </c>
      <c r="G48" s="121"/>
      <c r="H48" s="121"/>
      <c r="I48" s="121"/>
      <c r="J48" s="121"/>
      <c r="K48" s="121"/>
      <c r="L48" s="121"/>
      <c r="M48" s="121"/>
      <c r="N48" s="121"/>
      <c r="O48" s="121"/>
      <c r="P48" s="104"/>
      <c r="S48" s="114"/>
      <c r="T48" s="114"/>
      <c r="U48" s="114"/>
      <c r="V48" s="117"/>
    </row>
    <row r="49" spans="1:22" x14ac:dyDescent="0.2">
      <c r="A49" s="105" t="s">
        <v>582</v>
      </c>
      <c r="B49" s="119"/>
      <c r="C49" s="107">
        <v>39356</v>
      </c>
      <c r="D49" s="107">
        <v>39356</v>
      </c>
      <c r="E49" s="106" t="s">
        <v>581</v>
      </c>
      <c r="F49" s="105" t="s">
        <v>564</v>
      </c>
      <c r="G49" s="121"/>
      <c r="H49" s="121"/>
      <c r="I49" s="121"/>
      <c r="J49" s="121"/>
      <c r="K49" s="121"/>
      <c r="L49" s="121"/>
      <c r="M49" s="121"/>
      <c r="N49" s="121"/>
      <c r="O49" s="121"/>
      <c r="P49" s="104"/>
      <c r="S49" s="114"/>
      <c r="T49" s="114"/>
      <c r="U49" s="114"/>
      <c r="V49" s="117"/>
    </row>
    <row r="50" spans="1:22" x14ac:dyDescent="0.2">
      <c r="A50" s="105" t="s">
        <v>580</v>
      </c>
      <c r="B50" s="119"/>
      <c r="C50" s="107">
        <v>39356</v>
      </c>
      <c r="D50" s="107">
        <v>39356</v>
      </c>
      <c r="E50" s="106" t="s">
        <v>579</v>
      </c>
      <c r="F50" s="105" t="s">
        <v>564</v>
      </c>
      <c r="G50" s="121"/>
      <c r="H50" s="121"/>
      <c r="I50" s="121"/>
      <c r="J50" s="121"/>
      <c r="K50" s="121"/>
      <c r="L50" s="121"/>
      <c r="M50" s="121"/>
      <c r="N50" s="121"/>
      <c r="O50" s="121"/>
      <c r="P50" s="104"/>
      <c r="S50" s="114"/>
      <c r="T50" s="114"/>
      <c r="U50" s="114"/>
      <c r="V50" s="117"/>
    </row>
    <row r="51" spans="1:22" x14ac:dyDescent="0.2">
      <c r="A51" s="105" t="s">
        <v>578</v>
      </c>
      <c r="B51" s="108">
        <v>171</v>
      </c>
      <c r="C51" s="107">
        <v>28033</v>
      </c>
      <c r="D51" s="107">
        <v>28033</v>
      </c>
      <c r="E51" s="106" t="s">
        <v>577</v>
      </c>
      <c r="F51" s="105" t="s">
        <v>564</v>
      </c>
      <c r="G51" s="121"/>
      <c r="H51" s="121"/>
      <c r="I51" s="121"/>
      <c r="J51" s="121"/>
      <c r="K51" s="121"/>
      <c r="L51" s="121"/>
      <c r="M51" s="121"/>
      <c r="N51" s="121"/>
      <c r="O51" s="121"/>
      <c r="P51" s="104"/>
      <c r="S51" s="114"/>
      <c r="T51" s="114"/>
      <c r="U51" s="114"/>
      <c r="V51" s="117"/>
    </row>
    <row r="52" spans="1:22" x14ac:dyDescent="0.2">
      <c r="A52" s="105" t="s">
        <v>576</v>
      </c>
      <c r="B52" s="108">
        <v>42</v>
      </c>
      <c r="C52" s="107">
        <v>31048</v>
      </c>
      <c r="D52" s="107">
        <v>31048</v>
      </c>
      <c r="E52" s="122">
        <v>0</v>
      </c>
      <c r="F52" s="105" t="s">
        <v>564</v>
      </c>
      <c r="G52" s="121"/>
      <c r="H52" s="121"/>
      <c r="I52" s="121"/>
      <c r="J52" s="121"/>
      <c r="K52" s="121"/>
      <c r="L52" s="121"/>
      <c r="M52" s="121"/>
      <c r="N52" s="121"/>
      <c r="O52" s="121"/>
      <c r="P52" s="104"/>
      <c r="S52" s="114"/>
      <c r="T52" s="114"/>
      <c r="U52" s="114"/>
      <c r="V52" s="117"/>
    </row>
    <row r="53" spans="1:22" x14ac:dyDescent="0.2">
      <c r="A53" s="105" t="s">
        <v>575</v>
      </c>
      <c r="B53" s="108">
        <v>6</v>
      </c>
      <c r="C53" s="107">
        <v>28887</v>
      </c>
      <c r="D53" s="107">
        <v>28887</v>
      </c>
      <c r="E53" s="122">
        <v>0</v>
      </c>
      <c r="F53" s="105" t="s">
        <v>564</v>
      </c>
      <c r="G53" s="121"/>
      <c r="H53" s="121"/>
      <c r="I53" s="121"/>
      <c r="J53" s="121"/>
      <c r="K53" s="121"/>
      <c r="L53" s="121"/>
      <c r="M53" s="121"/>
      <c r="N53" s="121"/>
      <c r="O53" s="121"/>
      <c r="P53" s="104"/>
      <c r="S53" s="114"/>
      <c r="T53" s="114"/>
      <c r="U53" s="114"/>
      <c r="V53" s="117"/>
    </row>
    <row r="54" spans="1:22" x14ac:dyDescent="0.2">
      <c r="A54" s="105" t="s">
        <v>574</v>
      </c>
      <c r="B54" s="108">
        <v>360</v>
      </c>
      <c r="C54" s="107">
        <v>26184</v>
      </c>
      <c r="D54" s="107">
        <v>26184</v>
      </c>
      <c r="E54" s="106" t="s">
        <v>573</v>
      </c>
      <c r="F54" s="105" t="s">
        <v>564</v>
      </c>
      <c r="G54" s="121"/>
      <c r="H54" s="121"/>
      <c r="I54" s="121"/>
      <c r="J54" s="121"/>
      <c r="K54" s="121"/>
      <c r="L54" s="121"/>
      <c r="M54" s="121"/>
      <c r="N54" s="121"/>
      <c r="O54" s="121"/>
      <c r="P54" s="104"/>
      <c r="S54" s="114"/>
      <c r="T54" s="114"/>
      <c r="U54" s="114"/>
      <c r="V54" s="117"/>
    </row>
    <row r="55" spans="1:22" x14ac:dyDescent="0.2">
      <c r="A55" s="105" t="s">
        <v>572</v>
      </c>
      <c r="B55" s="108">
        <v>2</v>
      </c>
      <c r="C55" s="107">
        <v>30376</v>
      </c>
      <c r="D55" s="107">
        <v>30376</v>
      </c>
      <c r="E55" s="122">
        <v>0</v>
      </c>
      <c r="F55" s="105" t="s">
        <v>564</v>
      </c>
      <c r="G55" s="121"/>
      <c r="H55" s="121"/>
      <c r="I55" s="121"/>
      <c r="J55" s="121"/>
      <c r="K55" s="121"/>
      <c r="L55" s="121"/>
      <c r="M55" s="121"/>
      <c r="N55" s="121"/>
      <c r="O55" s="121"/>
      <c r="P55" s="104"/>
      <c r="S55" s="114"/>
      <c r="T55" s="114"/>
      <c r="U55" s="114"/>
      <c r="V55" s="117"/>
    </row>
    <row r="56" spans="1:22" x14ac:dyDescent="0.2">
      <c r="A56" s="105" t="s">
        <v>571</v>
      </c>
      <c r="B56" s="108">
        <v>11</v>
      </c>
      <c r="C56" s="107">
        <v>28946</v>
      </c>
      <c r="D56" s="107">
        <v>28946</v>
      </c>
      <c r="E56" s="122">
        <v>0</v>
      </c>
      <c r="F56" s="105" t="s">
        <v>564</v>
      </c>
      <c r="G56" s="121"/>
      <c r="H56" s="121"/>
      <c r="I56" s="121"/>
      <c r="J56" s="121"/>
      <c r="K56" s="121"/>
      <c r="L56" s="121"/>
      <c r="M56" s="121"/>
      <c r="N56" s="121"/>
      <c r="O56" s="121"/>
      <c r="P56" s="104"/>
      <c r="S56" s="114"/>
      <c r="T56" s="114"/>
      <c r="U56" s="114"/>
      <c r="V56" s="117"/>
    </row>
    <row r="57" spans="1:22" x14ac:dyDescent="0.2">
      <c r="A57" s="105" t="s">
        <v>570</v>
      </c>
      <c r="B57" s="108">
        <v>240</v>
      </c>
      <c r="C57" s="107">
        <v>28126</v>
      </c>
      <c r="D57" s="107">
        <v>28126</v>
      </c>
      <c r="E57" s="106" t="s">
        <v>569</v>
      </c>
      <c r="F57" s="105" t="s">
        <v>564</v>
      </c>
      <c r="G57" s="121"/>
      <c r="H57" s="121"/>
      <c r="I57" s="121"/>
      <c r="J57" s="121"/>
      <c r="K57" s="121"/>
      <c r="L57" s="121"/>
      <c r="M57" s="121"/>
      <c r="N57" s="121"/>
      <c r="O57" s="121"/>
      <c r="P57" s="104"/>
      <c r="S57" s="114"/>
      <c r="T57" s="114"/>
      <c r="U57" s="114"/>
      <c r="V57" s="117"/>
    </row>
    <row r="58" spans="1:22" x14ac:dyDescent="0.2">
      <c r="A58" s="105" t="s">
        <v>568</v>
      </c>
      <c r="B58" s="108">
        <v>1000</v>
      </c>
      <c r="C58" s="107">
        <v>29754</v>
      </c>
      <c r="D58" s="107">
        <v>29754</v>
      </c>
      <c r="E58" s="106" t="s">
        <v>567</v>
      </c>
      <c r="F58" s="105" t="s">
        <v>564</v>
      </c>
      <c r="G58" s="121"/>
      <c r="H58" s="121"/>
      <c r="I58" s="121"/>
      <c r="J58" s="121"/>
      <c r="K58" s="121"/>
      <c r="L58" s="121"/>
      <c r="M58" s="121"/>
      <c r="N58" s="121"/>
      <c r="O58" s="121"/>
      <c r="P58" s="104"/>
      <c r="S58" s="114"/>
      <c r="T58" s="114"/>
      <c r="U58" s="114"/>
      <c r="V58" s="117"/>
    </row>
    <row r="59" spans="1:22" x14ac:dyDescent="0.2">
      <c r="A59" s="105" t="s">
        <v>566</v>
      </c>
      <c r="B59" s="108">
        <v>400</v>
      </c>
      <c r="C59" s="107">
        <v>32251</v>
      </c>
      <c r="D59" s="107">
        <v>32251</v>
      </c>
      <c r="E59" s="106" t="s">
        <v>565</v>
      </c>
      <c r="F59" s="105" t="s">
        <v>564</v>
      </c>
      <c r="G59" s="104"/>
      <c r="H59" s="104"/>
      <c r="I59" s="104"/>
      <c r="J59" s="104"/>
      <c r="K59" s="104"/>
      <c r="L59" s="104"/>
      <c r="M59" s="104"/>
      <c r="N59" s="104"/>
      <c r="O59" s="104"/>
      <c r="P59" s="104"/>
      <c r="S59" s="114"/>
      <c r="T59" s="114"/>
      <c r="U59" s="114"/>
      <c r="V59" s="117"/>
    </row>
    <row r="60" spans="1:22" x14ac:dyDescent="0.2">
      <c r="A60" s="105" t="s">
        <v>514</v>
      </c>
      <c r="B60" s="108">
        <v>1600</v>
      </c>
      <c r="C60" s="107">
        <v>24462</v>
      </c>
      <c r="D60" s="107">
        <v>38504</v>
      </c>
      <c r="E60" s="106" t="s">
        <v>545</v>
      </c>
      <c r="F60" s="105" t="s">
        <v>564</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S60" s="114"/>
      <c r="T60" s="114"/>
      <c r="U60" s="114"/>
      <c r="V60" s="117"/>
    </row>
    <row r="61" spans="1:22" x14ac:dyDescent="0.2">
      <c r="A61" s="105" t="s">
        <v>447</v>
      </c>
      <c r="B61" s="108">
        <v>1200</v>
      </c>
      <c r="C61" s="107">
        <v>25384</v>
      </c>
      <c r="D61" s="107">
        <v>25384</v>
      </c>
      <c r="E61" s="106" t="s">
        <v>544</v>
      </c>
      <c r="F61" s="105" t="s">
        <v>564</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S61" s="114"/>
      <c r="T61" s="114"/>
      <c r="U61" s="114"/>
      <c r="V61" s="117"/>
    </row>
    <row r="62" spans="1:22" x14ac:dyDescent="0.2">
      <c r="A62" s="105" t="s">
        <v>448</v>
      </c>
      <c r="B62" s="108">
        <v>1000</v>
      </c>
      <c r="C62" s="107">
        <v>22591</v>
      </c>
      <c r="D62" s="107">
        <v>22591</v>
      </c>
      <c r="E62" s="106" t="s">
        <v>543</v>
      </c>
      <c r="F62" s="105" t="s">
        <v>564</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S62" s="114"/>
      <c r="T62" s="114"/>
      <c r="U62" s="114"/>
      <c r="V62" s="117"/>
    </row>
    <row r="63" spans="1:22" x14ac:dyDescent="0.2">
      <c r="A63" s="120"/>
      <c r="B63" s="119"/>
      <c r="C63" s="119"/>
      <c r="D63" s="119"/>
      <c r="E63" s="119"/>
      <c r="F63" s="119"/>
      <c r="G63" s="361"/>
      <c r="H63" s="362"/>
      <c r="I63" s="362"/>
      <c r="J63" s="362"/>
      <c r="K63" s="362"/>
      <c r="L63" s="362"/>
      <c r="M63" s="362"/>
      <c r="N63" s="362"/>
      <c r="O63" s="118"/>
      <c r="S63" s="117"/>
    </row>
    <row r="65" spans="1:21" x14ac:dyDescent="0.2">
      <c r="A65" s="101" t="s">
        <v>563</v>
      </c>
      <c r="J65" s="101">
        <v>2012</v>
      </c>
      <c r="K65" s="101">
        <v>2013</v>
      </c>
      <c r="L65" s="101">
        <v>2014</v>
      </c>
      <c r="M65" s="101">
        <v>2015</v>
      </c>
      <c r="N65" s="101">
        <v>2016</v>
      </c>
      <c r="O65" s="113">
        <v>2017</v>
      </c>
      <c r="P65" s="113">
        <v>2018</v>
      </c>
      <c r="Q65" s="113">
        <v>2019</v>
      </c>
      <c r="R65" s="113">
        <v>2020</v>
      </c>
      <c r="S65" s="113">
        <v>2025</v>
      </c>
      <c r="T65" s="113">
        <v>2030</v>
      </c>
    </row>
    <row r="66" spans="1:21" x14ac:dyDescent="0.2">
      <c r="A66" s="105" t="s">
        <v>458</v>
      </c>
      <c r="J66" s="64">
        <f>INDEX(EskomCoalNERSACombined!$C$44:$C$56,MATCH(A66,EskomCoalNERSACombined!$B$44:$B$56,0))</f>
        <v>2232</v>
      </c>
      <c r="O66" s="64">
        <v>2232</v>
      </c>
      <c r="Q66" s="64">
        <f>SUMIF(EskomCoalNERSACombined!$B$44:$B$58,A102,EskomCoalNERSACombined!$G$44:$G$58)</f>
        <v>2232</v>
      </c>
      <c r="R66" s="64">
        <f>INDEX(ProcDataGenPre2012!$AL$9:$AV$22,MATCH($A66,ProcDataGenPre2012!$C$9:$C$22,0),MATCH(R$65,ProcDataGenPre2012!$AL$7:$AV$7,0))*1000</f>
        <v>2232</v>
      </c>
      <c r="S66" s="64">
        <f>INDEX(ProcDataGenPre2012!$AL$9:$AV$22,MATCH($A66,ProcDataGenPre2012!$C$9:$C$22,0),MATCH(S$65,ProcDataGenPre2012!$AL$7:$AV$7,0))*1000</f>
        <v>1860</v>
      </c>
      <c r="T66" s="64">
        <f>INDEX(ProcDataGenPre2012!$AL$9:$AV$22,MATCH($A66,ProcDataGenPre2012!$C$9:$C$22,0),MATCH(T$65,ProcDataGenPre2012!$AL$7:$AV$7,0))*1000</f>
        <v>0</v>
      </c>
      <c r="U66" s="114"/>
    </row>
    <row r="67" spans="1:21" x14ac:dyDescent="0.2">
      <c r="A67" s="105" t="s">
        <v>508</v>
      </c>
      <c r="J67" s="64">
        <f>INDEX(EskomCoalNERSACombined!$C$44:$C$56,MATCH(A67,EskomCoalNERSACombined!$B$44:$B$56,0))</f>
        <v>3450</v>
      </c>
      <c r="O67" s="64">
        <v>2875</v>
      </c>
      <c r="Q67" s="64">
        <f>SUMIF(EskomCoalNERSACombined!$B$44:$B$58,A103,EskomCoalNERSACombined!$G$44:$G$58)</f>
        <v>2875</v>
      </c>
      <c r="R67" s="64">
        <f>INDEX(ProcDataGenPre2012!$AL$9:$AV$22,MATCH($A67,ProcDataGenPre2012!$C$9:$C$22,0),MATCH(R$65,ProcDataGenPre2012!$AL$7:$AV$7,0))*1000</f>
        <v>2875</v>
      </c>
      <c r="S67" s="64">
        <f>INDEX(ProcDataGenPre2012!$AL$9:$AV$22,MATCH($A67,ProcDataGenPre2012!$C$9:$C$22,0),MATCH(S$65,ProcDataGenPre2012!$AL$7:$AV$7,0))*1000</f>
        <v>2875</v>
      </c>
      <c r="T67" s="64">
        <f>INDEX(ProcDataGenPre2012!$AL$9:$AV$22,MATCH($A67,ProcDataGenPre2012!$C$9:$C$22,0),MATCH(T$65,ProcDataGenPre2012!$AL$7:$AV$7,0))*1000</f>
        <v>2875</v>
      </c>
      <c r="U67" s="114"/>
    </row>
    <row r="68" spans="1:21" x14ac:dyDescent="0.2">
      <c r="A68" s="105" t="s">
        <v>451</v>
      </c>
      <c r="J68" s="64">
        <f>INDEX(EskomCoalNERSACombined!$C$44:$C$56,MATCH(A68,EskomCoalNERSACombined!$B$44:$B$56,0))</f>
        <v>1865</v>
      </c>
      <c r="O68" s="64">
        <v>1638</v>
      </c>
      <c r="Q68" s="64">
        <f>SUMIF(EskomCoalNERSACombined!$B$44:$B$58,A104,EskomCoalNERSACombined!$G$44:$G$58)</f>
        <v>1293</v>
      </c>
      <c r="R68" s="64">
        <f>INDEX(ProcDataGenPre2012!$AL$9:$AV$22,MATCH($A68,ProcDataGenPre2012!$C$9:$C$22,0),MATCH(R$65,ProcDataGenPre2012!$AL$7:$AV$7,0))*1000</f>
        <v>1293</v>
      </c>
      <c r="S68" s="116">
        <f>INDEX(ProcDataGenPre2012!$AL$9:$AV$22,MATCH($A68,ProcDataGenPre2012!$C$9:$C$22,0),MATCH(S$65,ProcDataGenPre2012!$AL$7:$AV$7,0))*1000</f>
        <v>184.71428571428581</v>
      </c>
      <c r="T68" s="64">
        <f>INDEX(ProcDataGenPre2012!$AL$9:$AV$22,MATCH($A68,ProcDataGenPre2012!$C$9:$C$22,0),MATCH(T$65,ProcDataGenPre2012!$AL$7:$AV$7,0))*1000</f>
        <v>0</v>
      </c>
      <c r="U68" s="114"/>
    </row>
    <row r="69" spans="1:21" x14ac:dyDescent="0.2">
      <c r="A69" s="105" t="s">
        <v>497</v>
      </c>
      <c r="J69" s="64">
        <f>INDEX(EskomCoalNERSACombined!$C$44:$C$56,MATCH(A69,EskomCoalNERSACombined!$B$44:$B$56,0))</f>
        <v>3840</v>
      </c>
      <c r="O69" s="64">
        <v>3840</v>
      </c>
      <c r="Q69" s="64">
        <f>SUMIF(EskomCoalNERSACombined!$B$44:$B$58,A105,EskomCoalNERSACombined!$G$44:$G$58)</f>
        <v>3840</v>
      </c>
      <c r="R69" s="64">
        <f>INDEX(ProcDataGenPre2012!$AL$9:$AV$22,MATCH($A69,ProcDataGenPre2012!$C$9:$C$22,0),MATCH(R$65,ProcDataGenPre2012!$AL$7:$AV$7,0))*1000</f>
        <v>3840</v>
      </c>
      <c r="S69" s="64">
        <f>INDEX(ProcDataGenPre2012!$AL$9:$AV$22,MATCH($A69,ProcDataGenPre2012!$C$9:$C$22,0),MATCH(S$65,ProcDataGenPre2012!$AL$7:$AV$7,0))*1000</f>
        <v>3840</v>
      </c>
      <c r="T69" s="64">
        <f>INDEX(ProcDataGenPre2012!$AL$9:$AV$22,MATCH($A69,ProcDataGenPre2012!$C$9:$C$22,0),MATCH(T$65,ProcDataGenPre2012!$AL$7:$AV$7,0))*1000</f>
        <v>3840</v>
      </c>
      <c r="U69" s="114"/>
    </row>
    <row r="70" spans="1:21" x14ac:dyDescent="0.2">
      <c r="A70" s="105" t="s">
        <v>452</v>
      </c>
      <c r="J70" s="64">
        <f>INDEX(EskomCoalNERSACombined!$C$44:$C$56,MATCH(A70,EskomCoalNERSACombined!$B$44:$B$56,0))</f>
        <v>2850</v>
      </c>
      <c r="O70" s="64">
        <v>2850</v>
      </c>
      <c r="Q70" s="64">
        <f>SUMIF(EskomCoalNERSACombined!$B$44:$B$58,A106,EskomCoalNERSACombined!$G$44:$G$58)</f>
        <v>2850</v>
      </c>
      <c r="R70" s="64">
        <f>INDEX(ProcDataGenPre2012!$AL$9:$AV$22,MATCH($A70,ProcDataGenPre2012!$C$9:$C$22,0),MATCH(R$65,ProcDataGenPre2012!$AL$7:$AV$7,0))*1000</f>
        <v>2850</v>
      </c>
      <c r="S70" s="64">
        <f>INDEX(ProcDataGenPre2012!$AL$9:$AV$22,MATCH($A70,ProcDataGenPre2012!$C$9:$C$22,0),MATCH(S$65,ProcDataGenPre2012!$AL$7:$AV$7,0))*1000</f>
        <v>2850</v>
      </c>
      <c r="T70" s="64">
        <f>INDEX(ProcDataGenPre2012!$AL$9:$AV$22,MATCH($A70,ProcDataGenPre2012!$C$9:$C$22,0),MATCH(T$65,ProcDataGenPre2012!$AL$7:$AV$7,0))*1000</f>
        <v>0</v>
      </c>
      <c r="U70" s="114"/>
    </row>
    <row r="71" spans="1:21" x14ac:dyDescent="0.2">
      <c r="A71" s="105" t="s">
        <v>483</v>
      </c>
      <c r="J71" s="64">
        <f>INDEX(EskomCoalNERSACombined!$C$44:$C$56,MATCH(A71,EskomCoalNERSACombined!$B$44:$B$56,0))</f>
        <v>3558</v>
      </c>
      <c r="O71" s="64">
        <v>3558</v>
      </c>
      <c r="Q71" s="64">
        <f>SUMIF(EskomCoalNERSACombined!$B$44:$B$58,A107,EskomCoalNERSACombined!$G$44:$G$58)</f>
        <v>3558</v>
      </c>
      <c r="R71" s="64">
        <f>INDEX(ProcDataGenPre2012!$AL$9:$AV$22,MATCH($A71,ProcDataGenPre2012!$C$9:$C$22,0),MATCH(R$65,ProcDataGenPre2012!$AL$7:$AV$7,0))*1000</f>
        <v>3558</v>
      </c>
      <c r="S71" s="64">
        <f>INDEX(ProcDataGenPre2012!$AL$9:$AV$22,MATCH($A71,ProcDataGenPre2012!$C$9:$C$22,0),MATCH(S$65,ProcDataGenPre2012!$AL$7:$AV$7,0))*1000</f>
        <v>3558</v>
      </c>
      <c r="T71" s="64">
        <f>INDEX(ProcDataGenPre2012!$AL$9:$AV$22,MATCH($A71,ProcDataGenPre2012!$C$9:$C$22,0),MATCH(T$65,ProcDataGenPre2012!$AL$7:$AV$7,0))*1000</f>
        <v>3558</v>
      </c>
      <c r="U71" s="114"/>
    </row>
    <row r="72" spans="1:21" x14ac:dyDescent="0.2">
      <c r="A72" s="105" t="s">
        <v>476</v>
      </c>
      <c r="J72" s="64">
        <f>INDEX(EskomCoalNERSACombined!$C$44:$C$56,MATCH(A72,EskomCoalNERSACombined!$B$44:$B$56,0))</f>
        <v>3690</v>
      </c>
      <c r="O72" s="64">
        <v>3690</v>
      </c>
      <c r="Q72" s="64">
        <f>SUMIF(EskomCoalNERSACombined!$B$44:$B$58,A108,EskomCoalNERSACombined!$G$44:$G$58)</f>
        <v>3690</v>
      </c>
      <c r="R72" s="64">
        <f>INDEX(ProcDataGenPre2012!$AL$9:$AV$22,MATCH($A72,ProcDataGenPre2012!$C$9:$C$22,0),MATCH(R$65,ProcDataGenPre2012!$AL$7:$AV$7,0))*1000</f>
        <v>3690</v>
      </c>
      <c r="S72" s="64">
        <f>INDEX(ProcDataGenPre2012!$AL$9:$AV$22,MATCH($A72,ProcDataGenPre2012!$C$9:$C$22,0),MATCH(S$65,ProcDataGenPre2012!$AL$7:$AV$7,0))*1000</f>
        <v>3690</v>
      </c>
      <c r="T72" s="64">
        <f>INDEX(ProcDataGenPre2012!$AL$9:$AV$22,MATCH($A72,ProcDataGenPre2012!$C$9:$C$22,0),MATCH(T$65,ProcDataGenPre2012!$AL$7:$AV$7,0))*1000</f>
        <v>3690</v>
      </c>
      <c r="U72" s="114"/>
    </row>
    <row r="73" spans="1:21" x14ac:dyDescent="0.2">
      <c r="A73" s="105" t="s">
        <v>449</v>
      </c>
      <c r="J73" s="64">
        <f>INDEX(EskomCoalNERSACombined!$C$44:$C$56,MATCH(A73,EskomCoalNERSACombined!$B$44:$B$56,0))</f>
        <v>3843</v>
      </c>
      <c r="O73" s="64">
        <v>3843</v>
      </c>
      <c r="Q73" s="64">
        <f>SUMIF(EskomCoalNERSACombined!$B$44:$B$58,A109,EskomCoalNERSACombined!$G$44:$G$58)</f>
        <v>3843</v>
      </c>
      <c r="R73" s="64">
        <f>INDEX(ProcDataGenPre2012!$AL$9:$AV$22,MATCH("Majuba dry",ProcDataGenPre2012!$C$9:$C$22,0),MATCH(R$65,ProcDataGenPre2012!$AL$7:$AV$7,0))*1000+INDEX(ProcDataGenPre2012!$AL$9:$AV$22,MATCH("Majuba wet",ProcDataGenPre2012!$C$9:$C$22,0),MATCH(R$65,ProcDataGenPre2012!$AL$7:$AV$7,0))*1000</f>
        <v>3843</v>
      </c>
      <c r="S73" s="64">
        <f>INDEX(ProcDataGenPre2012!$AL$9:$AV$22,MATCH("Majuba dry",ProcDataGenPre2012!$C$9:$C$22,0),MATCH(S$65,ProcDataGenPre2012!$AL$7:$AV$7,0))*1000+INDEX(ProcDataGenPre2012!$AL$9:$AV$22,MATCH("Majuba wet",ProcDataGenPre2012!$C$9:$C$22,0),MATCH(S$65,ProcDataGenPre2012!$AL$7:$AV$7,0))*1000</f>
        <v>3843</v>
      </c>
      <c r="T73" s="64">
        <f>INDEX(ProcDataGenPre2012!$AL$9:$AV$22,MATCH("Majuba dry",ProcDataGenPre2012!$C$9:$C$22,0),MATCH(T$65,ProcDataGenPre2012!$AL$7:$AV$7,0))*1000+INDEX(ProcDataGenPre2012!$AL$9:$AV$22,MATCH("Majuba wet",ProcDataGenPre2012!$C$9:$C$22,0),MATCH(T$65,ProcDataGenPre2012!$AL$7:$AV$7,0))*1000</f>
        <v>3843</v>
      </c>
      <c r="U73" s="114"/>
    </row>
    <row r="74" spans="1:21" x14ac:dyDescent="0.2">
      <c r="A74" s="105" t="s">
        <v>455</v>
      </c>
      <c r="J74" s="64">
        <f>INDEX(EskomCoalNERSACombined!$C$44:$C$56,MATCH(A74,EskomCoalNERSACombined!$B$44:$B$56,0))</f>
        <v>3450</v>
      </c>
      <c r="O74" s="64">
        <v>3450</v>
      </c>
      <c r="Q74" s="64">
        <f>SUMIF(EskomCoalNERSACombined!$B$44:$B$58,A110,EskomCoalNERSACombined!$G$44:$G$58)</f>
        <v>3450</v>
      </c>
      <c r="R74" s="64">
        <f>INDEX(ProcDataGenPre2012!$AL$9:$AV$22,MATCH("Majuba dry",ProcDataGenPre2012!$C$9:$C$22,0),MATCH(R$65,ProcDataGenPre2012!$AL$7:$AV$7,0))*1000+INDEX(ProcDataGenPre2012!$AL$9:$AV$22,MATCH("Majuba wet",ProcDataGenPre2012!$C$9:$C$22,0),MATCH(R$65,ProcDataGenPre2012!$AL$7:$AV$7,0))*1000</f>
        <v>3843</v>
      </c>
      <c r="S74" s="64">
        <f>INDEX(ProcDataGenPre2012!$AL$9:$AV$22,MATCH($A74,ProcDataGenPre2012!$C$9:$C$22,0),MATCH(S$65,ProcDataGenPre2012!$AL$7:$AV$7,0))*1000</f>
        <v>3450</v>
      </c>
      <c r="T74" s="64">
        <f>INDEX(ProcDataGenPre2012!$AL$9:$AV$22,MATCH($A74,ProcDataGenPre2012!$C$9:$C$22,0),MATCH(T$65,ProcDataGenPre2012!$AL$7:$AV$7,0))*1000</f>
        <v>2875</v>
      </c>
      <c r="U74" s="114"/>
    </row>
    <row r="75" spans="1:21" x14ac:dyDescent="0.2">
      <c r="A75" s="105" t="s">
        <v>468</v>
      </c>
      <c r="J75" s="64">
        <v>0</v>
      </c>
      <c r="O75" s="64">
        <v>2157</v>
      </c>
      <c r="Q75" s="64">
        <f>SUMIF(EskomCoalNERSACombined!$B$44:$B$58,A111,EskomCoalNERSACombined!$G$44:$G$58)</f>
        <v>2157</v>
      </c>
      <c r="R75" s="64">
        <f>Q75</f>
        <v>2157</v>
      </c>
      <c r="S75" s="64">
        <f>720*6</f>
        <v>4320</v>
      </c>
      <c r="T75" s="64">
        <f>S75</f>
        <v>4320</v>
      </c>
      <c r="U75" s="114"/>
    </row>
    <row r="76" spans="1:21" x14ac:dyDescent="0.2">
      <c r="A76" s="105" t="s">
        <v>460</v>
      </c>
      <c r="J76" s="64">
        <f>INDEX(EskomCoalNERSACombined!$C$44:$C$56,MATCH(A76,EskomCoalNERSACombined!$B$44:$B$56,0))</f>
        <v>3510</v>
      </c>
      <c r="O76" s="64">
        <v>3510</v>
      </c>
      <c r="Q76" s="64">
        <f>SUMIF(EskomCoalNERSACombined!$B$44:$B$58,A112,EskomCoalNERSACombined!$G$44:$G$58)</f>
        <v>3510</v>
      </c>
      <c r="R76" s="64">
        <f>INDEX(ProcDataGenPre2012!$AL$9:$AN$22,MATCH($A76,ProcDataGenPre2012!$C$9:$C$22,0),MATCH(R$65,ProcDataGenPre2012!$AL$7:$AV$7,0))*1000</f>
        <v>3510</v>
      </c>
      <c r="S76" s="64">
        <f>INDEX(ProcDataGenPre2012!$AL$9:$AV$22,MATCH($A76,ProcDataGenPre2012!$C$9:$C$22,0),MATCH(S$65,ProcDataGenPre2012!$AL$7:$AV$7,0))*1000</f>
        <v>3510</v>
      </c>
      <c r="T76" s="64">
        <f>INDEX(ProcDataGenPre2012!$AL$9:$AV$22,MATCH($A76,ProcDataGenPre2012!$C$9:$C$22,0),MATCH(T$65,ProcDataGenPre2012!$AL$7:$AV$7,0))*1000</f>
        <v>3510</v>
      </c>
      <c r="U76" s="114"/>
    </row>
    <row r="77" spans="1:21" x14ac:dyDescent="0.2">
      <c r="A77" s="105" t="s">
        <v>559</v>
      </c>
      <c r="J77" s="64"/>
      <c r="O77" s="64">
        <v>723</v>
      </c>
      <c r="Q77" s="64">
        <v>723</v>
      </c>
      <c r="R77" s="64"/>
      <c r="S77" s="64"/>
      <c r="T77" s="64"/>
      <c r="U77" s="114"/>
    </row>
    <row r="78" spans="1:21" x14ac:dyDescent="0.2">
      <c r="A78" s="105" t="s">
        <v>514</v>
      </c>
      <c r="J78" s="64">
        <f>INDEX(EskomCoalNERSACombined!$C$44:$C$56,MATCH(A78,EskomCoalNERSACombined!$B$44:$B$56,0))</f>
        <v>1450</v>
      </c>
      <c r="O78" s="64">
        <v>1481</v>
      </c>
      <c r="Q78" s="64">
        <f>SUMIF(EskomCoalNERSACombined!$B$44:$B$58,A113,EskomCoalNERSACombined!$G$44:$G$58)</f>
        <v>1481</v>
      </c>
      <c r="R78" s="64">
        <f>INDEX(ProcDataGenPre2012!$AL$9:$AN$22,MATCH($A78,ProcDataGenPre2012!$C$9:$C$22,0),MATCH(R$65,ProcDataGenPre2012!$AL$7:$AV$7,0))*1000</f>
        <v>1481</v>
      </c>
      <c r="S78" s="64">
        <f>INDEX(ProcDataGenPre2012!$AL$9:$AV$22,MATCH($A78,ProcDataGenPre2012!$C$9:$C$22,0),MATCH(S$65,ProcDataGenPre2012!$AL$7:$AV$7,0))*1000</f>
        <v>1110.7500000000002</v>
      </c>
      <c r="T78" s="64">
        <f>INDEX(ProcDataGenPre2012!$AL$9:$AV$22,MATCH($A78,ProcDataGenPre2012!$C$9:$C$22,0),MATCH(T$65,ProcDataGenPre2012!$AL$7:$AV$7,0))*1000</f>
        <v>0</v>
      </c>
      <c r="U78" s="114"/>
    </row>
    <row r="79" spans="1:21" x14ac:dyDescent="0.2">
      <c r="A79" s="105" t="s">
        <v>447</v>
      </c>
      <c r="J79" s="64">
        <f>INDEX(EskomCoalNERSACombined!$C$44:$C$56,MATCH(A79,EskomCoalNERSACombined!$B$44:$B$56,0))</f>
        <v>1090</v>
      </c>
      <c r="O79" s="64">
        <v>1120</v>
      </c>
      <c r="Q79" s="64">
        <f>SUMIF(EskomCoalNERSACombined!$B$44:$B$58,A114,EskomCoalNERSACombined!$G$44:$G$58)</f>
        <v>570</v>
      </c>
      <c r="R79" s="64">
        <f>INDEX(ProcDataGenPre2012!$AL$9:$AN$22,MATCH($A79,ProcDataGenPre2012!$C$9:$C$22,0),MATCH(R$65,ProcDataGenPre2012!$AL$7:$AV$7,0))*1000</f>
        <v>570</v>
      </c>
      <c r="S79" s="64">
        <f>INDEX(ProcDataGenPre2012!$AL$9:$AV$22,MATCH($A79,ProcDataGenPre2012!$C$9:$C$22,0),MATCH(S$65,ProcDataGenPre2012!$AL$7:$AV$7,0))*1000</f>
        <v>0</v>
      </c>
      <c r="T79" s="64">
        <f>INDEX(ProcDataGenPre2012!$AL$9:$AV$22,MATCH($A79,ProcDataGenPre2012!$C$9:$C$22,0),MATCH(T$65,ProcDataGenPre2012!$AL$7:$AV$7,0))*1000</f>
        <v>0</v>
      </c>
      <c r="U79" s="114"/>
    </row>
    <row r="80" spans="1:21" x14ac:dyDescent="0.2">
      <c r="A80" s="105" t="s">
        <v>448</v>
      </c>
      <c r="J80" s="64">
        <f>INDEX(EskomCoalNERSACombined!$C$44:$C$56,MATCH(A80,EskomCoalNERSACombined!$B$44:$B$56,0))</f>
        <v>791</v>
      </c>
      <c r="O80" s="64">
        <v>904</v>
      </c>
      <c r="Q80" s="64">
        <f>SUMIF(EskomCoalNERSACombined!$B$44:$B$58,A115,EskomCoalNERSACombined!$G$44:$G$58)</f>
        <v>410</v>
      </c>
      <c r="R80" s="64">
        <f>INDEX(ProcDataGenPre2012!$AL$9:$AN$22,MATCH($A80,ProcDataGenPre2012!$C$9:$C$22,0),MATCH(R$65,ProcDataGenPre2012!$AL$7:$AV$7,0))*1000</f>
        <v>205</v>
      </c>
      <c r="S80" s="64">
        <f>INDEX(ProcDataGenPre2012!$AL$9:$AV$22,MATCH($A80,ProcDataGenPre2012!$C$9:$C$22,0),MATCH(S$65,ProcDataGenPre2012!$AL$7:$AV$7,0))*1000</f>
        <v>0</v>
      </c>
      <c r="T80" s="64">
        <f>INDEX(ProcDataGenPre2012!$AL$9:$AV$22,MATCH($A80,ProcDataGenPre2012!$C$9:$C$22,0),MATCH(T$65,ProcDataGenPre2012!$AL$7:$AV$7,0))*1000</f>
        <v>0</v>
      </c>
      <c r="U80" s="114"/>
    </row>
    <row r="81" spans="1:24" x14ac:dyDescent="0.2">
      <c r="A81" s="115"/>
      <c r="J81" s="64"/>
      <c r="O81" s="64"/>
      <c r="Q81" s="64"/>
      <c r="R81" s="64" t="s">
        <v>562</v>
      </c>
      <c r="S81" s="64"/>
      <c r="T81" s="64"/>
      <c r="U81" s="114" t="s">
        <v>561</v>
      </c>
    </row>
    <row r="82" spans="1:24" ht="15" x14ac:dyDescent="0.25">
      <c r="R82" s="63">
        <v>1.0449999999999999</v>
      </c>
      <c r="S82" s="63">
        <v>1</v>
      </c>
      <c r="T82" s="63">
        <v>1</v>
      </c>
    </row>
    <row r="83" spans="1:24" x14ac:dyDescent="0.2">
      <c r="A83" s="101" t="s">
        <v>560</v>
      </c>
      <c r="J83" s="101">
        <v>2012</v>
      </c>
      <c r="O83" s="101">
        <v>2017</v>
      </c>
      <c r="R83" s="113">
        <v>2020</v>
      </c>
      <c r="S83" s="113">
        <v>2025</v>
      </c>
      <c r="T83" s="113">
        <v>2030</v>
      </c>
      <c r="U83" s="113">
        <v>2020</v>
      </c>
      <c r="V83" s="113">
        <v>2025</v>
      </c>
      <c r="W83" s="113">
        <v>2030</v>
      </c>
      <c r="X83" s="113"/>
    </row>
    <row r="84" spans="1:24" x14ac:dyDescent="0.2">
      <c r="A84" s="105" t="s">
        <v>458</v>
      </c>
      <c r="J84" s="102">
        <f t="shared" ref="J84:J92" si="4">J5/(J66*8760)</f>
        <v>0.61122143050031918</v>
      </c>
      <c r="O84" s="102">
        <f t="shared" ref="O84:O95" si="5">S5/(O66*8.76)*1000</f>
        <v>0.52901509650216993</v>
      </c>
      <c r="R84" s="102">
        <f t="shared" ref="R84:R94" si="6">MIN(MAX(75%,$J84),$O84*R$82)</f>
        <v>0.55282077584476752</v>
      </c>
      <c r="S84" s="102">
        <f t="shared" ref="S84:S92" si="7">V84</f>
        <v>0.65500000000000003</v>
      </c>
      <c r="T84" s="102">
        <f t="shared" ref="T84:T92" si="8">W84</f>
        <v>0.54579999999999995</v>
      </c>
      <c r="U84" s="102">
        <v>0.65</v>
      </c>
      <c r="V84" s="102">
        <v>0.65500000000000003</v>
      </c>
      <c r="W84" s="102">
        <v>0.54579999999999995</v>
      </c>
    </row>
    <row r="85" spans="1:24" x14ac:dyDescent="0.2">
      <c r="A85" s="105" t="s">
        <v>508</v>
      </c>
      <c r="J85" s="102">
        <f t="shared" si="4"/>
        <v>0.57620157501158098</v>
      </c>
      <c r="O85" s="102">
        <f t="shared" si="5"/>
        <v>0.5492283190063032</v>
      </c>
      <c r="R85" s="102">
        <f t="shared" si="6"/>
        <v>0.57394359336158685</v>
      </c>
      <c r="S85" s="102">
        <f t="shared" si="7"/>
        <v>0.61119999999999997</v>
      </c>
      <c r="T85" s="102">
        <f t="shared" si="8"/>
        <v>0.60209999999999997</v>
      </c>
      <c r="U85" s="102">
        <v>0.54500000000000004</v>
      </c>
      <c r="V85" s="102">
        <v>0.61119999999999997</v>
      </c>
      <c r="W85" s="102">
        <v>0.60209999999999997</v>
      </c>
    </row>
    <row r="86" spans="1:24" x14ac:dyDescent="0.2">
      <c r="A86" s="105" t="s">
        <v>451</v>
      </c>
      <c r="J86" s="102">
        <f t="shared" si="4"/>
        <v>0.58083642440045535</v>
      </c>
      <c r="O86" s="102">
        <f t="shared" si="5"/>
        <v>0.55583709036115203</v>
      </c>
      <c r="R86" s="102">
        <f t="shared" si="6"/>
        <v>0.5808497594274038</v>
      </c>
      <c r="S86" s="102">
        <f t="shared" si="7"/>
        <v>0.60929999999999995</v>
      </c>
      <c r="T86" s="102">
        <f t="shared" si="8"/>
        <v>0</v>
      </c>
      <c r="U86" s="102">
        <v>0.60929999999999995</v>
      </c>
      <c r="V86" s="102">
        <f>U86</f>
        <v>0.60929999999999995</v>
      </c>
      <c r="W86" s="102"/>
    </row>
    <row r="87" spans="1:24" x14ac:dyDescent="0.2">
      <c r="A87" s="105" t="s">
        <v>497</v>
      </c>
      <c r="J87" s="102">
        <f t="shared" si="4"/>
        <v>0.7788275601693303</v>
      </c>
      <c r="O87" s="102">
        <f t="shared" si="5"/>
        <v>0.7392028286823541</v>
      </c>
      <c r="R87" s="102">
        <f t="shared" si="6"/>
        <v>0.77246695597306003</v>
      </c>
      <c r="S87" s="102">
        <f t="shared" si="7"/>
        <v>0.74139999999999995</v>
      </c>
      <c r="T87" s="102">
        <f t="shared" si="8"/>
        <v>0.72940000000000005</v>
      </c>
      <c r="U87" s="102">
        <v>0.69099999999999995</v>
      </c>
      <c r="V87" s="102">
        <v>0.74139999999999995</v>
      </c>
      <c r="W87" s="102">
        <v>0.72940000000000005</v>
      </c>
    </row>
    <row r="88" spans="1:24" x14ac:dyDescent="0.2">
      <c r="A88" s="105" t="s">
        <v>452</v>
      </c>
      <c r="J88" s="102">
        <f t="shared" si="4"/>
        <v>0.66373023311703916</v>
      </c>
      <c r="O88" s="102">
        <f t="shared" si="5"/>
        <v>0.51428303219089555</v>
      </c>
      <c r="R88" s="102">
        <f t="shared" si="6"/>
        <v>0.53742576863948577</v>
      </c>
      <c r="S88" s="102">
        <f t="shared" si="7"/>
        <v>0.64439999999999997</v>
      </c>
      <c r="T88" s="102">
        <f t="shared" si="8"/>
        <v>0.64149999999999996</v>
      </c>
      <c r="U88" s="102">
        <v>0.54100000000000004</v>
      </c>
      <c r="V88" s="102">
        <v>0.64439999999999997</v>
      </c>
      <c r="W88" s="102">
        <v>0.64149999999999996</v>
      </c>
    </row>
    <row r="89" spans="1:24" x14ac:dyDescent="0.2">
      <c r="A89" s="105" t="s">
        <v>483</v>
      </c>
      <c r="J89" s="102">
        <f t="shared" si="4"/>
        <v>0.72125732480152771</v>
      </c>
      <c r="O89" s="102">
        <f t="shared" si="5"/>
        <v>0.61629073285527491</v>
      </c>
      <c r="R89" s="102">
        <f t="shared" si="6"/>
        <v>0.64402381583376223</v>
      </c>
      <c r="S89" s="102">
        <f t="shared" si="7"/>
        <v>0.74880000000000002</v>
      </c>
      <c r="T89" s="102">
        <f t="shared" si="8"/>
        <v>0.70930000000000004</v>
      </c>
      <c r="U89" s="102">
        <v>0.74</v>
      </c>
      <c r="V89" s="102">
        <v>0.74880000000000002</v>
      </c>
      <c r="W89" s="102">
        <v>0.70930000000000004</v>
      </c>
    </row>
    <row r="90" spans="1:24" x14ac:dyDescent="0.2">
      <c r="A90" s="105" t="s">
        <v>476</v>
      </c>
      <c r="J90" s="102">
        <f t="shared" si="4"/>
        <v>0.82643832522800109</v>
      </c>
      <c r="O90" s="102">
        <f t="shared" si="5"/>
        <v>0.8094138159760893</v>
      </c>
      <c r="R90" s="102">
        <f t="shared" si="6"/>
        <v>0.82643832522800109</v>
      </c>
      <c r="S90" s="102">
        <f t="shared" si="7"/>
        <v>0.78369999999999995</v>
      </c>
      <c r="T90" s="102">
        <f t="shared" si="8"/>
        <v>0.79410000000000003</v>
      </c>
      <c r="U90" s="102">
        <v>0.82750000000000001</v>
      </c>
      <c r="V90" s="102">
        <v>0.78369999999999995</v>
      </c>
      <c r="W90" s="102">
        <v>0.79410000000000003</v>
      </c>
    </row>
    <row r="91" spans="1:24" x14ac:dyDescent="0.2">
      <c r="A91" s="105" t="s">
        <v>449</v>
      </c>
      <c r="J91" s="102">
        <f t="shared" si="4"/>
        <v>0.73613454813769208</v>
      </c>
      <c r="O91" s="102">
        <f t="shared" si="5"/>
        <v>0.69869089871477885</v>
      </c>
      <c r="R91" s="102">
        <f t="shared" si="6"/>
        <v>0.73013198915694388</v>
      </c>
      <c r="S91" s="102">
        <f t="shared" si="7"/>
        <v>0.77</v>
      </c>
      <c r="T91" s="102">
        <f t="shared" si="8"/>
        <v>0.70930000000000004</v>
      </c>
      <c r="U91" s="102">
        <v>0.73050000000000004</v>
      </c>
      <c r="V91" s="102">
        <v>0.77</v>
      </c>
      <c r="W91" s="102">
        <v>0.70930000000000004</v>
      </c>
    </row>
    <row r="92" spans="1:24" x14ac:dyDescent="0.2">
      <c r="A92" s="105" t="s">
        <v>455</v>
      </c>
      <c r="J92" s="102">
        <f t="shared" si="4"/>
        <v>0.72595096287472705</v>
      </c>
      <c r="O92" s="102">
        <f t="shared" si="5"/>
        <v>0.64697127709025493</v>
      </c>
      <c r="R92" s="102">
        <f t="shared" si="6"/>
        <v>0.67608498455931632</v>
      </c>
      <c r="S92" s="102">
        <f t="shared" si="7"/>
        <v>0.70530000000000004</v>
      </c>
      <c r="T92" s="102">
        <f t="shared" si="8"/>
        <v>0.6976</v>
      </c>
      <c r="U92" s="102">
        <v>0.67300000000000004</v>
      </c>
      <c r="V92" s="102">
        <v>0.70530000000000004</v>
      </c>
      <c r="W92" s="102">
        <v>0.6976</v>
      </c>
    </row>
    <row r="93" spans="1:24" ht="15" x14ac:dyDescent="0.25">
      <c r="A93" s="105" t="s">
        <v>468</v>
      </c>
      <c r="J93" s="102">
        <v>0.75</v>
      </c>
      <c r="O93" s="102">
        <f t="shared" si="5"/>
        <v>0.53631914390806956</v>
      </c>
      <c r="R93" s="102">
        <f t="shared" si="6"/>
        <v>0.56045350538393268</v>
      </c>
      <c r="S93" s="112">
        <v>0.8</v>
      </c>
      <c r="T93" s="102">
        <f>S93</f>
        <v>0.8</v>
      </c>
      <c r="U93" s="102">
        <v>0.72</v>
      </c>
      <c r="V93" s="102">
        <v>0.81899999999999995</v>
      </c>
      <c r="W93" s="102">
        <v>0.81059999999999999</v>
      </c>
    </row>
    <row r="94" spans="1:24" x14ac:dyDescent="0.2">
      <c r="A94" s="105" t="s">
        <v>460</v>
      </c>
      <c r="J94" s="102">
        <f>J15/(J76*8760)</f>
        <v>0.62790490965148504</v>
      </c>
      <c r="O94" s="102">
        <f t="shared" si="5"/>
        <v>0.5381100970535827</v>
      </c>
      <c r="R94" s="102">
        <f t="shared" si="6"/>
        <v>0.56232505142099387</v>
      </c>
      <c r="S94" s="102">
        <f>V94</f>
        <v>0.61150000000000004</v>
      </c>
      <c r="T94" s="102">
        <f>W94</f>
        <v>0.58079999999999998</v>
      </c>
      <c r="U94" s="102">
        <v>0.56100000000000005</v>
      </c>
      <c r="V94" s="102">
        <v>0.61150000000000004</v>
      </c>
      <c r="W94" s="102">
        <v>0.58079999999999998</v>
      </c>
    </row>
    <row r="95" spans="1:24" ht="15" x14ac:dyDescent="0.25">
      <c r="A95" s="105" t="s">
        <v>559</v>
      </c>
      <c r="J95" s="102"/>
      <c r="O95" s="102">
        <f t="shared" si="5"/>
        <v>0.21782637665233018</v>
      </c>
      <c r="R95" s="102">
        <f>NERSA2018!Q31</f>
        <v>0.55218394942432913</v>
      </c>
      <c r="S95" s="112">
        <v>0.8</v>
      </c>
      <c r="T95" s="102">
        <f>S95</f>
        <v>0.8</v>
      </c>
      <c r="U95" s="102">
        <v>0.72</v>
      </c>
      <c r="V95" s="102">
        <v>0.83160000000000001</v>
      </c>
      <c r="W95" s="102">
        <v>0.80249999999999999</v>
      </c>
    </row>
    <row r="96" spans="1:24" x14ac:dyDescent="0.2">
      <c r="A96" s="105" t="s">
        <v>514</v>
      </c>
      <c r="J96" s="102">
        <f>J30/(J78*8760)</f>
        <v>0.65972201228153049</v>
      </c>
      <c r="O96" s="102">
        <f>S30/(O78*8.76)*1000</f>
        <v>0.54111740129475128</v>
      </c>
      <c r="R96" s="102">
        <f>MIN(MAX(75%,$J96),$O96*R$82)</f>
        <v>0.56546768435301509</v>
      </c>
      <c r="S96" s="102">
        <f t="shared" ref="S96:T98" si="9">V96</f>
        <v>0.6</v>
      </c>
      <c r="T96" s="102">
        <f t="shared" si="9"/>
        <v>0.6</v>
      </c>
      <c r="U96" s="102">
        <v>0.6</v>
      </c>
      <c r="V96" s="102">
        <f>U96</f>
        <v>0.6</v>
      </c>
      <c r="W96" s="102">
        <f>V96</f>
        <v>0.6</v>
      </c>
    </row>
    <row r="97" spans="1:23" x14ac:dyDescent="0.2">
      <c r="A97" s="105" t="s">
        <v>447</v>
      </c>
      <c r="J97" s="102">
        <f>J31/(J79*8760)</f>
        <v>0.57508902014997276</v>
      </c>
      <c r="O97" s="102">
        <f>S31/(O79*8.76)*1000</f>
        <v>0.36749690039180255</v>
      </c>
      <c r="R97" s="102">
        <f>MIN(MAX(75%,$J97),$O97*R$82)</f>
        <v>0.38403426090943366</v>
      </c>
      <c r="S97" s="102">
        <f t="shared" si="9"/>
        <v>0</v>
      </c>
      <c r="T97" s="102">
        <f t="shared" si="9"/>
        <v>0</v>
      </c>
      <c r="U97" s="102">
        <v>0.89149999999999996</v>
      </c>
      <c r="V97" s="102"/>
      <c r="W97" s="102"/>
    </row>
    <row r="98" spans="1:23" x14ac:dyDescent="0.2">
      <c r="A98" s="105" t="s">
        <v>448</v>
      </c>
      <c r="J98" s="102">
        <f>J32/(J80*8760)</f>
        <v>0.59229473702440127</v>
      </c>
      <c r="O98" s="102">
        <f>S32/(O80*8.76)*1000</f>
        <v>0.33923410885870708</v>
      </c>
      <c r="R98" s="102">
        <f>MIN(MAX(75%,$J98),$O98*R$82)</f>
        <v>0.35449964375734888</v>
      </c>
      <c r="S98" s="102">
        <f t="shared" si="9"/>
        <v>0</v>
      </c>
      <c r="T98" s="102">
        <f t="shared" si="9"/>
        <v>0</v>
      </c>
      <c r="U98" s="102">
        <v>0.874</v>
      </c>
      <c r="V98" s="102"/>
      <c r="W98" s="102"/>
    </row>
    <row r="99" spans="1:23" x14ac:dyDescent="0.2">
      <c r="A99" s="101" t="s">
        <v>542</v>
      </c>
      <c r="J99" s="102">
        <f>SUMPRODUCT(J66:J80,J84:J98)/SUM(J66:J80)</f>
        <v>0.68847841841118862</v>
      </c>
      <c r="O99" s="102">
        <f>SUMPRODUCT(O66:O80,O84:O98)/SUM(O66:O80)</f>
        <v>0.60188200858590912</v>
      </c>
      <c r="R99" s="111">
        <f>SUMPRODUCT(R66:R80,R84:R98)/SUM(R66:R80)</f>
        <v>0.64510901654476105</v>
      </c>
      <c r="S99" s="111">
        <f>SUMPRODUCT(S66:S80,S84:S98)/SUM(S66:S80)</f>
        <v>0.71210638606661569</v>
      </c>
      <c r="T99" s="111">
        <f>SUMPRODUCT(T66:T80,T84:T98)/SUM(T66:T80)</f>
        <v>0.70891585002279822</v>
      </c>
      <c r="U99" s="111">
        <f>SUMPRODUCT(R66:R80,U84:U98)/SUM(R66:R80)</f>
        <v>0.67262665591008974</v>
      </c>
      <c r="V99" s="111">
        <f>SUMPRODUCT(S66:S80,V84:V98)/SUM(S66:S80)</f>
        <v>0.71444541641689419</v>
      </c>
      <c r="W99" s="111">
        <f>SUMPRODUCT(T66:T80,W84:W98)/SUM(T66:T80)</f>
        <v>0.71052196696012071</v>
      </c>
    </row>
    <row r="100" spans="1:23" ht="15" x14ac:dyDescent="0.25">
      <c r="Q100" s="101" t="s">
        <v>558</v>
      </c>
      <c r="R100" s="63">
        <v>0.65</v>
      </c>
      <c r="S100" s="63">
        <v>0.7</v>
      </c>
      <c r="T100" s="110">
        <v>0.71099999999999997</v>
      </c>
    </row>
    <row r="101" spans="1:23" x14ac:dyDescent="0.2">
      <c r="G101" s="101" t="str">
        <f t="shared" ref="G101:O101" si="10">G4</f>
        <v>2009-2010</v>
      </c>
      <c r="H101" s="101" t="str">
        <f t="shared" si="10"/>
        <v>2010-2011</v>
      </c>
      <c r="I101" s="101" t="str">
        <f t="shared" si="10"/>
        <v>2011-2012</v>
      </c>
      <c r="J101" s="101" t="str">
        <f t="shared" si="10"/>
        <v>2012-2013</v>
      </c>
      <c r="K101" s="101" t="str">
        <f t="shared" si="10"/>
        <v>2013-2014</v>
      </c>
      <c r="L101" s="101" t="str">
        <f t="shared" si="10"/>
        <v>2014-2015</v>
      </c>
      <c r="M101" s="101" t="str">
        <f t="shared" si="10"/>
        <v>2015-2016</v>
      </c>
      <c r="N101" s="101" t="str">
        <f t="shared" si="10"/>
        <v>2016-2017</v>
      </c>
      <c r="O101" s="101" t="str">
        <f t="shared" si="10"/>
        <v>2017-2018</v>
      </c>
      <c r="Q101" s="101" t="s">
        <v>557</v>
      </c>
      <c r="R101" s="109">
        <f>R99-R100</f>
        <v>-4.890983455238973E-3</v>
      </c>
      <c r="S101" s="109">
        <f>S99-S100</f>
        <v>1.2106386066615737E-2</v>
      </c>
      <c r="T101" s="109">
        <f>T99-T100</f>
        <v>-2.0841499772017436E-3</v>
      </c>
    </row>
    <row r="102" spans="1:23" x14ac:dyDescent="0.2">
      <c r="A102" s="105" t="s">
        <v>458</v>
      </c>
      <c r="B102" s="108">
        <v>1980</v>
      </c>
      <c r="C102" s="107">
        <v>26197</v>
      </c>
      <c r="D102" s="107">
        <v>26197</v>
      </c>
      <c r="E102" s="106" t="s">
        <v>556</v>
      </c>
      <c r="F102" s="105" t="s">
        <v>159</v>
      </c>
      <c r="G102" s="104">
        <f t="shared" ref="G102:O102" si="11">G5/$B102/8760</f>
        <v>0.7626414833264149</v>
      </c>
      <c r="H102" s="104">
        <f t="shared" si="11"/>
        <v>0.70308553572252197</v>
      </c>
      <c r="I102" s="104">
        <f t="shared" si="11"/>
        <v>0.70505846132558458</v>
      </c>
      <c r="J102" s="104">
        <f t="shared" si="11"/>
        <v>0.68901324892763249</v>
      </c>
      <c r="K102" s="104">
        <f t="shared" si="11"/>
        <v>0.62501458650431252</v>
      </c>
      <c r="L102" s="104">
        <f t="shared" si="11"/>
        <v>0.57041949172086159</v>
      </c>
      <c r="M102" s="104">
        <f t="shared" si="11"/>
        <v>0.58225047276417141</v>
      </c>
      <c r="N102" s="104">
        <f t="shared" si="11"/>
        <v>0.60439209446058761</v>
      </c>
      <c r="O102" s="104">
        <f t="shared" si="11"/>
        <v>0.59413282367049491</v>
      </c>
    </row>
    <row r="103" spans="1:23" x14ac:dyDescent="0.2">
      <c r="A103" s="105" t="s">
        <v>508</v>
      </c>
      <c r="B103" s="108">
        <v>3450</v>
      </c>
      <c r="C103" s="107">
        <v>29238</v>
      </c>
      <c r="D103" s="107">
        <v>29238</v>
      </c>
      <c r="E103" s="106" t="s">
        <v>555</v>
      </c>
      <c r="F103" s="105" t="s">
        <v>159</v>
      </c>
      <c r="G103" s="104">
        <f t="shared" ref="G103:O103" si="12">G6/$B103/8760</f>
        <v>0.74717847925352399</v>
      </c>
      <c r="H103" s="104">
        <f t="shared" si="12"/>
        <v>0.6706210045662101</v>
      </c>
      <c r="I103" s="104">
        <f t="shared" si="12"/>
        <v>0.58091651776851305</v>
      </c>
      <c r="J103" s="104">
        <f t="shared" si="12"/>
        <v>0.57620157501158098</v>
      </c>
      <c r="K103" s="104">
        <f t="shared" si="12"/>
        <v>0.59312348620210442</v>
      </c>
      <c r="L103" s="104">
        <f t="shared" si="12"/>
        <v>0.43648547415789823</v>
      </c>
      <c r="M103" s="104">
        <f t="shared" si="12"/>
        <v>0.46522735093640394</v>
      </c>
      <c r="N103" s="104">
        <f t="shared" si="12"/>
        <v>0.54129442128250949</v>
      </c>
      <c r="O103" s="104">
        <f t="shared" si="12"/>
        <v>0.43018380649857718</v>
      </c>
    </row>
    <row r="104" spans="1:23" x14ac:dyDescent="0.2">
      <c r="A104" s="105" t="s">
        <v>451</v>
      </c>
      <c r="B104" s="108">
        <v>1895</v>
      </c>
      <c r="C104" s="107">
        <v>25700</v>
      </c>
      <c r="D104" s="107">
        <v>25700</v>
      </c>
      <c r="E104" s="106" t="s">
        <v>554</v>
      </c>
      <c r="F104" s="105" t="s">
        <v>159</v>
      </c>
      <c r="G104" s="104">
        <f t="shared" ref="G104:O104" si="13">G7/$B104/8760</f>
        <v>0.73151480102649369</v>
      </c>
      <c r="H104" s="104">
        <f t="shared" si="13"/>
        <v>0.71916037156178847</v>
      </c>
      <c r="I104" s="104">
        <f t="shared" si="13"/>
        <v>0.68748310261322143</v>
      </c>
      <c r="J104" s="104">
        <f t="shared" si="13"/>
        <v>0.57164112480572526</v>
      </c>
      <c r="K104" s="104">
        <f t="shared" si="13"/>
        <v>0.53383549595788005</v>
      </c>
      <c r="L104" s="104">
        <f t="shared" si="13"/>
        <v>0.60721153962000451</v>
      </c>
      <c r="M104" s="104">
        <f t="shared" si="13"/>
        <v>0.49229677955687279</v>
      </c>
      <c r="N104" s="104">
        <f t="shared" si="13"/>
        <v>0.53729702051782513</v>
      </c>
      <c r="O104" s="104">
        <f t="shared" si="13"/>
        <v>0.46188648329538196</v>
      </c>
    </row>
    <row r="105" spans="1:23" x14ac:dyDescent="0.2">
      <c r="A105" s="105" t="s">
        <v>497</v>
      </c>
      <c r="B105" s="108">
        <v>3840</v>
      </c>
      <c r="C105" s="107">
        <v>32417</v>
      </c>
      <c r="D105" s="107">
        <v>32417</v>
      </c>
      <c r="E105" s="106" t="s">
        <v>553</v>
      </c>
      <c r="F105" s="105" t="s">
        <v>159</v>
      </c>
      <c r="G105" s="104">
        <f t="shared" ref="G105:O105" si="14">G8/$B105/8760</f>
        <v>0.69286978572108071</v>
      </c>
      <c r="H105" s="104">
        <f t="shared" si="14"/>
        <v>0.76246961805555558</v>
      </c>
      <c r="I105" s="104">
        <f t="shared" si="14"/>
        <v>0.81184886914954335</v>
      </c>
      <c r="J105" s="104">
        <f t="shared" si="14"/>
        <v>0.7788275601693303</v>
      </c>
      <c r="K105" s="104">
        <f t="shared" si="14"/>
        <v>0.80301714707001526</v>
      </c>
      <c r="L105" s="104">
        <f t="shared" si="14"/>
        <v>0.72712025542237446</v>
      </c>
      <c r="M105" s="104">
        <f t="shared" si="14"/>
        <v>0.75216226098744288</v>
      </c>
      <c r="N105" s="104">
        <f t="shared" si="14"/>
        <v>0.68919687024353116</v>
      </c>
      <c r="O105" s="104">
        <f t="shared" si="14"/>
        <v>0.75645547945205482</v>
      </c>
    </row>
    <row r="106" spans="1:23" x14ac:dyDescent="0.2">
      <c r="A106" s="105" t="s">
        <v>452</v>
      </c>
      <c r="B106" s="108">
        <v>2850</v>
      </c>
      <c r="C106" s="107">
        <v>27886</v>
      </c>
      <c r="D106" s="107">
        <v>27886</v>
      </c>
      <c r="E106" s="106" t="s">
        <v>552</v>
      </c>
      <c r="F106" s="105" t="s">
        <v>159</v>
      </c>
      <c r="G106" s="104">
        <f t="shared" ref="G106:O106" si="15">G9/$B106/8760</f>
        <v>0.63713914924297044</v>
      </c>
      <c r="H106" s="104">
        <f t="shared" si="15"/>
        <v>0.72918809581030197</v>
      </c>
      <c r="I106" s="104">
        <f t="shared" si="15"/>
        <v>0.61239962348794352</v>
      </c>
      <c r="J106" s="104">
        <f t="shared" si="15"/>
        <v>0.66373023311703916</v>
      </c>
      <c r="K106" s="104">
        <f t="shared" si="15"/>
        <v>0.57852447328366574</v>
      </c>
      <c r="L106" s="104">
        <f t="shared" si="15"/>
        <v>0.59295954498117442</v>
      </c>
      <c r="M106" s="104">
        <f t="shared" si="15"/>
        <v>0.63848501962669224</v>
      </c>
      <c r="N106" s="104">
        <f t="shared" si="15"/>
        <v>0.5943243611311384</v>
      </c>
      <c r="O106" s="104">
        <f t="shared" si="15"/>
        <v>0.48800889209324677</v>
      </c>
    </row>
    <row r="107" spans="1:23" x14ac:dyDescent="0.2">
      <c r="A107" s="105" t="s">
        <v>483</v>
      </c>
      <c r="B107" s="108">
        <v>3558</v>
      </c>
      <c r="C107" s="107">
        <v>31403</v>
      </c>
      <c r="D107" s="107">
        <v>31403</v>
      </c>
      <c r="E107" s="106" t="s">
        <v>551</v>
      </c>
      <c r="F107" s="105" t="s">
        <v>159</v>
      </c>
      <c r="G107" s="104">
        <f t="shared" ref="G107:O107" si="16">G10/$B107/8760</f>
        <v>0.81887296233839235</v>
      </c>
      <c r="H107" s="104">
        <f t="shared" si="16"/>
        <v>0.81815646007068776</v>
      </c>
      <c r="I107" s="104">
        <f t="shared" si="16"/>
        <v>0.77883966545260408</v>
      </c>
      <c r="J107" s="104">
        <f t="shared" si="16"/>
        <v>0.72125732480152771</v>
      </c>
      <c r="K107" s="104">
        <f t="shared" si="16"/>
        <v>0.74090386703319544</v>
      </c>
      <c r="L107" s="104">
        <f t="shared" si="16"/>
        <v>0.76175208739197275</v>
      </c>
      <c r="M107" s="104">
        <f t="shared" si="16"/>
        <v>0.67365105582377871</v>
      </c>
      <c r="N107" s="104">
        <f t="shared" si="16"/>
        <v>0.71456188510809782</v>
      </c>
      <c r="O107" s="104">
        <f t="shared" si="16"/>
        <v>0.58402057489585502</v>
      </c>
    </row>
    <row r="108" spans="1:23" x14ac:dyDescent="0.2">
      <c r="A108" s="105" t="s">
        <v>476</v>
      </c>
      <c r="B108" s="108">
        <v>3690</v>
      </c>
      <c r="C108" s="107">
        <v>32115</v>
      </c>
      <c r="D108" s="107">
        <v>32115</v>
      </c>
      <c r="E108" s="106" t="s">
        <v>550</v>
      </c>
      <c r="F108" s="105" t="s">
        <v>159</v>
      </c>
      <c r="G108" s="104">
        <f t="shared" ref="G108:O108" si="17">G11/$B108/8760</f>
        <v>0.8651093601118659</v>
      </c>
      <c r="H108" s="104">
        <f t="shared" si="17"/>
        <v>0.87126257563945497</v>
      </c>
      <c r="I108" s="104">
        <f t="shared" si="17"/>
        <v>0.86310882800608824</v>
      </c>
      <c r="J108" s="104">
        <f t="shared" si="17"/>
        <v>0.8264383252280012</v>
      </c>
      <c r="K108" s="104">
        <f t="shared" si="17"/>
        <v>0.80110340795188772</v>
      </c>
      <c r="L108" s="104">
        <f t="shared" si="17"/>
        <v>0.8306922324931012</v>
      </c>
      <c r="M108" s="104">
        <f t="shared" si="17"/>
        <v>0.75961301679226834</v>
      </c>
      <c r="N108" s="104">
        <f t="shared" si="17"/>
        <v>0.79228926136293321</v>
      </c>
      <c r="O108" s="104">
        <f t="shared" si="17"/>
        <v>0.81576146811696426</v>
      </c>
    </row>
    <row r="109" spans="1:23" x14ac:dyDescent="0.2">
      <c r="A109" s="105" t="s">
        <v>449</v>
      </c>
      <c r="B109" s="108">
        <v>3843</v>
      </c>
      <c r="C109" s="107">
        <v>35156</v>
      </c>
      <c r="D109" s="107">
        <v>35156</v>
      </c>
      <c r="E109" s="106" t="s">
        <v>549</v>
      </c>
      <c r="F109" s="105" t="s">
        <v>159</v>
      </c>
      <c r="G109" s="104">
        <f t="shared" ref="G109:O109" si="18">G12/$B109/8760</f>
        <v>0.66360592169597332</v>
      </c>
      <c r="H109" s="104">
        <f t="shared" si="18"/>
        <v>0.73170411838163918</v>
      </c>
      <c r="I109" s="104">
        <f t="shared" si="18"/>
        <v>0.75228245151892126</v>
      </c>
      <c r="J109" s="104">
        <f t="shared" si="18"/>
        <v>0.73613454813769208</v>
      </c>
      <c r="K109" s="104">
        <f t="shared" si="18"/>
        <v>0.70700354199119075</v>
      </c>
      <c r="L109" s="104">
        <f t="shared" si="18"/>
        <v>0.66609128617886759</v>
      </c>
      <c r="M109" s="104">
        <f t="shared" si="18"/>
        <v>0.62937909999441555</v>
      </c>
      <c r="N109" s="104">
        <f t="shared" si="18"/>
        <v>0.62085128983848947</v>
      </c>
      <c r="O109" s="104">
        <f t="shared" si="18"/>
        <v>0.72518942701965383</v>
      </c>
    </row>
    <row r="110" spans="1:23" x14ac:dyDescent="0.2">
      <c r="A110" s="105" t="s">
        <v>455</v>
      </c>
      <c r="B110" s="108">
        <v>3450</v>
      </c>
      <c r="C110" s="107">
        <v>29127</v>
      </c>
      <c r="D110" s="107">
        <v>29127</v>
      </c>
      <c r="E110" s="106" t="s">
        <v>548</v>
      </c>
      <c r="F110" s="105" t="s">
        <v>159</v>
      </c>
      <c r="G110" s="104">
        <f t="shared" ref="G110:O110" si="19">G13/$B110/8760</f>
        <v>0.72644219442790026</v>
      </c>
      <c r="H110" s="104">
        <f t="shared" si="19"/>
        <v>0.71154860697505129</v>
      </c>
      <c r="I110" s="104">
        <f t="shared" si="19"/>
        <v>0.68327781086625639</v>
      </c>
      <c r="J110" s="104">
        <f t="shared" si="19"/>
        <v>0.72595096287472705</v>
      </c>
      <c r="K110" s="104">
        <f t="shared" si="19"/>
        <v>0.60804519886175634</v>
      </c>
      <c r="L110" s="104">
        <f t="shared" si="19"/>
        <v>0.66908659254847458</v>
      </c>
      <c r="M110" s="104">
        <f t="shared" si="19"/>
        <v>0.6886158427635497</v>
      </c>
      <c r="N110" s="104">
        <f t="shared" si="19"/>
        <v>0.66283492158030577</v>
      </c>
      <c r="O110" s="104">
        <f t="shared" si="19"/>
        <v>0.64219452716564096</v>
      </c>
    </row>
    <row r="111" spans="1:23" x14ac:dyDescent="0.2">
      <c r="A111" s="105" t="s">
        <v>468</v>
      </c>
      <c r="B111" s="108">
        <v>4764</v>
      </c>
      <c r="C111" s="107">
        <v>42238</v>
      </c>
      <c r="D111" s="107">
        <v>42239</v>
      </c>
      <c r="E111" s="106" t="s">
        <v>547</v>
      </c>
      <c r="F111" s="105" t="s">
        <v>159</v>
      </c>
      <c r="G111" s="104">
        <f t="shared" ref="G111:O111" si="20">G14/$B111/8760</f>
        <v>0</v>
      </c>
      <c r="H111" s="104">
        <f t="shared" si="20"/>
        <v>0</v>
      </c>
      <c r="I111" s="104">
        <f t="shared" si="20"/>
        <v>0</v>
      </c>
      <c r="J111" s="104">
        <f t="shared" si="20"/>
        <v>0</v>
      </c>
      <c r="K111" s="104">
        <f t="shared" si="20"/>
        <v>0</v>
      </c>
      <c r="L111" s="104">
        <f t="shared" si="20"/>
        <v>0</v>
      </c>
      <c r="M111" s="104">
        <f t="shared" si="20"/>
        <v>0</v>
      </c>
      <c r="N111" s="104">
        <f t="shared" si="20"/>
        <v>5.8186158364292313E-2</v>
      </c>
      <c r="O111" s="104">
        <f t="shared" si="20"/>
        <v>0.29630917190956529</v>
      </c>
    </row>
    <row r="112" spans="1:23" x14ac:dyDescent="0.2">
      <c r="A112" s="105" t="s">
        <v>460</v>
      </c>
      <c r="B112" s="108">
        <v>3510</v>
      </c>
      <c r="C112" s="107">
        <v>31199</v>
      </c>
      <c r="D112" s="107">
        <v>31199</v>
      </c>
      <c r="E112" s="106" t="s">
        <v>546</v>
      </c>
      <c r="F112" s="105" t="s">
        <v>159</v>
      </c>
      <c r="G112" s="104">
        <f t="shared" ref="G112:O112" si="21">G15/$B112/8760</f>
        <v>0.64551034877518898</v>
      </c>
      <c r="H112" s="104">
        <f t="shared" si="21"/>
        <v>0.62012973370279301</v>
      </c>
      <c r="I112" s="104">
        <f t="shared" si="21"/>
        <v>0.66687760995980183</v>
      </c>
      <c r="J112" s="104">
        <f t="shared" si="21"/>
        <v>0.62790490965148493</v>
      </c>
      <c r="K112" s="104">
        <f t="shared" si="21"/>
        <v>0.58878410022245642</v>
      </c>
      <c r="L112" s="104">
        <f t="shared" si="21"/>
        <v>0.66979445550221806</v>
      </c>
      <c r="M112" s="104">
        <f t="shared" si="21"/>
        <v>0.59786809376992023</v>
      </c>
      <c r="N112" s="104">
        <f t="shared" si="21"/>
        <v>0.52129948353692646</v>
      </c>
      <c r="O112" s="104">
        <f t="shared" si="21"/>
        <v>0.54413876204972089</v>
      </c>
    </row>
    <row r="113" spans="1:15" x14ac:dyDescent="0.2">
      <c r="A113" s="105" t="s">
        <v>514</v>
      </c>
      <c r="B113" s="108">
        <v>1600</v>
      </c>
      <c r="C113" s="107">
        <v>24462</v>
      </c>
      <c r="D113" s="107">
        <v>38504</v>
      </c>
      <c r="E113" s="106" t="s">
        <v>545</v>
      </c>
      <c r="F113" s="105" t="s">
        <v>159</v>
      </c>
      <c r="G113" s="104">
        <f t="shared" ref="G113:O113" si="22">G30/$B113/8760</f>
        <v>0.53311001712328765</v>
      </c>
      <c r="H113" s="104">
        <f t="shared" si="22"/>
        <v>0.5344489155251142</v>
      </c>
      <c r="I113" s="104">
        <f t="shared" si="22"/>
        <v>0.51852511415525115</v>
      </c>
      <c r="J113" s="104">
        <f t="shared" si="22"/>
        <v>0.59787307363013698</v>
      </c>
      <c r="K113" s="104">
        <f t="shared" si="22"/>
        <v>0.62265575057077616</v>
      </c>
      <c r="L113" s="104">
        <f t="shared" si="22"/>
        <v>0.5947567779680365</v>
      </c>
      <c r="M113" s="104">
        <f t="shared" si="22"/>
        <v>0.56706421232876714</v>
      </c>
      <c r="N113" s="104">
        <f t="shared" si="22"/>
        <v>0.55391937785388123</v>
      </c>
      <c r="O113" s="104">
        <f t="shared" si="22"/>
        <v>0.48358497431506853</v>
      </c>
    </row>
    <row r="114" spans="1:15" x14ac:dyDescent="0.2">
      <c r="A114" s="105" t="s">
        <v>447</v>
      </c>
      <c r="B114" s="108">
        <v>1200</v>
      </c>
      <c r="C114" s="107">
        <v>25384</v>
      </c>
      <c r="D114" s="107">
        <v>25384</v>
      </c>
      <c r="E114" s="106" t="s">
        <v>544</v>
      </c>
      <c r="F114" s="105" t="s">
        <v>159</v>
      </c>
      <c r="G114" s="104">
        <f t="shared" ref="G114:O114" si="23">G31/$B114/8760</f>
        <v>0.25268550228310505</v>
      </c>
      <c r="H114" s="104">
        <f t="shared" si="23"/>
        <v>0.3374193302891933</v>
      </c>
      <c r="I114" s="104">
        <f t="shared" si="23"/>
        <v>0.57980498477929976</v>
      </c>
      <c r="J114" s="104">
        <f t="shared" si="23"/>
        <v>0.52237252663622524</v>
      </c>
      <c r="K114" s="104">
        <f t="shared" si="23"/>
        <v>0.69881725646879755</v>
      </c>
      <c r="L114" s="104">
        <f t="shared" si="23"/>
        <v>0.58449457762557078</v>
      </c>
      <c r="M114" s="104">
        <f t="shared" si="23"/>
        <v>0.50165848554033488</v>
      </c>
      <c r="N114" s="104">
        <f t="shared" si="23"/>
        <v>0.43238527397260273</v>
      </c>
      <c r="O114" s="104">
        <f t="shared" si="23"/>
        <v>0.31347203196347029</v>
      </c>
    </row>
    <row r="115" spans="1:15" x14ac:dyDescent="0.2">
      <c r="A115" s="105" t="s">
        <v>448</v>
      </c>
      <c r="B115" s="108">
        <v>1000</v>
      </c>
      <c r="C115" s="107">
        <v>22591</v>
      </c>
      <c r="D115" s="107">
        <v>22591</v>
      </c>
      <c r="E115" s="106" t="s">
        <v>543</v>
      </c>
      <c r="F115" s="105" t="s">
        <v>159</v>
      </c>
      <c r="G115" s="104">
        <f t="shared" ref="G115:O115" si="24">G32/$B115/8760</f>
        <v>0.11598436073059361</v>
      </c>
      <c r="H115" s="104">
        <f t="shared" si="24"/>
        <v>0.23517591324200915</v>
      </c>
      <c r="I115" s="104">
        <f t="shared" si="24"/>
        <v>0.27375936073059359</v>
      </c>
      <c r="J115" s="104">
        <f t="shared" si="24"/>
        <v>0.46850513698630131</v>
      </c>
      <c r="K115" s="104">
        <f t="shared" si="24"/>
        <v>0.57754052511415521</v>
      </c>
      <c r="L115" s="104">
        <f t="shared" si="24"/>
        <v>0.46416426940639272</v>
      </c>
      <c r="M115" s="104">
        <f t="shared" si="24"/>
        <v>0.48422511415525116</v>
      </c>
      <c r="N115" s="104">
        <f t="shared" si="24"/>
        <v>0.47072168949771687</v>
      </c>
      <c r="O115" s="104">
        <f t="shared" si="24"/>
        <v>0.25222522831050226</v>
      </c>
    </row>
    <row r="116" spans="1:15" x14ac:dyDescent="0.2">
      <c r="A116" s="101" t="s">
        <v>542</v>
      </c>
      <c r="G116" s="103" t="e">
        <f t="shared" ref="G116:O116" si="25">SUMPRODUCT($B$102:$B$115,G102:G115,$P$65:$P$79)/SUMPRODUCT($B$102:$B$115,$P$65:$P$79)</f>
        <v>#VALUE!</v>
      </c>
      <c r="H116" s="103" t="e">
        <f t="shared" si="25"/>
        <v>#VALUE!</v>
      </c>
      <c r="I116" s="103" t="e">
        <f t="shared" si="25"/>
        <v>#VALUE!</v>
      </c>
      <c r="J116" s="103" t="e">
        <f t="shared" si="25"/>
        <v>#VALUE!</v>
      </c>
      <c r="K116" s="103" t="e">
        <f t="shared" si="25"/>
        <v>#VALUE!</v>
      </c>
      <c r="L116" s="103" t="e">
        <f t="shared" si="25"/>
        <v>#VALUE!</v>
      </c>
      <c r="M116" s="103" t="e">
        <f t="shared" si="25"/>
        <v>#VALUE!</v>
      </c>
      <c r="N116" s="103" t="e">
        <f t="shared" si="25"/>
        <v>#VALUE!</v>
      </c>
      <c r="O116" s="103" t="e">
        <f t="shared" si="25"/>
        <v>#VALUE!</v>
      </c>
    </row>
    <row r="120" spans="1:15" x14ac:dyDescent="0.2">
      <c r="B120" s="101" t="s">
        <v>541</v>
      </c>
    </row>
    <row r="122" spans="1:15" x14ac:dyDescent="0.2">
      <c r="B122" s="64" t="s">
        <v>540</v>
      </c>
      <c r="C122" s="64">
        <v>800</v>
      </c>
      <c r="D122" s="64">
        <v>794</v>
      </c>
    </row>
    <row r="123" spans="1:15" x14ac:dyDescent="0.2">
      <c r="B123" s="64" t="s">
        <v>539</v>
      </c>
      <c r="C123" s="64">
        <f>C122/48%</f>
        <v>1666.6666666666667</v>
      </c>
      <c r="D123" s="64"/>
    </row>
    <row r="124" spans="1:15" x14ac:dyDescent="0.2">
      <c r="B124" s="64" t="s">
        <v>538</v>
      </c>
      <c r="C124" s="102">
        <f>C122/C123</f>
        <v>0.48</v>
      </c>
      <c r="D124" s="64"/>
    </row>
    <row r="125" spans="1:15" x14ac:dyDescent="0.2">
      <c r="B125" s="64" t="s">
        <v>537</v>
      </c>
      <c r="C125" s="64">
        <f>C122*0.99</f>
        <v>792</v>
      </c>
      <c r="D125" s="64"/>
    </row>
    <row r="126" spans="1:15" x14ac:dyDescent="0.2">
      <c r="B126" s="64" t="s">
        <v>536</v>
      </c>
      <c r="C126" s="102">
        <f>C125/C123</f>
        <v>0.47519999999999996</v>
      </c>
      <c r="D126" s="64"/>
    </row>
    <row r="127" spans="1:15" x14ac:dyDescent="0.2">
      <c r="B127" s="64" t="s">
        <v>535</v>
      </c>
      <c r="C127" s="64">
        <f>C122*(1-8.8%)</f>
        <v>729.6</v>
      </c>
      <c r="D127" s="64">
        <f>D122/C122*C127</f>
        <v>724.12800000000004</v>
      </c>
    </row>
    <row r="128" spans="1:15" x14ac:dyDescent="0.2">
      <c r="B128" s="64" t="s">
        <v>534</v>
      </c>
      <c r="C128" s="102">
        <f>C127/C123</f>
        <v>0.43775999999999998</v>
      </c>
      <c r="D128" s="64"/>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02:O115">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 workbookViewId="1"/>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9" t="s">
        <v>743</v>
      </c>
      <c r="J1" s="101">
        <v>2009</v>
      </c>
      <c r="M1" s="124">
        <f>(SUM(M5:M15)+SUM(M30:M32))/1000000</f>
        <v>113.443822</v>
      </c>
      <c r="N1" s="124">
        <f>(SUM(N5:N15)+SUM(N30:N32))/1000000</f>
        <v>116.50415</v>
      </c>
      <c r="O1" s="124">
        <f>(SUM(O5:O15)+SUM(O30:O32))/1000000</f>
        <v>111.89334599999999</v>
      </c>
      <c r="P1" s="124">
        <f>(SUM(P5:P15)+SUM(P30:P32))/1000000</f>
        <v>113.60475889429543</v>
      </c>
    </row>
    <row r="2" spans="1:50" ht="9.9499999999999993" customHeight="1" x14ac:dyDescent="0.2">
      <c r="A2" s="178" t="s">
        <v>742</v>
      </c>
      <c r="B2" s="178"/>
      <c r="C2" s="178"/>
      <c r="D2" s="178"/>
      <c r="E2" s="178"/>
      <c r="F2" s="178"/>
      <c r="G2" s="147">
        <f>2009</f>
        <v>2009</v>
      </c>
      <c r="H2" s="147">
        <f t="shared" ref="H2:N2" si="0">1+G2</f>
        <v>2010</v>
      </c>
      <c r="I2" s="147">
        <f t="shared" si="0"/>
        <v>2011</v>
      </c>
      <c r="J2" s="147">
        <f t="shared" si="0"/>
        <v>2012</v>
      </c>
      <c r="K2" s="147">
        <f t="shared" si="0"/>
        <v>2013</v>
      </c>
      <c r="L2" s="147">
        <f t="shared" si="0"/>
        <v>2014</v>
      </c>
      <c r="M2" s="147">
        <f t="shared" si="0"/>
        <v>2015</v>
      </c>
      <c r="N2" s="147">
        <f t="shared" si="0"/>
        <v>2016</v>
      </c>
    </row>
    <row r="3" spans="1:50" ht="39.950000000000003" customHeight="1" x14ac:dyDescent="0.2">
      <c r="A3" s="163" t="s">
        <v>712</v>
      </c>
      <c r="B3" s="162" t="s">
        <v>711</v>
      </c>
      <c r="C3" s="160" t="s">
        <v>710</v>
      </c>
      <c r="D3" s="162" t="s">
        <v>709</v>
      </c>
      <c r="E3" s="161" t="s">
        <v>708</v>
      </c>
      <c r="F3" s="160" t="s">
        <v>707</v>
      </c>
      <c r="G3" s="159" t="s">
        <v>706</v>
      </c>
      <c r="H3" s="158"/>
      <c r="I3" s="158"/>
      <c r="J3" s="158"/>
      <c r="K3" s="158"/>
      <c r="L3" s="158"/>
      <c r="M3" s="158"/>
      <c r="N3" s="157"/>
      <c r="T3" s="101" t="s">
        <v>136</v>
      </c>
      <c r="Z3" s="101" t="s">
        <v>741</v>
      </c>
      <c r="AA3" s="101" t="s">
        <v>741</v>
      </c>
      <c r="AB3" s="101" t="s">
        <v>741</v>
      </c>
      <c r="AC3" s="101" t="s">
        <v>741</v>
      </c>
      <c r="AD3" s="101" t="s">
        <v>741</v>
      </c>
      <c r="AE3" s="101" t="s">
        <v>741</v>
      </c>
      <c r="AF3" s="101" t="s">
        <v>741</v>
      </c>
      <c r="AG3" s="101" t="s">
        <v>741</v>
      </c>
      <c r="AH3" s="101" t="s">
        <v>741</v>
      </c>
      <c r="AI3" s="101" t="s">
        <v>741</v>
      </c>
      <c r="AJ3" s="101" t="s">
        <v>741</v>
      </c>
      <c r="AK3" s="101" t="s">
        <v>741</v>
      </c>
      <c r="AL3" s="101" t="s">
        <v>643</v>
      </c>
      <c r="AM3" s="101" t="s">
        <v>643</v>
      </c>
      <c r="AN3" s="101" t="s">
        <v>643</v>
      </c>
      <c r="AO3" s="101" t="s">
        <v>643</v>
      </c>
      <c r="AP3" s="101" t="s">
        <v>643</v>
      </c>
      <c r="AQ3" s="101" t="s">
        <v>643</v>
      </c>
      <c r="AR3" s="101" t="s">
        <v>643</v>
      </c>
      <c r="AS3" s="101" t="s">
        <v>643</v>
      </c>
      <c r="AT3" s="101" t="s">
        <v>643</v>
      </c>
      <c r="AU3" s="101" t="s">
        <v>643</v>
      </c>
      <c r="AV3" s="101" t="s">
        <v>643</v>
      </c>
      <c r="AW3" s="101" t="s">
        <v>643</v>
      </c>
    </row>
    <row r="4" spans="1:50" ht="12.95" customHeight="1" x14ac:dyDescent="0.2">
      <c r="A4" s="119"/>
      <c r="B4" s="119"/>
      <c r="C4" s="119"/>
      <c r="D4" s="119"/>
      <c r="E4" s="119"/>
      <c r="F4" s="119"/>
      <c r="G4" s="155" t="s">
        <v>705</v>
      </c>
      <c r="H4" s="155" t="s">
        <v>704</v>
      </c>
      <c r="I4" s="155" t="s">
        <v>703</v>
      </c>
      <c r="J4" s="155" t="s">
        <v>702</v>
      </c>
      <c r="K4" s="155" t="s">
        <v>701</v>
      </c>
      <c r="L4" s="156" t="s">
        <v>700</v>
      </c>
      <c r="M4" s="155" t="s">
        <v>699</v>
      </c>
      <c r="N4" s="155" t="s">
        <v>698</v>
      </c>
      <c r="O4" s="155" t="s">
        <v>643</v>
      </c>
      <c r="P4" s="101">
        <v>2017</v>
      </c>
      <c r="Q4" s="101" t="s">
        <v>642</v>
      </c>
      <c r="R4" s="101" t="s">
        <v>1822</v>
      </c>
      <c r="S4" s="101" t="s">
        <v>740</v>
      </c>
      <c r="U4" s="101" t="s">
        <v>739</v>
      </c>
      <c r="V4" s="101" t="s">
        <v>738</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8" t="s">
        <v>695</v>
      </c>
      <c r="B5" s="147">
        <v>1980</v>
      </c>
      <c r="C5" s="146">
        <v>26197</v>
      </c>
      <c r="D5" s="145">
        <v>26197</v>
      </c>
      <c r="E5" s="144" t="s">
        <v>664</v>
      </c>
      <c r="F5" s="143" t="s">
        <v>722</v>
      </c>
      <c r="G5" s="176">
        <v>6794134</v>
      </c>
      <c r="H5" s="176">
        <v>6525670</v>
      </c>
      <c r="I5" s="176">
        <v>7035460</v>
      </c>
      <c r="J5" s="176">
        <v>6705593</v>
      </c>
      <c r="K5" s="176">
        <v>6066013</v>
      </c>
      <c r="L5" s="177">
        <v>5595389</v>
      </c>
      <c r="M5" s="176">
        <v>5864921</v>
      </c>
      <c r="N5" s="176">
        <v>9278888</v>
      </c>
      <c r="O5" s="125">
        <v>5256587</v>
      </c>
      <c r="P5" s="133">
        <f>'eskom production 2009-YTD'!P5*3.6/V5/P44</f>
        <v>5661375.305441495</v>
      </c>
      <c r="Q5" s="168">
        <f t="shared" ref="Q5:Q16" si="3">$P$34/$P$33*P5/1000000</f>
        <v>5.6580227678082284</v>
      </c>
      <c r="R5" s="168">
        <f>Q5*P44</f>
        <v>120.11774459970552</v>
      </c>
      <c r="S5" s="168">
        <f>'eskom production 2009-YTD'!T5*3.6/V5/P44</f>
        <v>5.4519325554816973</v>
      </c>
      <c r="T5" s="114">
        <f>'eskom production 2009-YTD'!O35</f>
        <v>0.32825626740449204</v>
      </c>
      <c r="U5" s="114">
        <f>AVERAGE('eskom production 2009-YTD'!G35:M35)</f>
        <v>0.30171598675012301</v>
      </c>
      <c r="V5" s="172">
        <v>0.31</v>
      </c>
      <c r="W5" s="101" t="s">
        <v>729</v>
      </c>
      <c r="X5" s="101" t="s">
        <v>728</v>
      </c>
      <c r="Y5" s="101" t="s">
        <v>727</v>
      </c>
      <c r="Z5" s="101" t="s">
        <v>726</v>
      </c>
      <c r="AA5" s="101" t="s">
        <v>737</v>
      </c>
      <c r="AB5" s="101" t="s">
        <v>736</v>
      </c>
      <c r="AC5" s="101" t="s">
        <v>735</v>
      </c>
      <c r="AD5" s="101" t="s">
        <v>734</v>
      </c>
      <c r="AE5" s="101" t="s">
        <v>733</v>
      </c>
      <c r="AF5" s="101" t="s">
        <v>732</v>
      </c>
      <c r="AG5" s="101" t="s">
        <v>731</v>
      </c>
      <c r="AH5" s="101" t="s">
        <v>730</v>
      </c>
      <c r="AI5" s="101" t="s">
        <v>729</v>
      </c>
      <c r="AJ5" s="101" t="s">
        <v>728</v>
      </c>
      <c r="AK5" s="101" t="s">
        <v>727</v>
      </c>
      <c r="AL5" s="101" t="s">
        <v>726</v>
      </c>
      <c r="AM5" s="101" t="s">
        <v>737</v>
      </c>
      <c r="AN5" s="101" t="s">
        <v>736</v>
      </c>
      <c r="AO5" s="101" t="s">
        <v>735</v>
      </c>
      <c r="AP5" s="101" t="s">
        <v>734</v>
      </c>
      <c r="AQ5" s="101" t="s">
        <v>733</v>
      </c>
      <c r="AR5" s="101" t="s">
        <v>732</v>
      </c>
      <c r="AS5" s="101" t="s">
        <v>731</v>
      </c>
      <c r="AT5" s="101" t="s">
        <v>730</v>
      </c>
      <c r="AU5" s="101" t="s">
        <v>729</v>
      </c>
      <c r="AV5" s="101" t="s">
        <v>728</v>
      </c>
      <c r="AW5" s="101" t="s">
        <v>727</v>
      </c>
      <c r="AX5" s="101" t="s">
        <v>726</v>
      </c>
    </row>
    <row r="6" spans="1:50" ht="12.95" customHeight="1" x14ac:dyDescent="0.2">
      <c r="A6" s="148" t="s">
        <v>694</v>
      </c>
      <c r="B6" s="147">
        <v>3450</v>
      </c>
      <c r="C6" s="146">
        <v>29238</v>
      </c>
      <c r="D6" s="145">
        <v>29238</v>
      </c>
      <c r="E6" s="144" t="s">
        <v>664</v>
      </c>
      <c r="F6" s="143" t="s">
        <v>722</v>
      </c>
      <c r="G6" s="176">
        <v>11744606</v>
      </c>
      <c r="H6" s="176">
        <v>10639393</v>
      </c>
      <c r="I6" s="176">
        <v>9154172</v>
      </c>
      <c r="J6" s="176">
        <v>9108411</v>
      </c>
      <c r="K6" s="176">
        <v>9741615</v>
      </c>
      <c r="L6" s="177">
        <v>7260002</v>
      </c>
      <c r="M6" s="176">
        <v>7599737</v>
      </c>
      <c r="N6" s="176">
        <v>8487411</v>
      </c>
      <c r="O6" s="125">
        <v>7933848</v>
      </c>
      <c r="P6" s="133">
        <f>'eskom production 2009-YTD'!P6*3.6/V6/P45</f>
        <v>7228755.8399569066</v>
      </c>
      <c r="Q6" s="168">
        <f t="shared" si="3"/>
        <v>7.2244751352362968</v>
      </c>
      <c r="R6" s="168">
        <f t="shared" ref="R6:R16" si="4">Q6*P45</f>
        <v>150.63216039539068</v>
      </c>
      <c r="S6" s="168">
        <f>'eskom production 2009-YTD'!T6*3.6/V6/P45</f>
        <v>7.8505785839428919</v>
      </c>
      <c r="T6" s="114">
        <f>'eskom production 2009-YTD'!O36</f>
        <v>0.28804870826473483</v>
      </c>
      <c r="U6" s="114">
        <f>AVERAGE('eskom production 2009-YTD'!G36:M36)</f>
        <v>0.33058235797930735</v>
      </c>
      <c r="V6" s="172">
        <f>U6</f>
        <v>0.33058235797930735</v>
      </c>
    </row>
    <row r="7" spans="1:50" ht="12.95" customHeight="1" x14ac:dyDescent="0.2">
      <c r="A7" s="148" t="s">
        <v>693</v>
      </c>
      <c r="B7" s="147">
        <v>1895</v>
      </c>
      <c r="C7" s="146">
        <v>25700</v>
      </c>
      <c r="D7" s="145">
        <v>25700</v>
      </c>
      <c r="E7" s="144" t="s">
        <v>664</v>
      </c>
      <c r="F7" s="143" t="s">
        <v>722</v>
      </c>
      <c r="G7" s="176">
        <v>6905917</v>
      </c>
      <c r="H7" s="176">
        <v>7139198</v>
      </c>
      <c r="I7" s="176">
        <v>6849996</v>
      </c>
      <c r="J7" s="176">
        <v>5763637</v>
      </c>
      <c r="K7" s="176">
        <v>5323902</v>
      </c>
      <c r="L7" s="177">
        <v>6479235</v>
      </c>
      <c r="M7" s="176">
        <v>4958484</v>
      </c>
      <c r="N7" s="176">
        <v>5365575</v>
      </c>
      <c r="O7" s="125">
        <v>4893165</v>
      </c>
      <c r="P7" s="125">
        <f>3/12*N7+9/12*O7</f>
        <v>5011267.5</v>
      </c>
      <c r="Q7" s="168">
        <f t="shared" si="3"/>
        <v>5.0082999414161407</v>
      </c>
      <c r="R7" s="168">
        <f t="shared" si="4"/>
        <v>106.78588068140861</v>
      </c>
      <c r="S7" s="168">
        <f>'eskom production 2009-YTD'!T7*3.6/V7/P46</f>
        <v>4.6271492846265634</v>
      </c>
      <c r="T7" s="114">
        <f>'eskom production 2009-YTD'!O37</f>
        <v>0.26384782162448195</v>
      </c>
      <c r="U7" s="114">
        <f>AVERAGE('eskom production 2009-YTD'!G37:M37)</f>
        <v>0.27930721005955628</v>
      </c>
      <c r="V7" s="114">
        <f>U7</f>
        <v>0.27930721005955628</v>
      </c>
    </row>
    <row r="8" spans="1:50" ht="12.95" customHeight="1" x14ac:dyDescent="0.2">
      <c r="A8" s="148" t="s">
        <v>692</v>
      </c>
      <c r="B8" s="147">
        <v>3840</v>
      </c>
      <c r="C8" s="146">
        <v>32417</v>
      </c>
      <c r="D8" s="145">
        <v>32417</v>
      </c>
      <c r="E8" s="144" t="s">
        <v>664</v>
      </c>
      <c r="F8" s="143" t="s">
        <v>722</v>
      </c>
      <c r="G8" s="176">
        <v>13866514</v>
      </c>
      <c r="H8" s="176">
        <v>15174501</v>
      </c>
      <c r="I8" s="176">
        <v>15938407</v>
      </c>
      <c r="J8" s="176">
        <v>15386155</v>
      </c>
      <c r="K8" s="176">
        <v>16190242</v>
      </c>
      <c r="L8" s="177">
        <v>14028640</v>
      </c>
      <c r="M8" s="176">
        <v>14813213</v>
      </c>
      <c r="N8" s="176">
        <v>13606766</v>
      </c>
      <c r="O8" s="125">
        <v>15644964</v>
      </c>
      <c r="P8" s="133">
        <f>'eskom production 2009-YTD'!P8*3.6/V8/P47</f>
        <v>13867167.156738928</v>
      </c>
      <c r="Q8" s="168">
        <f t="shared" si="3"/>
        <v>13.858955335891249</v>
      </c>
      <c r="R8" s="168">
        <f t="shared" si="4"/>
        <v>275.82717018599396</v>
      </c>
      <c r="S8" s="168">
        <f>'eskom production 2009-YTD'!T8*3.6/V8/P47</f>
        <v>14.085615530986351</v>
      </c>
      <c r="T8" s="114">
        <f>'eskom production 2009-YTD'!O38</f>
        <v>0.30980243866332968</v>
      </c>
      <c r="U8" s="114">
        <f>AVERAGE('eskom production 2009-YTD'!G38:M38)</f>
        <v>0.32400475724155064</v>
      </c>
      <c r="V8" s="172">
        <f>'eskom production 2009-YTD'!N38</f>
        <v>0.32453714221152569</v>
      </c>
    </row>
    <row r="9" spans="1:50" ht="12.95" customHeight="1" x14ac:dyDescent="0.2">
      <c r="A9" s="148" t="s">
        <v>691</v>
      </c>
      <c r="B9" s="147">
        <v>2850</v>
      </c>
      <c r="C9" s="146">
        <v>27886</v>
      </c>
      <c r="D9" s="145">
        <v>27886</v>
      </c>
      <c r="E9" s="144" t="s">
        <v>664</v>
      </c>
      <c r="F9" s="143" t="s">
        <v>722</v>
      </c>
      <c r="G9" s="176">
        <v>8504715</v>
      </c>
      <c r="H9" s="176">
        <v>9527185</v>
      </c>
      <c r="I9" s="176">
        <v>8360504</v>
      </c>
      <c r="J9" s="176">
        <v>8902897</v>
      </c>
      <c r="K9" s="176">
        <v>8147633</v>
      </c>
      <c r="L9" s="177">
        <v>7841257</v>
      </c>
      <c r="M9" s="176">
        <v>8643898</v>
      </c>
      <c r="N9" s="176">
        <v>8095662</v>
      </c>
      <c r="O9" s="125">
        <v>6867661</v>
      </c>
      <c r="P9" s="125">
        <f>3/12*N9+9/12*O9</f>
        <v>7174661.25</v>
      </c>
      <c r="Q9" s="168">
        <f t="shared" si="3"/>
        <v>7.1704125788646591</v>
      </c>
      <c r="R9" s="168">
        <f t="shared" si="4"/>
        <v>147.710499124612</v>
      </c>
      <c r="S9" s="168">
        <f>'eskom production 2009-YTD'!T9*3.6/V9/P48</f>
        <v>6.5516847591896692</v>
      </c>
      <c r="T9" s="114">
        <f>'eskom production 2009-YTD'!O39</f>
        <v>0.31933046782594537</v>
      </c>
      <c r="U9" s="114">
        <f>AVERAGE('eskom production 2009-YTD'!G39:M39)</f>
        <v>0.33366802188184252</v>
      </c>
      <c r="V9" s="114">
        <f>U9</f>
        <v>0.33366802188184252</v>
      </c>
    </row>
    <row r="10" spans="1:50" ht="12.95" customHeight="1" x14ac:dyDescent="0.2">
      <c r="A10" s="148" t="s">
        <v>690</v>
      </c>
      <c r="B10" s="147">
        <v>3558</v>
      </c>
      <c r="C10" s="146">
        <v>31403</v>
      </c>
      <c r="D10" s="145">
        <v>31403</v>
      </c>
      <c r="E10" s="144" t="s">
        <v>664</v>
      </c>
      <c r="F10" s="143" t="s">
        <v>722</v>
      </c>
      <c r="G10" s="176">
        <v>18170227</v>
      </c>
      <c r="H10" s="176">
        <v>17774699</v>
      </c>
      <c r="I10" s="176">
        <v>17293334</v>
      </c>
      <c r="J10" s="176">
        <v>15981404</v>
      </c>
      <c r="K10" s="176">
        <v>16317957</v>
      </c>
      <c r="L10" s="177">
        <v>16206472</v>
      </c>
      <c r="M10" s="176">
        <v>14941989</v>
      </c>
      <c r="N10" s="176">
        <v>15591930</v>
      </c>
      <c r="O10" s="125">
        <v>14068403</v>
      </c>
      <c r="P10" s="133">
        <f>'eskom production 2009-YTD'!P10*3.6/V10/P49</f>
        <v>13938744.923448831</v>
      </c>
      <c r="Q10" s="168">
        <f t="shared" si="3"/>
        <v>13.930490715876433</v>
      </c>
      <c r="R10" s="168">
        <f t="shared" si="4"/>
        <v>203.3851644517959</v>
      </c>
      <c r="S10" s="168">
        <f>'eskom production 2009-YTD'!T10*3.6/V10/P49</f>
        <v>14.520307010475424</v>
      </c>
      <c r="T10" s="114">
        <f>'eskom production 2009-YTD'!O40</f>
        <v>0.31903846114129775</v>
      </c>
      <c r="U10" s="114">
        <f>AVERAGE('eskom production 2009-YTD'!G40:M40)</f>
        <v>0.34996089605437036</v>
      </c>
      <c r="V10" s="172">
        <v>0.34</v>
      </c>
    </row>
    <row r="11" spans="1:50" ht="12.95" customHeight="1" x14ac:dyDescent="0.2">
      <c r="A11" s="148" t="s">
        <v>689</v>
      </c>
      <c r="B11" s="147">
        <v>3690</v>
      </c>
      <c r="C11" s="146">
        <v>32115</v>
      </c>
      <c r="D11" s="145">
        <v>32115</v>
      </c>
      <c r="E11" s="144" t="s">
        <v>664</v>
      </c>
      <c r="F11" s="143" t="s">
        <v>722</v>
      </c>
      <c r="G11" s="176">
        <v>14637481</v>
      </c>
      <c r="H11" s="176">
        <v>14596842</v>
      </c>
      <c r="I11" s="176">
        <v>14953397</v>
      </c>
      <c r="J11" s="176">
        <v>14269648</v>
      </c>
      <c r="K11" s="176">
        <v>13911050</v>
      </c>
      <c r="L11" s="177">
        <v>14226673</v>
      </c>
      <c r="M11" s="176">
        <v>12718092</v>
      </c>
      <c r="N11" s="176">
        <v>13227588</v>
      </c>
      <c r="O11" s="125">
        <v>13533321</v>
      </c>
      <c r="P11" s="133">
        <f>'eskom production 2009-YTD'!P11*3.6/V11/P50</f>
        <v>14142381.493099175</v>
      </c>
      <c r="Q11" s="168">
        <f t="shared" si="3"/>
        <v>14.13400669658391</v>
      </c>
      <c r="R11" s="168">
        <f t="shared" si="4"/>
        <v>277.02653125304465</v>
      </c>
      <c r="S11" s="168">
        <f>'eskom production 2009-YTD'!T11*3.6/V11/P50</f>
        <v>13.941054192123994</v>
      </c>
      <c r="T11" s="114">
        <f>'eskom production 2009-YTD'!O41</f>
        <v>0.34216683831977274</v>
      </c>
      <c r="U11" s="114">
        <f>AVERAGE('eskom production 2009-YTD'!G41:M41)</f>
        <v>0.33258561119841973</v>
      </c>
      <c r="V11" s="172">
        <f>'eskom production 2009-YTD'!N41</f>
        <v>0.34000258749678802</v>
      </c>
    </row>
    <row r="12" spans="1:50" ht="12.95" customHeight="1" x14ac:dyDescent="0.2">
      <c r="A12" s="148" t="s">
        <v>688</v>
      </c>
      <c r="B12" s="147">
        <v>3843</v>
      </c>
      <c r="C12" s="146">
        <v>35156</v>
      </c>
      <c r="D12" s="145">
        <v>35156</v>
      </c>
      <c r="E12" s="144" t="s">
        <v>664</v>
      </c>
      <c r="F12" s="143" t="s">
        <v>722</v>
      </c>
      <c r="G12" s="176">
        <v>12261833</v>
      </c>
      <c r="H12" s="176">
        <v>13020512</v>
      </c>
      <c r="I12" s="176">
        <v>13529252</v>
      </c>
      <c r="J12" s="176">
        <v>13269678</v>
      </c>
      <c r="K12" s="176">
        <v>13087805</v>
      </c>
      <c r="L12" s="177">
        <v>12938389</v>
      </c>
      <c r="M12" s="176">
        <v>11457000</v>
      </c>
      <c r="N12" s="176">
        <v>11676494</v>
      </c>
      <c r="O12" s="125">
        <v>13413735</v>
      </c>
      <c r="P12" s="125">
        <f>3/12*N12+9/12*O12</f>
        <v>12979424.75</v>
      </c>
      <c r="Q12" s="168">
        <f t="shared" si="3"/>
        <v>12.971738630005323</v>
      </c>
      <c r="R12" s="168">
        <f t="shared" si="4"/>
        <v>277.49799051155082</v>
      </c>
      <c r="S12" s="168">
        <f>'eskom production 2009-YTD'!T12*3.6/V12/P51</f>
        <v>13.241261497211392</v>
      </c>
      <c r="T12" s="114">
        <f>'eskom production 2009-YTD'!O42</f>
        <v>0.2943429056745982</v>
      </c>
      <c r="U12" s="114">
        <f>AVERAGE('eskom production 2009-YTD'!G42:M42)</f>
        <v>0.29697832409399499</v>
      </c>
      <c r="V12" s="114">
        <f>U12</f>
        <v>0.29697832409399499</v>
      </c>
    </row>
    <row r="13" spans="1:50" ht="12.95" customHeight="1" x14ac:dyDescent="0.2">
      <c r="A13" s="148" t="s">
        <v>687</v>
      </c>
      <c r="B13" s="147">
        <v>3450</v>
      </c>
      <c r="C13" s="146">
        <v>29127</v>
      </c>
      <c r="D13" s="145">
        <v>29127</v>
      </c>
      <c r="E13" s="144" t="s">
        <v>664</v>
      </c>
      <c r="F13" s="143" t="s">
        <v>722</v>
      </c>
      <c r="G13" s="176">
        <v>12438391</v>
      </c>
      <c r="H13" s="176">
        <v>12155421</v>
      </c>
      <c r="I13" s="176">
        <v>11367521</v>
      </c>
      <c r="J13" s="176">
        <v>12069357</v>
      </c>
      <c r="K13" s="176">
        <v>10076382</v>
      </c>
      <c r="L13" s="177">
        <v>11482829</v>
      </c>
      <c r="M13" s="176">
        <v>11649395</v>
      </c>
      <c r="N13" s="176">
        <v>10941541</v>
      </c>
      <c r="O13" s="125">
        <v>10875693</v>
      </c>
      <c r="P13" s="125">
        <f>3/12*N13+9/12*O13</f>
        <v>10892155</v>
      </c>
      <c r="Q13" s="168">
        <f t="shared" si="3"/>
        <v>10.885704913656179</v>
      </c>
      <c r="R13" s="168">
        <f t="shared" si="4"/>
        <v>212.27124581629548</v>
      </c>
      <c r="S13" s="168">
        <f>'eskom production 2009-YTD'!T13*3.6/V13/P52</f>
        <v>10.23211111604232</v>
      </c>
      <c r="T13" s="114">
        <f>'eskom production 2009-YTD'!O43</f>
        <v>0.33618216935086948</v>
      </c>
      <c r="U13" s="114">
        <f>AVERAGE('eskom production 2009-YTD'!G43:M43)</f>
        <v>0.33746761788913027</v>
      </c>
      <c r="V13" s="114">
        <f>U13</f>
        <v>0.33746761788913027</v>
      </c>
    </row>
    <row r="14" spans="1:50" ht="12.95" customHeight="1" x14ac:dyDescent="0.2">
      <c r="A14" s="148" t="s">
        <v>686</v>
      </c>
      <c r="B14" s="147">
        <v>4764</v>
      </c>
      <c r="C14" s="146">
        <v>42238</v>
      </c>
      <c r="D14" s="145">
        <v>42239</v>
      </c>
      <c r="E14" s="144" t="s">
        <v>664</v>
      </c>
      <c r="F14" s="143" t="s">
        <v>722</v>
      </c>
      <c r="G14" s="129"/>
      <c r="H14" s="129"/>
      <c r="I14" s="129"/>
      <c r="J14" s="129"/>
      <c r="K14" s="129"/>
      <c r="L14" s="173"/>
      <c r="M14" s="129"/>
      <c r="N14" s="176">
        <v>1139577</v>
      </c>
      <c r="O14" s="125">
        <v>2298394</v>
      </c>
      <c r="P14" s="133">
        <f>'eskom production 2009-YTD'!P14*3.6/V14/P53</f>
        <v>5020041.7140656793</v>
      </c>
      <c r="Q14" s="168">
        <f t="shared" si="3"/>
        <v>5.0170689595919038</v>
      </c>
      <c r="R14" s="168">
        <f t="shared" si="4"/>
        <v>98.33455160800132</v>
      </c>
      <c r="S14" s="168">
        <f>'eskom production 2009-YTD'!T14*3.6/V14/P53</f>
        <v>3.8837092095274763</v>
      </c>
      <c r="T14" s="114">
        <f>'eskom production 2009-YTD'!O44</f>
        <v>1.0346492109105481</v>
      </c>
      <c r="U14" s="114"/>
      <c r="V14" s="172">
        <v>0.371</v>
      </c>
    </row>
    <row r="15" spans="1:50" ht="12.95" customHeight="1" x14ac:dyDescent="0.2">
      <c r="A15" s="148" t="s">
        <v>685</v>
      </c>
      <c r="B15" s="147">
        <v>3510</v>
      </c>
      <c r="C15" s="146">
        <v>31199</v>
      </c>
      <c r="D15" s="145">
        <v>31199</v>
      </c>
      <c r="E15" s="144" t="s">
        <v>664</v>
      </c>
      <c r="F15" s="143" t="s">
        <v>722</v>
      </c>
      <c r="G15" s="176">
        <v>10602839</v>
      </c>
      <c r="H15" s="176">
        <v>10191709</v>
      </c>
      <c r="I15" s="176">
        <v>11368184</v>
      </c>
      <c r="J15" s="176">
        <v>10963012</v>
      </c>
      <c r="K15" s="176">
        <v>10663894</v>
      </c>
      <c r="L15" s="177">
        <v>11598592</v>
      </c>
      <c r="M15" s="176">
        <v>10448003</v>
      </c>
      <c r="N15" s="176">
        <v>9278888</v>
      </c>
      <c r="O15" s="125">
        <v>9324821</v>
      </c>
      <c r="P15" s="125">
        <f>3/12*N15+9/12*O15</f>
        <v>9313337.75</v>
      </c>
      <c r="Q15" s="168">
        <f t="shared" si="3"/>
        <v>9.3078226033061942</v>
      </c>
      <c r="R15" s="168">
        <f t="shared" si="4"/>
        <v>191.58125690389213</v>
      </c>
      <c r="S15" s="168">
        <f>'eskom production 2009-YTD'!T15*3.6/V15/P54</f>
        <v>9.1405118988173637</v>
      </c>
      <c r="T15" s="114">
        <f>'eskom production 2009-YTD'!O45</f>
        <v>0.31570194275813418</v>
      </c>
      <c r="U15" s="114">
        <f>AVERAGE('eskom production 2009-YTD'!G45:M45)</f>
        <v>0.31521606955631537</v>
      </c>
      <c r="V15" s="114">
        <f>U15</f>
        <v>0.31521606955631537</v>
      </c>
    </row>
    <row r="16" spans="1:50" ht="12.95" customHeight="1" x14ac:dyDescent="0.2">
      <c r="A16" s="148" t="s">
        <v>559</v>
      </c>
      <c r="B16" s="147"/>
      <c r="C16" s="146"/>
      <c r="D16" s="145"/>
      <c r="E16" s="144"/>
      <c r="F16" s="143"/>
      <c r="G16" s="176"/>
      <c r="H16" s="176"/>
      <c r="I16" s="176"/>
      <c r="J16" s="176"/>
      <c r="K16" s="176"/>
      <c r="L16" s="177"/>
      <c r="M16" s="176"/>
      <c r="N16" s="176"/>
      <c r="O16" s="125"/>
      <c r="P16" s="133">
        <f>'eskom production 2009-YTD'!P16*3.6/V16/P55</f>
        <v>764968.25567963033</v>
      </c>
      <c r="Q16" s="168">
        <f t="shared" si="3"/>
        <v>0.76451525888520211</v>
      </c>
      <c r="R16" s="168">
        <f t="shared" si="4"/>
        <v>13.379017030491037</v>
      </c>
      <c r="S16" s="168">
        <f>'eskom production 2009-YTD'!T16*3.6/V16/P55</f>
        <v>0.76496825567963034</v>
      </c>
      <c r="T16" s="114"/>
      <c r="U16" s="114"/>
      <c r="V16" s="114">
        <f>V14</f>
        <v>0.371</v>
      </c>
    </row>
    <row r="17" spans="1:22" ht="12.95" customHeight="1" x14ac:dyDescent="0.2">
      <c r="A17" s="148" t="s">
        <v>684</v>
      </c>
      <c r="B17" s="147">
        <v>1800</v>
      </c>
      <c r="C17" s="146">
        <v>30884</v>
      </c>
      <c r="D17" s="145">
        <v>30884</v>
      </c>
      <c r="E17" s="144" t="s">
        <v>683</v>
      </c>
      <c r="F17" s="143" t="s">
        <v>723</v>
      </c>
      <c r="G17" s="129"/>
      <c r="H17" s="129"/>
      <c r="I17" s="129"/>
      <c r="J17" s="129"/>
      <c r="K17" s="129"/>
      <c r="L17" s="173"/>
      <c r="M17" s="129"/>
      <c r="N17" s="129"/>
      <c r="O17" s="125"/>
      <c r="P17" s="125"/>
      <c r="Q17" s="168"/>
      <c r="R17" s="168"/>
    </row>
    <row r="18" spans="1:22" ht="20.100000000000001" customHeight="1" x14ac:dyDescent="0.2">
      <c r="A18" s="153" t="s">
        <v>682</v>
      </c>
      <c r="B18" s="152">
        <v>171</v>
      </c>
      <c r="C18" s="151">
        <v>27893</v>
      </c>
      <c r="D18" s="150">
        <v>27893</v>
      </c>
      <c r="E18" s="149" t="s">
        <v>678</v>
      </c>
      <c r="F18" s="143" t="s">
        <v>724</v>
      </c>
      <c r="G18" s="174">
        <v>1132973</v>
      </c>
      <c r="H18" s="174">
        <v>444957</v>
      </c>
      <c r="I18" s="174">
        <v>462819</v>
      </c>
      <c r="J18" s="174">
        <v>3601410</v>
      </c>
      <c r="K18" s="174">
        <v>20141569</v>
      </c>
      <c r="L18" s="175">
        <v>24854691</v>
      </c>
      <c r="M18" s="174">
        <v>19959065</v>
      </c>
      <c r="N18" s="174">
        <v>76067</v>
      </c>
      <c r="O18" s="125"/>
      <c r="P18" s="125"/>
      <c r="Q18" s="168"/>
      <c r="R18" s="168"/>
    </row>
    <row r="19" spans="1:22" ht="12.95" customHeight="1" x14ac:dyDescent="0.2">
      <c r="A19" s="148" t="s">
        <v>681</v>
      </c>
      <c r="B19" s="147">
        <v>1327</v>
      </c>
      <c r="C19" s="146">
        <v>39356</v>
      </c>
      <c r="D19" s="145">
        <v>39356</v>
      </c>
      <c r="E19" s="144" t="s">
        <v>678</v>
      </c>
      <c r="F19" s="143" t="s">
        <v>725</v>
      </c>
      <c r="G19" s="170">
        <v>7459437</v>
      </c>
      <c r="H19" s="170">
        <v>41305580</v>
      </c>
      <c r="I19" s="170">
        <v>121853656</v>
      </c>
      <c r="J19" s="170">
        <v>392200263</v>
      </c>
      <c r="K19" s="170">
        <v>742556464</v>
      </c>
      <c r="L19" s="171">
        <v>755437407</v>
      </c>
      <c r="M19" s="170">
        <v>792571059</v>
      </c>
      <c r="N19" s="170">
        <v>6423930</v>
      </c>
      <c r="O19" s="125"/>
      <c r="P19" s="125"/>
      <c r="Q19" s="168"/>
      <c r="R19" s="168"/>
    </row>
    <row r="20" spans="1:22" ht="12.95" customHeight="1" x14ac:dyDescent="0.2">
      <c r="A20" s="148" t="s">
        <v>680</v>
      </c>
      <c r="B20" s="147">
        <v>740</v>
      </c>
      <c r="C20" s="146">
        <v>39356</v>
      </c>
      <c r="D20" s="145">
        <v>39356</v>
      </c>
      <c r="E20" s="144" t="s">
        <v>678</v>
      </c>
      <c r="F20" s="143" t="s">
        <v>725</v>
      </c>
      <c r="G20" s="170">
        <v>6884155</v>
      </c>
      <c r="H20" s="170">
        <v>19144089</v>
      </c>
      <c r="I20" s="170">
        <v>96165992</v>
      </c>
      <c r="J20" s="170">
        <v>202234462</v>
      </c>
      <c r="K20" s="170">
        <v>342045029</v>
      </c>
      <c r="L20" s="171">
        <v>371048048</v>
      </c>
      <c r="M20" s="170">
        <v>408210722</v>
      </c>
      <c r="N20" s="170">
        <v>3632735</v>
      </c>
      <c r="O20" s="125"/>
      <c r="P20" s="125"/>
      <c r="Q20" s="168"/>
      <c r="R20" s="168"/>
    </row>
    <row r="21" spans="1:22" ht="20.100000000000001" customHeight="1" x14ac:dyDescent="0.2">
      <c r="A21" s="153" t="s">
        <v>679</v>
      </c>
      <c r="B21" s="152">
        <v>171</v>
      </c>
      <c r="C21" s="151">
        <v>28033</v>
      </c>
      <c r="D21" s="150">
        <v>28033</v>
      </c>
      <c r="E21" s="149" t="s">
        <v>678</v>
      </c>
      <c r="F21" s="143" t="s">
        <v>724</v>
      </c>
      <c r="G21" s="174">
        <v>375078</v>
      </c>
      <c r="H21" s="174">
        <v>281941</v>
      </c>
      <c r="I21" s="174">
        <v>828014</v>
      </c>
      <c r="J21" s="174">
        <v>4010155</v>
      </c>
      <c r="K21" s="174">
        <v>26036230</v>
      </c>
      <c r="L21" s="175">
        <v>23797797</v>
      </c>
      <c r="M21" s="174">
        <v>24233625</v>
      </c>
      <c r="N21" s="174">
        <v>36879</v>
      </c>
      <c r="O21" s="125"/>
      <c r="P21" s="125"/>
      <c r="Q21" s="168"/>
      <c r="R21" s="168"/>
    </row>
    <row r="22" spans="1:22" ht="12.95" customHeight="1" x14ac:dyDescent="0.2">
      <c r="A22" s="148" t="s">
        <v>677</v>
      </c>
      <c r="B22" s="147">
        <v>42</v>
      </c>
      <c r="C22" s="146">
        <v>31048</v>
      </c>
      <c r="D22" s="145">
        <v>31048</v>
      </c>
      <c r="E22" s="144" t="s">
        <v>671</v>
      </c>
      <c r="F22" s="143" t="s">
        <v>723</v>
      </c>
      <c r="G22" s="129"/>
      <c r="H22" s="129"/>
      <c r="I22" s="129"/>
      <c r="J22" s="129"/>
      <c r="K22" s="129"/>
      <c r="L22" s="173"/>
      <c r="M22" s="129"/>
      <c r="N22" s="129"/>
      <c r="O22" s="125"/>
      <c r="P22" s="125"/>
      <c r="Q22" s="168"/>
      <c r="R22" s="168"/>
    </row>
    <row r="23" spans="1:22" ht="12.95" customHeight="1" x14ac:dyDescent="0.2">
      <c r="A23" s="148" t="s">
        <v>676</v>
      </c>
      <c r="B23" s="147">
        <v>6</v>
      </c>
      <c r="C23" s="146">
        <v>28887</v>
      </c>
      <c r="D23" s="145">
        <v>28887</v>
      </c>
      <c r="E23" s="144" t="s">
        <v>671</v>
      </c>
      <c r="F23" s="143" t="s">
        <v>723</v>
      </c>
      <c r="G23" s="129"/>
      <c r="H23" s="129"/>
      <c r="I23" s="129"/>
      <c r="J23" s="129"/>
      <c r="K23" s="129"/>
      <c r="L23" s="173"/>
      <c r="M23" s="129"/>
      <c r="N23" s="129"/>
      <c r="O23" s="125"/>
      <c r="P23" s="125"/>
      <c r="Q23" s="168"/>
      <c r="R23" s="168"/>
    </row>
    <row r="24" spans="1:22" ht="12.95" customHeight="1" x14ac:dyDescent="0.2">
      <c r="A24" s="148" t="s">
        <v>675</v>
      </c>
      <c r="B24" s="147">
        <v>360</v>
      </c>
      <c r="C24" s="146">
        <v>26184</v>
      </c>
      <c r="D24" s="145">
        <v>26184</v>
      </c>
      <c r="E24" s="144" t="s">
        <v>671</v>
      </c>
      <c r="F24" s="143" t="s">
        <v>723</v>
      </c>
      <c r="G24" s="129"/>
      <c r="H24" s="129"/>
      <c r="I24" s="129"/>
      <c r="J24" s="129"/>
      <c r="K24" s="129"/>
      <c r="L24" s="173"/>
      <c r="M24" s="129"/>
      <c r="N24" s="129"/>
      <c r="O24" s="125"/>
      <c r="P24" s="125"/>
      <c r="Q24" s="168"/>
      <c r="R24" s="168"/>
    </row>
    <row r="25" spans="1:22" ht="12.95" customHeight="1" x14ac:dyDescent="0.2">
      <c r="A25" s="148" t="s">
        <v>674</v>
      </c>
      <c r="B25" s="147">
        <v>2</v>
      </c>
      <c r="C25" s="146">
        <v>30376</v>
      </c>
      <c r="D25" s="145">
        <v>30376</v>
      </c>
      <c r="E25" s="144" t="s">
        <v>671</v>
      </c>
      <c r="F25" s="143" t="s">
        <v>723</v>
      </c>
      <c r="G25" s="129"/>
      <c r="H25" s="129"/>
      <c r="I25" s="129"/>
      <c r="J25" s="129"/>
      <c r="K25" s="129"/>
      <c r="L25" s="173"/>
      <c r="M25" s="129"/>
      <c r="N25" s="129"/>
      <c r="O25" s="125"/>
      <c r="P25" s="125"/>
      <c r="Q25" s="168"/>
      <c r="R25" s="168"/>
    </row>
    <row r="26" spans="1:22" ht="12.95" customHeight="1" x14ac:dyDescent="0.2">
      <c r="A26" s="148" t="s">
        <v>673</v>
      </c>
      <c r="B26" s="147">
        <v>11</v>
      </c>
      <c r="C26" s="146">
        <v>28946</v>
      </c>
      <c r="D26" s="145">
        <v>28946</v>
      </c>
      <c r="E26" s="144" t="s">
        <v>671</v>
      </c>
      <c r="F26" s="143" t="s">
        <v>723</v>
      </c>
      <c r="G26" s="129"/>
      <c r="H26" s="129"/>
      <c r="I26" s="129"/>
      <c r="J26" s="129"/>
      <c r="K26" s="129"/>
      <c r="L26" s="173"/>
      <c r="M26" s="129"/>
      <c r="N26" s="129"/>
      <c r="O26" s="125"/>
      <c r="P26" s="125"/>
      <c r="Q26" s="168"/>
      <c r="R26" s="168"/>
    </row>
    <row r="27" spans="1:22" ht="12.95" customHeight="1" x14ac:dyDescent="0.2">
      <c r="A27" s="148" t="s">
        <v>672</v>
      </c>
      <c r="B27" s="147">
        <v>240</v>
      </c>
      <c r="C27" s="146">
        <v>28126</v>
      </c>
      <c r="D27" s="145">
        <v>28126</v>
      </c>
      <c r="E27" s="144" t="s">
        <v>671</v>
      </c>
      <c r="F27" s="143" t="s">
        <v>723</v>
      </c>
      <c r="G27" s="129"/>
      <c r="H27" s="129"/>
      <c r="I27" s="129"/>
      <c r="J27" s="129"/>
      <c r="K27" s="129"/>
      <c r="L27" s="173"/>
      <c r="M27" s="129"/>
      <c r="N27" s="129"/>
      <c r="O27" s="125"/>
      <c r="P27" s="125"/>
      <c r="Q27" s="168"/>
      <c r="R27" s="168"/>
    </row>
    <row r="28" spans="1:22" ht="12.95" customHeight="1" x14ac:dyDescent="0.2">
      <c r="A28" s="148" t="s">
        <v>670</v>
      </c>
      <c r="B28" s="147">
        <v>1000</v>
      </c>
      <c r="C28" s="146">
        <v>29754</v>
      </c>
      <c r="D28" s="145">
        <v>29754</v>
      </c>
      <c r="E28" s="144" t="s">
        <v>668</v>
      </c>
      <c r="F28" s="143" t="s">
        <v>723</v>
      </c>
      <c r="G28" s="129"/>
      <c r="H28" s="129"/>
      <c r="I28" s="129"/>
      <c r="J28" s="129"/>
      <c r="K28" s="129"/>
      <c r="L28" s="173"/>
      <c r="M28" s="129"/>
      <c r="N28" s="129"/>
      <c r="O28" s="125"/>
      <c r="P28" s="125"/>
      <c r="Q28" s="168"/>
      <c r="R28" s="168"/>
    </row>
    <row r="29" spans="1:22" ht="12.95" customHeight="1" x14ac:dyDescent="0.2">
      <c r="A29" s="148" t="s">
        <v>669</v>
      </c>
      <c r="B29" s="147">
        <v>400</v>
      </c>
      <c r="C29" s="146">
        <v>32251</v>
      </c>
      <c r="D29" s="145">
        <v>32251</v>
      </c>
      <c r="E29" s="144" t="s">
        <v>668</v>
      </c>
      <c r="F29" s="143" t="s">
        <v>723</v>
      </c>
      <c r="G29" s="129"/>
      <c r="H29" s="129"/>
      <c r="I29" s="129"/>
      <c r="J29" s="129"/>
      <c r="K29" s="129"/>
      <c r="L29" s="173"/>
      <c r="M29" s="129"/>
      <c r="N29" s="129"/>
      <c r="O29" s="125"/>
      <c r="P29" s="125"/>
      <c r="Q29" s="168"/>
      <c r="R29" s="168"/>
    </row>
    <row r="30" spans="1:22" ht="12.95" customHeight="1" x14ac:dyDescent="0.2">
      <c r="A30" s="148" t="s">
        <v>667</v>
      </c>
      <c r="B30" s="147">
        <v>1600</v>
      </c>
      <c r="C30" s="146">
        <v>24462</v>
      </c>
      <c r="D30" s="145">
        <v>38504</v>
      </c>
      <c r="E30" s="144" t="s">
        <v>664</v>
      </c>
      <c r="F30" s="143" t="s">
        <v>722</v>
      </c>
      <c r="G30" s="170">
        <v>4732163</v>
      </c>
      <c r="H30" s="170">
        <v>4629763</v>
      </c>
      <c r="I30" s="170">
        <v>4329462</v>
      </c>
      <c r="J30" s="170">
        <v>8379789</v>
      </c>
      <c r="K30" s="170">
        <v>5297913</v>
      </c>
      <c r="L30" s="171">
        <v>5074264</v>
      </c>
      <c r="M30" s="170">
        <v>4560670</v>
      </c>
      <c r="N30" s="170">
        <v>4492749</v>
      </c>
      <c r="O30" s="125">
        <v>3904520</v>
      </c>
      <c r="P30" s="133">
        <f>'eskom production 2009-YTD'!P30*3.6/V30/P69</f>
        <v>4136500.4615444024</v>
      </c>
      <c r="Q30" s="168">
        <f>$P$34/$P$33*P30/1000000</f>
        <v>4.1340509200956976</v>
      </c>
      <c r="R30" s="168">
        <f t="shared" ref="R30:R32" si="5">Q30*P69</f>
        <v>90.098176557023521</v>
      </c>
      <c r="S30" s="168">
        <f>'eskom production 2009-YTD'!T30*3.6/V30/P69</f>
        <v>3.9211405842125462</v>
      </c>
      <c r="T30" s="114">
        <f>'eskom production 2009-YTD'!O60</f>
        <v>0.31246526077469189</v>
      </c>
      <c r="U30" s="114">
        <f>AVERAGE('eskom production 2009-YTD'!G60:M60)</f>
        <v>0.2805027762784329</v>
      </c>
      <c r="V30" s="172">
        <f>U30</f>
        <v>0.2805027762784329</v>
      </c>
    </row>
    <row r="31" spans="1:22" ht="12.95" customHeight="1" x14ac:dyDescent="0.2">
      <c r="A31" s="148" t="s">
        <v>666</v>
      </c>
      <c r="B31" s="147">
        <v>1200</v>
      </c>
      <c r="C31" s="146">
        <v>25384</v>
      </c>
      <c r="D31" s="145">
        <v>25384</v>
      </c>
      <c r="E31" s="144" t="s">
        <v>664</v>
      </c>
      <c r="F31" s="143" t="s">
        <v>722</v>
      </c>
      <c r="G31" s="170">
        <v>1637371</v>
      </c>
      <c r="H31" s="170">
        <v>2132979</v>
      </c>
      <c r="I31" s="170">
        <v>3821963</v>
      </c>
      <c r="J31" s="170">
        <v>5491180</v>
      </c>
      <c r="K31" s="170">
        <v>4613355</v>
      </c>
      <c r="L31" s="171">
        <v>3964825</v>
      </c>
      <c r="M31" s="170">
        <v>3293564</v>
      </c>
      <c r="N31" s="170">
        <v>2821309</v>
      </c>
      <c r="O31" s="125">
        <v>2322971</v>
      </c>
      <c r="P31" s="125">
        <f>3/12*N31+9/12*O31</f>
        <v>2447555.5</v>
      </c>
      <c r="Q31" s="168">
        <f>$P$34/$P$33*P31/1000000</f>
        <v>2.4461061133261701</v>
      </c>
      <c r="R31" s="168">
        <f t="shared" si="5"/>
        <v>50.006498818092432</v>
      </c>
      <c r="S31" s="168">
        <f>'eskom production 2009-YTD'!T31*3.6/V31/P70</f>
        <v>2.270264187179603</v>
      </c>
      <c r="T31" s="114">
        <f>'eskom production 2009-YTD'!O61</f>
        <v>0.25533648073953574</v>
      </c>
      <c r="U31" s="114">
        <f>AVERAGE('eskom production 2009-YTD'!G61:M61)</f>
        <v>0.27316307021326686</v>
      </c>
      <c r="V31" s="114">
        <f>U31</f>
        <v>0.27316307021326686</v>
      </c>
    </row>
    <row r="32" spans="1:22" ht="12.95" customHeight="1" x14ac:dyDescent="0.2">
      <c r="A32" s="148" t="s">
        <v>665</v>
      </c>
      <c r="B32" s="147">
        <v>1000</v>
      </c>
      <c r="C32" s="146">
        <v>22591</v>
      </c>
      <c r="D32" s="145">
        <v>22591</v>
      </c>
      <c r="E32" s="144" t="s">
        <v>664</v>
      </c>
      <c r="F32" s="143" t="s">
        <v>722</v>
      </c>
      <c r="G32" s="170">
        <v>664497</v>
      </c>
      <c r="H32" s="170">
        <v>1271010</v>
      </c>
      <c r="I32" s="170">
        <v>1390186</v>
      </c>
      <c r="J32" s="170">
        <v>4104105</v>
      </c>
      <c r="K32" s="170">
        <v>2979546</v>
      </c>
      <c r="L32" s="171">
        <v>2482388</v>
      </c>
      <c r="M32" s="170">
        <v>2494856</v>
      </c>
      <c r="N32" s="170">
        <v>2499772</v>
      </c>
      <c r="O32" s="125">
        <v>1555263</v>
      </c>
      <c r="P32" s="125">
        <f>3/12*N32+9/12*O32</f>
        <v>1791390.25</v>
      </c>
      <c r="Q32" s="168">
        <f>$P$34/$P$33*P32/1000000</f>
        <v>1.7903294294564092</v>
      </c>
      <c r="R32" s="168">
        <f t="shared" si="5"/>
        <v>39.959731712600785</v>
      </c>
      <c r="S32" s="168">
        <f>'eskom production 2009-YTD'!T32*3.6/V32/P71</f>
        <v>1.4600051039866759</v>
      </c>
      <c r="T32" s="114">
        <f>'eskom production 2009-YTD'!O62</f>
        <v>0.24354095003316389</v>
      </c>
      <c r="U32" s="114">
        <f>AVERAGE('eskom production 2009-YTD'!G62:M62)</f>
        <v>0.26721093313230826</v>
      </c>
      <c r="V32" s="114">
        <f>U32</f>
        <v>0.26721093313230826</v>
      </c>
    </row>
    <row r="33" spans="1:20" outlineLevel="1" x14ac:dyDescent="0.2">
      <c r="A33" s="169" t="s">
        <v>721</v>
      </c>
      <c r="B33" s="169"/>
      <c r="C33" s="169"/>
      <c r="D33" s="169"/>
      <c r="E33" s="169"/>
      <c r="F33" s="169"/>
      <c r="G33" s="169"/>
      <c r="H33" s="169"/>
      <c r="I33" s="169"/>
      <c r="J33" s="169"/>
      <c r="K33" s="169"/>
      <c r="L33" s="169"/>
      <c r="P33" s="101">
        <f>SUM(P5:P32)/1000000</f>
        <v>114.36972714997506</v>
      </c>
      <c r="Q33" s="168">
        <f>SUM(Q5:Q32)</f>
        <v>114.30199999999999</v>
      </c>
      <c r="R33" s="168"/>
      <c r="S33" s="168">
        <f>SUM(S5:S32)</f>
        <v>111.94229376948363</v>
      </c>
    </row>
    <row r="34" spans="1:20" ht="12" customHeight="1" outlineLevel="1" x14ac:dyDescent="0.2">
      <c r="A34" s="165" t="s">
        <v>720</v>
      </c>
      <c r="B34" s="164"/>
      <c r="C34" s="164"/>
      <c r="D34" s="164"/>
      <c r="E34" s="164"/>
      <c r="F34" s="164"/>
      <c r="G34" s="164"/>
      <c r="H34" s="164"/>
      <c r="I34" s="164"/>
      <c r="J34" s="164"/>
      <c r="K34" s="164"/>
      <c r="L34" s="164"/>
      <c r="O34" s="101" t="s">
        <v>719</v>
      </c>
      <c r="P34" s="101">
        <v>114.30200000000001</v>
      </c>
    </row>
    <row r="35" spans="1:20" ht="12.95" customHeight="1" outlineLevel="1" x14ac:dyDescent="0.2">
      <c r="A35" s="165" t="s">
        <v>718</v>
      </c>
      <c r="B35" s="164"/>
      <c r="C35" s="164"/>
      <c r="D35" s="164"/>
      <c r="E35" s="164"/>
      <c r="F35" s="164"/>
      <c r="G35" s="164"/>
      <c r="H35" s="164"/>
      <c r="I35" s="164"/>
      <c r="J35" s="164"/>
      <c r="K35" s="164"/>
      <c r="L35" s="164"/>
    </row>
    <row r="36" spans="1:20" ht="12.95" customHeight="1" outlineLevel="1" x14ac:dyDescent="0.2">
      <c r="A36" s="165" t="s">
        <v>717</v>
      </c>
      <c r="B36" s="164"/>
      <c r="C36" s="164"/>
      <c r="D36" s="164"/>
      <c r="E36" s="164"/>
      <c r="F36" s="164"/>
      <c r="G36" s="164"/>
      <c r="H36" s="164"/>
      <c r="I36" s="164"/>
      <c r="J36" s="164"/>
      <c r="K36" s="164"/>
      <c r="L36" s="164"/>
    </row>
    <row r="37" spans="1:20" ht="12.95" customHeight="1" outlineLevel="1" x14ac:dyDescent="0.2">
      <c r="A37" s="167" t="s">
        <v>716</v>
      </c>
      <c r="B37" s="166"/>
      <c r="C37" s="166"/>
      <c r="D37" s="166"/>
      <c r="E37" s="166"/>
      <c r="F37" s="166"/>
      <c r="G37" s="166"/>
      <c r="H37" s="166"/>
      <c r="I37" s="166"/>
      <c r="J37" s="166"/>
      <c r="K37" s="166"/>
      <c r="L37" s="166"/>
    </row>
    <row r="38" spans="1:20" ht="12" customHeight="1" outlineLevel="1" x14ac:dyDescent="0.2">
      <c r="A38" s="165" t="s">
        <v>715</v>
      </c>
      <c r="B38" s="164"/>
      <c r="C38" s="164"/>
      <c r="D38" s="164"/>
      <c r="E38" s="164"/>
      <c r="F38" s="164"/>
      <c r="G38" s="164"/>
      <c r="H38" s="164"/>
      <c r="I38" s="164"/>
      <c r="J38" s="164"/>
      <c r="K38" s="164"/>
      <c r="L38" s="164"/>
    </row>
    <row r="39" spans="1:20" ht="12.95" customHeight="1" outlineLevel="1" x14ac:dyDescent="0.2">
      <c r="A39" s="165" t="s">
        <v>714</v>
      </c>
      <c r="B39" s="164"/>
      <c r="C39" s="164"/>
      <c r="D39" s="164"/>
      <c r="E39" s="164"/>
      <c r="F39" s="164"/>
      <c r="G39" s="164"/>
      <c r="H39" s="164"/>
      <c r="I39" s="164"/>
      <c r="J39" s="164"/>
      <c r="K39" s="164"/>
      <c r="L39" s="164"/>
    </row>
    <row r="40" spans="1:20" ht="9.9499999999999993" customHeight="1" outlineLevel="1" x14ac:dyDescent="0.2">
      <c r="A40" s="165" t="s">
        <v>713</v>
      </c>
      <c r="B40" s="164"/>
      <c r="C40" s="164"/>
      <c r="D40" s="164"/>
      <c r="E40" s="164"/>
      <c r="F40" s="164"/>
      <c r="G40" s="164"/>
      <c r="H40" s="164"/>
      <c r="I40" s="164"/>
      <c r="J40" s="164"/>
      <c r="K40" s="164"/>
      <c r="L40" s="164"/>
    </row>
    <row r="42" spans="1:20" s="64" customFormat="1" ht="36" x14ac:dyDescent="0.2">
      <c r="A42" s="163" t="s">
        <v>712</v>
      </c>
      <c r="B42" s="162" t="s">
        <v>711</v>
      </c>
      <c r="C42" s="160" t="s">
        <v>710</v>
      </c>
      <c r="D42" s="162" t="s">
        <v>709</v>
      </c>
      <c r="E42" s="161" t="s">
        <v>708</v>
      </c>
      <c r="F42" s="160" t="s">
        <v>707</v>
      </c>
      <c r="G42" s="159" t="s">
        <v>706</v>
      </c>
      <c r="H42" s="158"/>
      <c r="I42" s="158"/>
      <c r="J42" s="158"/>
      <c r="K42" s="158"/>
      <c r="L42" s="158"/>
      <c r="M42" s="158"/>
      <c r="N42" s="157"/>
      <c r="O42" s="64">
        <v>0</v>
      </c>
    </row>
    <row r="43" spans="1:20" s="64" customFormat="1" ht="18" x14ac:dyDescent="0.2">
      <c r="A43" s="119"/>
      <c r="B43" s="119"/>
      <c r="C43" s="119"/>
      <c r="D43" s="119"/>
      <c r="E43" s="119"/>
      <c r="F43" s="119"/>
      <c r="G43" s="155" t="s">
        <v>705</v>
      </c>
      <c r="H43" s="155" t="s">
        <v>704</v>
      </c>
      <c r="I43" s="155" t="s">
        <v>703</v>
      </c>
      <c r="J43" s="155" t="s">
        <v>702</v>
      </c>
      <c r="K43" s="155" t="s">
        <v>701</v>
      </c>
      <c r="L43" s="156" t="s">
        <v>700</v>
      </c>
      <c r="M43" s="155" t="s">
        <v>699</v>
      </c>
      <c r="N43" s="155" t="s">
        <v>698</v>
      </c>
      <c r="O43" s="155" t="s">
        <v>643</v>
      </c>
      <c r="P43" s="101" t="s">
        <v>697</v>
      </c>
      <c r="Q43" s="101"/>
      <c r="R43" s="101"/>
      <c r="S43" s="64" t="s">
        <v>696</v>
      </c>
    </row>
    <row r="44" spans="1:20" s="64" customFormat="1" ht="18" x14ac:dyDescent="0.2">
      <c r="A44" s="148" t="s">
        <v>695</v>
      </c>
      <c r="B44" s="147">
        <v>1980</v>
      </c>
      <c r="C44" s="146">
        <v>26197</v>
      </c>
      <c r="D44" s="145">
        <v>26197</v>
      </c>
      <c r="E44" s="144" t="s">
        <v>664</v>
      </c>
      <c r="F44" s="143" t="s">
        <v>663</v>
      </c>
      <c r="G44" s="141">
        <f t="shared" ref="G44:J54" si="6">$K44</f>
        <v>21.5</v>
      </c>
      <c r="H44" s="141">
        <f t="shared" si="6"/>
        <v>21.5</v>
      </c>
      <c r="I44" s="141">
        <f t="shared" si="6"/>
        <v>21.5</v>
      </c>
      <c r="J44" s="141">
        <f t="shared" si="6"/>
        <v>21.5</v>
      </c>
      <c r="K44" s="142">
        <v>21.5</v>
      </c>
      <c r="L44" s="141">
        <f t="shared" ref="L44:N54" si="7">$K44</f>
        <v>21.5</v>
      </c>
      <c r="M44" s="141">
        <f t="shared" si="7"/>
        <v>21.5</v>
      </c>
      <c r="N44" s="141">
        <f t="shared" si="7"/>
        <v>21.5</v>
      </c>
      <c r="O44" s="140">
        <f t="shared" ref="O44:O54" si="8">S44*$O$42+K44*(1-$O$42)</f>
        <v>21.5</v>
      </c>
      <c r="P44" s="140">
        <v>21.229632599417062</v>
      </c>
      <c r="Q44" s="101"/>
      <c r="R44" s="101"/>
      <c r="S44" s="64">
        <v>20.5</v>
      </c>
      <c r="T44" s="116">
        <f t="shared" ref="T44:T54" si="9">P5*P44/1000000</f>
        <v>120.1889177419355</v>
      </c>
    </row>
    <row r="45" spans="1:20" s="64" customFormat="1" ht="18" x14ac:dyDescent="0.2">
      <c r="A45" s="148" t="s">
        <v>694</v>
      </c>
      <c r="B45" s="147">
        <v>3450</v>
      </c>
      <c r="C45" s="146">
        <v>29238</v>
      </c>
      <c r="D45" s="145">
        <v>29238</v>
      </c>
      <c r="E45" s="144" t="s">
        <v>664</v>
      </c>
      <c r="F45" s="143" t="s">
        <v>663</v>
      </c>
      <c r="G45" s="141">
        <f t="shared" si="6"/>
        <v>20.48</v>
      </c>
      <c r="H45" s="141">
        <f t="shared" si="6"/>
        <v>20.48</v>
      </c>
      <c r="I45" s="141">
        <f t="shared" si="6"/>
        <v>20.48</v>
      </c>
      <c r="J45" s="141">
        <f t="shared" si="6"/>
        <v>20.48</v>
      </c>
      <c r="K45" s="142">
        <v>20.48</v>
      </c>
      <c r="L45" s="141">
        <f t="shared" si="7"/>
        <v>20.48</v>
      </c>
      <c r="M45" s="141">
        <f t="shared" si="7"/>
        <v>20.48</v>
      </c>
      <c r="N45" s="141">
        <f t="shared" si="7"/>
        <v>20.48</v>
      </c>
      <c r="O45" s="140">
        <f t="shared" si="8"/>
        <v>20.48</v>
      </c>
      <c r="P45" s="140">
        <v>20.850256603515025</v>
      </c>
      <c r="Q45" s="101"/>
      <c r="R45" s="101"/>
      <c r="S45" s="64">
        <v>20.8</v>
      </c>
      <c r="T45" s="116">
        <f t="shared" si="9"/>
        <v>150.72141418725928</v>
      </c>
    </row>
    <row r="46" spans="1:20" s="64" customFormat="1" ht="18" x14ac:dyDescent="0.2">
      <c r="A46" s="148" t="s">
        <v>693</v>
      </c>
      <c r="B46" s="147">
        <v>1895</v>
      </c>
      <c r="C46" s="146">
        <v>25700</v>
      </c>
      <c r="D46" s="145">
        <v>25700</v>
      </c>
      <c r="E46" s="144" t="s">
        <v>664</v>
      </c>
      <c r="F46" s="143" t="s">
        <v>663</v>
      </c>
      <c r="G46" s="141">
        <f t="shared" si="6"/>
        <v>21.38</v>
      </c>
      <c r="H46" s="141">
        <f t="shared" si="6"/>
        <v>21.38</v>
      </c>
      <c r="I46" s="141">
        <f t="shared" si="6"/>
        <v>21.38</v>
      </c>
      <c r="J46" s="141">
        <f t="shared" si="6"/>
        <v>21.38</v>
      </c>
      <c r="K46" s="142">
        <v>21.38</v>
      </c>
      <c r="L46" s="141">
        <f t="shared" si="7"/>
        <v>21.38</v>
      </c>
      <c r="M46" s="141">
        <f t="shared" si="7"/>
        <v>21.38</v>
      </c>
      <c r="N46" s="141">
        <f t="shared" si="7"/>
        <v>21.38</v>
      </c>
      <c r="O46" s="140">
        <f t="shared" si="8"/>
        <v>21.38</v>
      </c>
      <c r="P46" s="140">
        <v>21.321782227606356</v>
      </c>
      <c r="Q46" s="101"/>
      <c r="R46" s="101"/>
      <c r="S46" s="64">
        <v>20.6</v>
      </c>
      <c r="T46" s="116">
        <f t="shared" si="9"/>
        <v>106.84915431928134</v>
      </c>
    </row>
    <row r="47" spans="1:20" s="64" customFormat="1" ht="18" x14ac:dyDescent="0.2">
      <c r="A47" s="148" t="s">
        <v>692</v>
      </c>
      <c r="B47" s="147">
        <v>3840</v>
      </c>
      <c r="C47" s="146">
        <v>32417</v>
      </c>
      <c r="D47" s="145">
        <v>32417</v>
      </c>
      <c r="E47" s="144" t="s">
        <v>664</v>
      </c>
      <c r="F47" s="143" t="s">
        <v>663</v>
      </c>
      <c r="G47" s="141">
        <f t="shared" si="6"/>
        <v>18.899999999999999</v>
      </c>
      <c r="H47" s="141">
        <f t="shared" si="6"/>
        <v>18.899999999999999</v>
      </c>
      <c r="I47" s="141">
        <f t="shared" si="6"/>
        <v>18.899999999999999</v>
      </c>
      <c r="J47" s="141">
        <f t="shared" si="6"/>
        <v>18.899999999999999</v>
      </c>
      <c r="K47" s="142">
        <v>18.899999999999999</v>
      </c>
      <c r="L47" s="141">
        <f t="shared" si="7"/>
        <v>18.899999999999999</v>
      </c>
      <c r="M47" s="141">
        <f t="shared" si="7"/>
        <v>18.899999999999999</v>
      </c>
      <c r="N47" s="141">
        <f t="shared" si="7"/>
        <v>18.899999999999999</v>
      </c>
      <c r="O47" s="140">
        <f t="shared" si="8"/>
        <v>18.899999999999999</v>
      </c>
      <c r="P47" s="140">
        <v>19.902450329114647</v>
      </c>
      <c r="Q47" s="101"/>
      <c r="R47" s="101"/>
      <c r="S47" s="64">
        <v>18.5</v>
      </c>
      <c r="T47" s="116">
        <f t="shared" si="9"/>
        <v>275.99060554252651</v>
      </c>
    </row>
    <row r="48" spans="1:20" s="64" customFormat="1" ht="18" x14ac:dyDescent="0.2">
      <c r="A48" s="148" t="s">
        <v>691</v>
      </c>
      <c r="B48" s="147">
        <v>2850</v>
      </c>
      <c r="C48" s="146">
        <v>27886</v>
      </c>
      <c r="D48" s="145">
        <v>27886</v>
      </c>
      <c r="E48" s="144" t="s">
        <v>664</v>
      </c>
      <c r="F48" s="143" t="s">
        <v>663</v>
      </c>
      <c r="G48" s="141">
        <f t="shared" si="6"/>
        <v>20</v>
      </c>
      <c r="H48" s="141">
        <f t="shared" si="6"/>
        <v>20</v>
      </c>
      <c r="I48" s="141">
        <f t="shared" si="6"/>
        <v>20</v>
      </c>
      <c r="J48" s="141">
        <f t="shared" si="6"/>
        <v>20</v>
      </c>
      <c r="K48" s="142">
        <v>20</v>
      </c>
      <c r="L48" s="141">
        <f t="shared" si="7"/>
        <v>20</v>
      </c>
      <c r="M48" s="141">
        <f t="shared" si="7"/>
        <v>20</v>
      </c>
      <c r="N48" s="141">
        <f t="shared" si="7"/>
        <v>20</v>
      </c>
      <c r="O48" s="140">
        <f t="shared" si="8"/>
        <v>20</v>
      </c>
      <c r="P48" s="140">
        <v>20.6</v>
      </c>
      <c r="Q48" s="101"/>
      <c r="R48" s="101"/>
      <c r="S48" s="64">
        <v>20.9</v>
      </c>
      <c r="T48" s="116">
        <f t="shared" si="9"/>
        <v>147.79802175</v>
      </c>
    </row>
    <row r="49" spans="1:20" s="64" customFormat="1" ht="18" x14ac:dyDescent="0.2">
      <c r="A49" s="148" t="s">
        <v>690</v>
      </c>
      <c r="B49" s="147">
        <v>3558</v>
      </c>
      <c r="C49" s="146">
        <v>31403</v>
      </c>
      <c r="D49" s="145">
        <v>31403</v>
      </c>
      <c r="E49" s="144" t="s">
        <v>664</v>
      </c>
      <c r="F49" s="143" t="s">
        <v>663</v>
      </c>
      <c r="G49" s="141">
        <f t="shared" si="6"/>
        <v>14.6</v>
      </c>
      <c r="H49" s="141">
        <f t="shared" si="6"/>
        <v>14.6</v>
      </c>
      <c r="I49" s="141">
        <f t="shared" si="6"/>
        <v>14.6</v>
      </c>
      <c r="J49" s="141">
        <f t="shared" si="6"/>
        <v>14.6</v>
      </c>
      <c r="K49" s="154">
        <v>14.6</v>
      </c>
      <c r="L49" s="141">
        <f t="shared" si="7"/>
        <v>14.6</v>
      </c>
      <c r="M49" s="141">
        <f t="shared" si="7"/>
        <v>14.6</v>
      </c>
      <c r="N49" s="141">
        <f t="shared" si="7"/>
        <v>14.6</v>
      </c>
      <c r="O49" s="140">
        <f t="shared" si="8"/>
        <v>14.6</v>
      </c>
      <c r="P49" s="140">
        <v>14.6</v>
      </c>
      <c r="Q49" s="101"/>
      <c r="R49" s="101"/>
      <c r="S49" s="64">
        <v>15.4</v>
      </c>
      <c r="T49" s="116">
        <f t="shared" si="9"/>
        <v>203.50567588235293</v>
      </c>
    </row>
    <row r="50" spans="1:20" s="64" customFormat="1" ht="18" x14ac:dyDescent="0.2">
      <c r="A50" s="148" t="s">
        <v>689</v>
      </c>
      <c r="B50" s="147">
        <v>3690</v>
      </c>
      <c r="C50" s="146">
        <v>32115</v>
      </c>
      <c r="D50" s="145">
        <v>32115</v>
      </c>
      <c r="E50" s="144" t="s">
        <v>664</v>
      </c>
      <c r="F50" s="143" t="s">
        <v>663</v>
      </c>
      <c r="G50" s="141">
        <f t="shared" si="6"/>
        <v>20.5</v>
      </c>
      <c r="H50" s="141">
        <f t="shared" si="6"/>
        <v>20.5</v>
      </c>
      <c r="I50" s="141">
        <f t="shared" si="6"/>
        <v>20.5</v>
      </c>
      <c r="J50" s="141">
        <f t="shared" si="6"/>
        <v>20.5</v>
      </c>
      <c r="K50" s="142">
        <v>20.5</v>
      </c>
      <c r="L50" s="141">
        <f t="shared" si="7"/>
        <v>20.5</v>
      </c>
      <c r="M50" s="141">
        <f t="shared" si="7"/>
        <v>20.5</v>
      </c>
      <c r="N50" s="141">
        <f t="shared" si="7"/>
        <v>20.5</v>
      </c>
      <c r="O50" s="140">
        <f t="shared" si="8"/>
        <v>20.5</v>
      </c>
      <c r="P50" s="140">
        <v>19.600000000000001</v>
      </c>
      <c r="Q50" s="101"/>
      <c r="R50" s="101"/>
      <c r="S50" s="64">
        <v>18.7</v>
      </c>
      <c r="T50" s="116">
        <f t="shared" si="9"/>
        <v>277.19067726474384</v>
      </c>
    </row>
    <row r="51" spans="1:20" s="64" customFormat="1" ht="18" x14ac:dyDescent="0.2">
      <c r="A51" s="148" t="s">
        <v>688</v>
      </c>
      <c r="B51" s="147">
        <v>3843</v>
      </c>
      <c r="C51" s="146">
        <v>35156</v>
      </c>
      <c r="D51" s="145">
        <v>35156</v>
      </c>
      <c r="E51" s="144" t="s">
        <v>664</v>
      </c>
      <c r="F51" s="143" t="s">
        <v>663</v>
      </c>
      <c r="G51" s="141">
        <f t="shared" si="6"/>
        <v>22.26</v>
      </c>
      <c r="H51" s="141">
        <f t="shared" si="6"/>
        <v>22.26</v>
      </c>
      <c r="I51" s="141">
        <f t="shared" si="6"/>
        <v>22.26</v>
      </c>
      <c r="J51" s="141">
        <f t="shared" si="6"/>
        <v>22.26</v>
      </c>
      <c r="K51" s="142">
        <v>22.26</v>
      </c>
      <c r="L51" s="141">
        <f t="shared" si="7"/>
        <v>22.26</v>
      </c>
      <c r="M51" s="141">
        <f t="shared" si="7"/>
        <v>22.26</v>
      </c>
      <c r="N51" s="141">
        <f t="shared" si="7"/>
        <v>22.26</v>
      </c>
      <c r="O51" s="140">
        <f t="shared" si="8"/>
        <v>22.26</v>
      </c>
      <c r="P51" s="140">
        <v>21.392505540441725</v>
      </c>
      <c r="Q51" s="101"/>
      <c r="R51" s="101"/>
      <c r="S51" s="64">
        <v>18.600000000000001</v>
      </c>
      <c r="T51" s="116">
        <f t="shared" si="9"/>
        <v>277.66241587612149</v>
      </c>
    </row>
    <row r="52" spans="1:20" s="64" customFormat="1" ht="18" x14ac:dyDescent="0.2">
      <c r="A52" s="148" t="s">
        <v>687</v>
      </c>
      <c r="B52" s="147">
        <v>3450</v>
      </c>
      <c r="C52" s="146">
        <v>29127</v>
      </c>
      <c r="D52" s="145">
        <v>29127</v>
      </c>
      <c r="E52" s="144" t="s">
        <v>664</v>
      </c>
      <c r="F52" s="143" t="s">
        <v>663</v>
      </c>
      <c r="G52" s="141">
        <f t="shared" si="6"/>
        <v>19.11</v>
      </c>
      <c r="H52" s="141">
        <f t="shared" si="6"/>
        <v>19.11</v>
      </c>
      <c r="I52" s="141">
        <f t="shared" si="6"/>
        <v>19.11</v>
      </c>
      <c r="J52" s="141">
        <f t="shared" si="6"/>
        <v>19.11</v>
      </c>
      <c r="K52" s="142">
        <v>19.11</v>
      </c>
      <c r="L52" s="141">
        <f t="shared" si="7"/>
        <v>19.11</v>
      </c>
      <c r="M52" s="141">
        <f t="shared" si="7"/>
        <v>19.11</v>
      </c>
      <c r="N52" s="141">
        <f t="shared" si="7"/>
        <v>19.11</v>
      </c>
      <c r="O52" s="140">
        <f t="shared" si="8"/>
        <v>19.11</v>
      </c>
      <c r="P52" s="140">
        <v>19.5</v>
      </c>
      <c r="Q52" s="101"/>
      <c r="R52" s="101"/>
      <c r="S52" s="64">
        <v>19.8</v>
      </c>
      <c r="T52" s="116">
        <f t="shared" si="9"/>
        <v>212.39702249999999</v>
      </c>
    </row>
    <row r="53" spans="1:20" s="64" customFormat="1" ht="18" x14ac:dyDescent="0.2">
      <c r="A53" s="148" t="s">
        <v>686</v>
      </c>
      <c r="B53" s="147">
        <v>4764</v>
      </c>
      <c r="C53" s="146">
        <v>42238</v>
      </c>
      <c r="D53" s="145">
        <v>42239</v>
      </c>
      <c r="E53" s="144" t="s">
        <v>664</v>
      </c>
      <c r="F53" s="143" t="s">
        <v>663</v>
      </c>
      <c r="G53" s="141">
        <f t="shared" si="6"/>
        <v>18.72</v>
      </c>
      <c r="H53" s="141">
        <f t="shared" si="6"/>
        <v>18.72</v>
      </c>
      <c r="I53" s="141">
        <f t="shared" si="6"/>
        <v>18.72</v>
      </c>
      <c r="J53" s="141">
        <f t="shared" si="6"/>
        <v>18.72</v>
      </c>
      <c r="K53" s="142">
        <v>18.72</v>
      </c>
      <c r="L53" s="141">
        <f t="shared" si="7"/>
        <v>18.72</v>
      </c>
      <c r="M53" s="141">
        <f t="shared" si="7"/>
        <v>18.72</v>
      </c>
      <c r="N53" s="141">
        <f t="shared" si="7"/>
        <v>18.72</v>
      </c>
      <c r="O53" s="140">
        <f t="shared" si="8"/>
        <v>18.72</v>
      </c>
      <c r="P53" s="140">
        <v>19.600000000000001</v>
      </c>
      <c r="Q53" s="101"/>
      <c r="R53" s="101"/>
      <c r="S53" s="64">
        <v>18.7</v>
      </c>
      <c r="T53" s="116">
        <f t="shared" si="9"/>
        <v>98.392817595687333</v>
      </c>
    </row>
    <row r="54" spans="1:20" s="64" customFormat="1" ht="18" x14ac:dyDescent="0.2">
      <c r="A54" s="148" t="s">
        <v>685</v>
      </c>
      <c r="B54" s="147">
        <v>3510</v>
      </c>
      <c r="C54" s="146">
        <v>31199</v>
      </c>
      <c r="D54" s="145">
        <v>31199</v>
      </c>
      <c r="E54" s="144" t="s">
        <v>664</v>
      </c>
      <c r="F54" s="143" t="s">
        <v>663</v>
      </c>
      <c r="G54" s="141">
        <f t="shared" si="6"/>
        <v>20.46</v>
      </c>
      <c r="H54" s="141">
        <f t="shared" si="6"/>
        <v>20.46</v>
      </c>
      <c r="I54" s="141">
        <f t="shared" si="6"/>
        <v>20.46</v>
      </c>
      <c r="J54" s="141">
        <f t="shared" si="6"/>
        <v>20.46</v>
      </c>
      <c r="K54" s="142">
        <v>20.46</v>
      </c>
      <c r="L54" s="141">
        <f t="shared" si="7"/>
        <v>20.46</v>
      </c>
      <c r="M54" s="141">
        <f t="shared" si="7"/>
        <v>20.46</v>
      </c>
      <c r="N54" s="141">
        <f t="shared" si="7"/>
        <v>20.46</v>
      </c>
      <c r="O54" s="140">
        <f t="shared" si="8"/>
        <v>20.46</v>
      </c>
      <c r="P54" s="140">
        <v>20.582822113073075</v>
      </c>
      <c r="Q54" s="101"/>
      <c r="R54" s="101"/>
      <c r="S54" s="64">
        <v>20.399999999999999</v>
      </c>
      <c r="T54" s="116">
        <f t="shared" si="9"/>
        <v>191.69477418721826</v>
      </c>
    </row>
    <row r="55" spans="1:20" s="64" customFormat="1" x14ac:dyDescent="0.2">
      <c r="A55" s="148" t="s">
        <v>559</v>
      </c>
      <c r="B55" s="147"/>
      <c r="C55" s="146"/>
      <c r="D55" s="145"/>
      <c r="E55" s="144"/>
      <c r="F55" s="143"/>
      <c r="G55" s="141"/>
      <c r="H55" s="141"/>
      <c r="I55" s="141"/>
      <c r="J55" s="141"/>
      <c r="K55" s="142"/>
      <c r="L55" s="141"/>
      <c r="M55" s="141"/>
      <c r="N55" s="141"/>
      <c r="O55" s="140"/>
      <c r="P55" s="140">
        <v>17.5</v>
      </c>
      <c r="Q55" s="101"/>
      <c r="R55" s="101"/>
      <c r="T55" s="116"/>
    </row>
    <row r="56" spans="1:20" s="64" customFormat="1" x14ac:dyDescent="0.2">
      <c r="A56" s="148" t="s">
        <v>684</v>
      </c>
      <c r="B56" s="147">
        <v>1800</v>
      </c>
      <c r="C56" s="146">
        <v>30884</v>
      </c>
      <c r="D56" s="145">
        <v>30884</v>
      </c>
      <c r="E56" s="144" t="s">
        <v>683</v>
      </c>
      <c r="F56" s="143"/>
      <c r="G56" s="141" t="e">
        <f t="shared" ref="G56:J71" si="10">$K56</f>
        <v>#N/A</v>
      </c>
      <c r="H56" s="141" t="e">
        <f t="shared" si="10"/>
        <v>#N/A</v>
      </c>
      <c r="I56" s="141" t="e">
        <f t="shared" si="10"/>
        <v>#N/A</v>
      </c>
      <c r="J56" s="141" t="e">
        <f t="shared" si="10"/>
        <v>#N/A</v>
      </c>
      <c r="K56" s="142" t="e">
        <v>#N/A</v>
      </c>
      <c r="L56" s="141" t="e">
        <f t="shared" ref="L56:N71" si="11">$K56</f>
        <v>#N/A</v>
      </c>
      <c r="M56" s="141" t="e">
        <f t="shared" si="11"/>
        <v>#N/A</v>
      </c>
      <c r="N56" s="141" t="e">
        <f t="shared" si="11"/>
        <v>#N/A</v>
      </c>
      <c r="O56" s="140"/>
      <c r="P56" s="140"/>
      <c r="Q56" s="101"/>
      <c r="R56" s="101"/>
      <c r="T56" s="116"/>
    </row>
    <row r="57" spans="1:20" s="64" customFormat="1" x14ac:dyDescent="0.2">
      <c r="A57" s="153" t="s">
        <v>682</v>
      </c>
      <c r="B57" s="152">
        <v>171</v>
      </c>
      <c r="C57" s="151">
        <v>27893</v>
      </c>
      <c r="D57" s="150">
        <v>27893</v>
      </c>
      <c r="E57" s="149" t="s">
        <v>678</v>
      </c>
      <c r="F57" s="143"/>
      <c r="G57" s="141" t="e">
        <f t="shared" si="10"/>
        <v>#N/A</v>
      </c>
      <c r="H57" s="141" t="e">
        <f t="shared" si="10"/>
        <v>#N/A</v>
      </c>
      <c r="I57" s="141" t="e">
        <f t="shared" si="10"/>
        <v>#N/A</v>
      </c>
      <c r="J57" s="141" t="e">
        <f t="shared" si="10"/>
        <v>#N/A</v>
      </c>
      <c r="K57" s="142" t="e">
        <v>#N/A</v>
      </c>
      <c r="L57" s="141" t="e">
        <f t="shared" si="11"/>
        <v>#N/A</v>
      </c>
      <c r="M57" s="141" t="e">
        <f t="shared" si="11"/>
        <v>#N/A</v>
      </c>
      <c r="N57" s="141" t="e">
        <f t="shared" si="11"/>
        <v>#N/A</v>
      </c>
      <c r="O57" s="140"/>
      <c r="P57" s="140"/>
      <c r="Q57" s="101"/>
      <c r="R57" s="101"/>
      <c r="T57" s="116"/>
    </row>
    <row r="58" spans="1:20" s="64" customFormat="1" x14ac:dyDescent="0.2">
      <c r="A58" s="148" t="s">
        <v>681</v>
      </c>
      <c r="B58" s="147">
        <v>1327</v>
      </c>
      <c r="C58" s="146">
        <v>39356</v>
      </c>
      <c r="D58" s="145">
        <v>39356</v>
      </c>
      <c r="E58" s="144" t="s">
        <v>678</v>
      </c>
      <c r="F58" s="143"/>
      <c r="G58" s="141" t="e">
        <f t="shared" si="10"/>
        <v>#N/A</v>
      </c>
      <c r="H58" s="141" t="e">
        <f t="shared" si="10"/>
        <v>#N/A</v>
      </c>
      <c r="I58" s="141" t="e">
        <f t="shared" si="10"/>
        <v>#N/A</v>
      </c>
      <c r="J58" s="141" t="e">
        <f t="shared" si="10"/>
        <v>#N/A</v>
      </c>
      <c r="K58" s="142" t="e">
        <v>#N/A</v>
      </c>
      <c r="L58" s="141" t="e">
        <f t="shared" si="11"/>
        <v>#N/A</v>
      </c>
      <c r="M58" s="141" t="e">
        <f t="shared" si="11"/>
        <v>#N/A</v>
      </c>
      <c r="N58" s="141" t="e">
        <f t="shared" si="11"/>
        <v>#N/A</v>
      </c>
      <c r="O58" s="140"/>
      <c r="P58" s="140"/>
      <c r="Q58" s="101"/>
      <c r="R58" s="101"/>
      <c r="T58" s="116"/>
    </row>
    <row r="59" spans="1:20" s="64" customFormat="1" x14ac:dyDescent="0.2">
      <c r="A59" s="148" t="s">
        <v>680</v>
      </c>
      <c r="B59" s="147">
        <v>740</v>
      </c>
      <c r="C59" s="146">
        <v>39356</v>
      </c>
      <c r="D59" s="145">
        <v>39356</v>
      </c>
      <c r="E59" s="144" t="s">
        <v>678</v>
      </c>
      <c r="F59" s="143"/>
      <c r="G59" s="141" t="e">
        <f t="shared" si="10"/>
        <v>#N/A</v>
      </c>
      <c r="H59" s="141" t="e">
        <f t="shared" si="10"/>
        <v>#N/A</v>
      </c>
      <c r="I59" s="141" t="e">
        <f t="shared" si="10"/>
        <v>#N/A</v>
      </c>
      <c r="J59" s="141" t="e">
        <f t="shared" si="10"/>
        <v>#N/A</v>
      </c>
      <c r="K59" s="142" t="e">
        <v>#N/A</v>
      </c>
      <c r="L59" s="141" t="e">
        <f t="shared" si="11"/>
        <v>#N/A</v>
      </c>
      <c r="M59" s="141" t="e">
        <f t="shared" si="11"/>
        <v>#N/A</v>
      </c>
      <c r="N59" s="141" t="e">
        <f t="shared" si="11"/>
        <v>#N/A</v>
      </c>
      <c r="O59" s="140"/>
      <c r="P59" s="140"/>
      <c r="Q59" s="101"/>
      <c r="R59" s="101"/>
      <c r="T59" s="116"/>
    </row>
    <row r="60" spans="1:20" s="64" customFormat="1" x14ac:dyDescent="0.2">
      <c r="A60" s="153" t="s">
        <v>679</v>
      </c>
      <c r="B60" s="152">
        <v>171</v>
      </c>
      <c r="C60" s="151">
        <v>28033</v>
      </c>
      <c r="D60" s="150">
        <v>28033</v>
      </c>
      <c r="E60" s="149" t="s">
        <v>678</v>
      </c>
      <c r="F60" s="143"/>
      <c r="G60" s="141" t="e">
        <f t="shared" si="10"/>
        <v>#N/A</v>
      </c>
      <c r="H60" s="141" t="e">
        <f t="shared" si="10"/>
        <v>#N/A</v>
      </c>
      <c r="I60" s="141" t="e">
        <f t="shared" si="10"/>
        <v>#N/A</v>
      </c>
      <c r="J60" s="141" t="e">
        <f t="shared" si="10"/>
        <v>#N/A</v>
      </c>
      <c r="K60" s="142" t="e">
        <v>#N/A</v>
      </c>
      <c r="L60" s="141" t="e">
        <f t="shared" si="11"/>
        <v>#N/A</v>
      </c>
      <c r="M60" s="141" t="e">
        <f t="shared" si="11"/>
        <v>#N/A</v>
      </c>
      <c r="N60" s="141" t="e">
        <f t="shared" si="11"/>
        <v>#N/A</v>
      </c>
      <c r="O60" s="140"/>
      <c r="P60" s="140"/>
      <c r="Q60" s="101"/>
      <c r="R60" s="101"/>
      <c r="T60" s="116"/>
    </row>
    <row r="61" spans="1:20" s="64" customFormat="1" x14ac:dyDescent="0.2">
      <c r="A61" s="148" t="s">
        <v>677</v>
      </c>
      <c r="B61" s="147">
        <v>42</v>
      </c>
      <c r="C61" s="146">
        <v>31048</v>
      </c>
      <c r="D61" s="145">
        <v>31048</v>
      </c>
      <c r="E61" s="144" t="s">
        <v>671</v>
      </c>
      <c r="F61" s="143"/>
      <c r="G61" s="141" t="e">
        <f t="shared" si="10"/>
        <v>#N/A</v>
      </c>
      <c r="H61" s="141" t="e">
        <f t="shared" si="10"/>
        <v>#N/A</v>
      </c>
      <c r="I61" s="141" t="e">
        <f t="shared" si="10"/>
        <v>#N/A</v>
      </c>
      <c r="J61" s="141" t="e">
        <f t="shared" si="10"/>
        <v>#N/A</v>
      </c>
      <c r="K61" s="142" t="e">
        <v>#N/A</v>
      </c>
      <c r="L61" s="141" t="e">
        <f t="shared" si="11"/>
        <v>#N/A</v>
      </c>
      <c r="M61" s="141" t="e">
        <f t="shared" si="11"/>
        <v>#N/A</v>
      </c>
      <c r="N61" s="141" t="e">
        <f t="shared" si="11"/>
        <v>#N/A</v>
      </c>
      <c r="O61" s="140"/>
      <c r="P61" s="140"/>
      <c r="Q61" s="101"/>
      <c r="R61" s="101"/>
      <c r="T61" s="116"/>
    </row>
    <row r="62" spans="1:20" s="64" customFormat="1" x14ac:dyDescent="0.2">
      <c r="A62" s="148" t="s">
        <v>676</v>
      </c>
      <c r="B62" s="147">
        <v>6</v>
      </c>
      <c r="C62" s="146">
        <v>28887</v>
      </c>
      <c r="D62" s="145">
        <v>28887</v>
      </c>
      <c r="E62" s="144" t="s">
        <v>671</v>
      </c>
      <c r="F62" s="143"/>
      <c r="G62" s="141" t="e">
        <f t="shared" si="10"/>
        <v>#N/A</v>
      </c>
      <c r="H62" s="141" t="e">
        <f t="shared" si="10"/>
        <v>#N/A</v>
      </c>
      <c r="I62" s="141" t="e">
        <f t="shared" si="10"/>
        <v>#N/A</v>
      </c>
      <c r="J62" s="141" t="e">
        <f t="shared" si="10"/>
        <v>#N/A</v>
      </c>
      <c r="K62" s="142" t="e">
        <v>#N/A</v>
      </c>
      <c r="L62" s="141" t="e">
        <f t="shared" si="11"/>
        <v>#N/A</v>
      </c>
      <c r="M62" s="141" t="e">
        <f t="shared" si="11"/>
        <v>#N/A</v>
      </c>
      <c r="N62" s="141" t="e">
        <f t="shared" si="11"/>
        <v>#N/A</v>
      </c>
      <c r="O62" s="140"/>
      <c r="P62" s="140"/>
      <c r="Q62" s="101"/>
      <c r="R62" s="101"/>
      <c r="T62" s="116"/>
    </row>
    <row r="63" spans="1:20" s="64" customFormat="1" x14ac:dyDescent="0.2">
      <c r="A63" s="148" t="s">
        <v>675</v>
      </c>
      <c r="B63" s="147">
        <v>360</v>
      </c>
      <c r="C63" s="146">
        <v>26184</v>
      </c>
      <c r="D63" s="145">
        <v>26184</v>
      </c>
      <c r="E63" s="144" t="s">
        <v>671</v>
      </c>
      <c r="F63" s="143"/>
      <c r="G63" s="141" t="e">
        <f t="shared" si="10"/>
        <v>#N/A</v>
      </c>
      <c r="H63" s="141" t="e">
        <f t="shared" si="10"/>
        <v>#N/A</v>
      </c>
      <c r="I63" s="141" t="e">
        <f t="shared" si="10"/>
        <v>#N/A</v>
      </c>
      <c r="J63" s="141" t="e">
        <f t="shared" si="10"/>
        <v>#N/A</v>
      </c>
      <c r="K63" s="142" t="e">
        <v>#N/A</v>
      </c>
      <c r="L63" s="141" t="e">
        <f t="shared" si="11"/>
        <v>#N/A</v>
      </c>
      <c r="M63" s="141" t="e">
        <f t="shared" si="11"/>
        <v>#N/A</v>
      </c>
      <c r="N63" s="141" t="e">
        <f t="shared" si="11"/>
        <v>#N/A</v>
      </c>
      <c r="O63" s="140"/>
      <c r="P63" s="140"/>
      <c r="Q63" s="101"/>
      <c r="R63" s="101"/>
      <c r="T63" s="116"/>
    </row>
    <row r="64" spans="1:20" s="64" customFormat="1" x14ac:dyDescent="0.2">
      <c r="A64" s="148" t="s">
        <v>674</v>
      </c>
      <c r="B64" s="147">
        <v>2</v>
      </c>
      <c r="C64" s="146">
        <v>30376</v>
      </c>
      <c r="D64" s="145">
        <v>30376</v>
      </c>
      <c r="E64" s="144" t="s">
        <v>671</v>
      </c>
      <c r="F64" s="143"/>
      <c r="G64" s="141" t="e">
        <f t="shared" si="10"/>
        <v>#N/A</v>
      </c>
      <c r="H64" s="141" t="e">
        <f t="shared" si="10"/>
        <v>#N/A</v>
      </c>
      <c r="I64" s="141" t="e">
        <f t="shared" si="10"/>
        <v>#N/A</v>
      </c>
      <c r="J64" s="141" t="e">
        <f t="shared" si="10"/>
        <v>#N/A</v>
      </c>
      <c r="K64" s="142" t="e">
        <v>#N/A</v>
      </c>
      <c r="L64" s="141" t="e">
        <f t="shared" si="11"/>
        <v>#N/A</v>
      </c>
      <c r="M64" s="141" t="e">
        <f t="shared" si="11"/>
        <v>#N/A</v>
      </c>
      <c r="N64" s="141" t="e">
        <f t="shared" si="11"/>
        <v>#N/A</v>
      </c>
      <c r="O64" s="140"/>
      <c r="P64" s="140"/>
      <c r="Q64" s="101"/>
      <c r="R64" s="101"/>
      <c r="T64" s="116"/>
    </row>
    <row r="65" spans="1:20" s="64" customFormat="1" x14ac:dyDescent="0.2">
      <c r="A65" s="148" t="s">
        <v>673</v>
      </c>
      <c r="B65" s="147">
        <v>11</v>
      </c>
      <c r="C65" s="146">
        <v>28946</v>
      </c>
      <c r="D65" s="145">
        <v>28946</v>
      </c>
      <c r="E65" s="144" t="s">
        <v>671</v>
      </c>
      <c r="F65" s="143"/>
      <c r="G65" s="141" t="e">
        <f t="shared" si="10"/>
        <v>#N/A</v>
      </c>
      <c r="H65" s="141" t="e">
        <f t="shared" si="10"/>
        <v>#N/A</v>
      </c>
      <c r="I65" s="141" t="e">
        <f t="shared" si="10"/>
        <v>#N/A</v>
      </c>
      <c r="J65" s="141" t="e">
        <f t="shared" si="10"/>
        <v>#N/A</v>
      </c>
      <c r="K65" s="142" t="e">
        <v>#N/A</v>
      </c>
      <c r="L65" s="141" t="e">
        <f t="shared" si="11"/>
        <v>#N/A</v>
      </c>
      <c r="M65" s="141" t="e">
        <f t="shared" si="11"/>
        <v>#N/A</v>
      </c>
      <c r="N65" s="141" t="e">
        <f t="shared" si="11"/>
        <v>#N/A</v>
      </c>
      <c r="O65" s="140"/>
      <c r="P65" s="140"/>
      <c r="Q65" s="101"/>
      <c r="R65" s="101"/>
      <c r="T65" s="116"/>
    </row>
    <row r="66" spans="1:20" s="64" customFormat="1" x14ac:dyDescent="0.2">
      <c r="A66" s="148" t="s">
        <v>672</v>
      </c>
      <c r="B66" s="147">
        <v>240</v>
      </c>
      <c r="C66" s="146">
        <v>28126</v>
      </c>
      <c r="D66" s="145">
        <v>28126</v>
      </c>
      <c r="E66" s="144" t="s">
        <v>671</v>
      </c>
      <c r="F66" s="143"/>
      <c r="G66" s="141" t="e">
        <f t="shared" si="10"/>
        <v>#N/A</v>
      </c>
      <c r="H66" s="141" t="e">
        <f t="shared" si="10"/>
        <v>#N/A</v>
      </c>
      <c r="I66" s="141" t="e">
        <f t="shared" si="10"/>
        <v>#N/A</v>
      </c>
      <c r="J66" s="141" t="e">
        <f t="shared" si="10"/>
        <v>#N/A</v>
      </c>
      <c r="K66" s="142" t="e">
        <v>#N/A</v>
      </c>
      <c r="L66" s="141" t="e">
        <f t="shared" si="11"/>
        <v>#N/A</v>
      </c>
      <c r="M66" s="141" t="e">
        <f t="shared" si="11"/>
        <v>#N/A</v>
      </c>
      <c r="N66" s="141" t="e">
        <f t="shared" si="11"/>
        <v>#N/A</v>
      </c>
      <c r="O66" s="140"/>
      <c r="P66" s="140"/>
      <c r="Q66" s="101"/>
      <c r="R66" s="101"/>
      <c r="T66" s="116"/>
    </row>
    <row r="67" spans="1:20" s="64" customFormat="1" x14ac:dyDescent="0.2">
      <c r="A67" s="148" t="s">
        <v>670</v>
      </c>
      <c r="B67" s="147">
        <v>1000</v>
      </c>
      <c r="C67" s="146">
        <v>29754</v>
      </c>
      <c r="D67" s="145">
        <v>29754</v>
      </c>
      <c r="E67" s="144" t="s">
        <v>668</v>
      </c>
      <c r="F67" s="143"/>
      <c r="G67" s="141" t="e">
        <f t="shared" si="10"/>
        <v>#N/A</v>
      </c>
      <c r="H67" s="141" t="e">
        <f t="shared" si="10"/>
        <v>#N/A</v>
      </c>
      <c r="I67" s="141" t="e">
        <f t="shared" si="10"/>
        <v>#N/A</v>
      </c>
      <c r="J67" s="141" t="e">
        <f t="shared" si="10"/>
        <v>#N/A</v>
      </c>
      <c r="K67" s="142" t="e">
        <v>#N/A</v>
      </c>
      <c r="L67" s="141" t="e">
        <f t="shared" si="11"/>
        <v>#N/A</v>
      </c>
      <c r="M67" s="141" t="e">
        <f t="shared" si="11"/>
        <v>#N/A</v>
      </c>
      <c r="N67" s="141" t="e">
        <f t="shared" si="11"/>
        <v>#N/A</v>
      </c>
      <c r="O67" s="140"/>
      <c r="P67" s="140"/>
      <c r="Q67" s="101"/>
      <c r="R67" s="101"/>
      <c r="T67" s="116"/>
    </row>
    <row r="68" spans="1:20" s="64" customFormat="1" x14ac:dyDescent="0.2">
      <c r="A68" s="148" t="s">
        <v>669</v>
      </c>
      <c r="B68" s="147">
        <v>400</v>
      </c>
      <c r="C68" s="146">
        <v>32251</v>
      </c>
      <c r="D68" s="145">
        <v>32251</v>
      </c>
      <c r="E68" s="144" t="s">
        <v>668</v>
      </c>
      <c r="F68" s="143"/>
      <c r="G68" s="141" t="e">
        <f t="shared" si="10"/>
        <v>#N/A</v>
      </c>
      <c r="H68" s="141" t="e">
        <f t="shared" si="10"/>
        <v>#N/A</v>
      </c>
      <c r="I68" s="141" t="e">
        <f t="shared" si="10"/>
        <v>#N/A</v>
      </c>
      <c r="J68" s="141" t="e">
        <f t="shared" si="10"/>
        <v>#N/A</v>
      </c>
      <c r="K68" s="142" t="e">
        <v>#N/A</v>
      </c>
      <c r="L68" s="141" t="e">
        <f t="shared" si="11"/>
        <v>#N/A</v>
      </c>
      <c r="M68" s="141" t="e">
        <f t="shared" si="11"/>
        <v>#N/A</v>
      </c>
      <c r="N68" s="141" t="e">
        <f t="shared" si="11"/>
        <v>#N/A</v>
      </c>
      <c r="O68" s="140"/>
      <c r="P68" s="140"/>
      <c r="Q68" s="101"/>
      <c r="R68" s="101"/>
      <c r="T68" s="116"/>
    </row>
    <row r="69" spans="1:20" s="64" customFormat="1" ht="18" x14ac:dyDescent="0.2">
      <c r="A69" s="148" t="s">
        <v>667</v>
      </c>
      <c r="B69" s="147">
        <v>1600</v>
      </c>
      <c r="C69" s="146">
        <v>24462</v>
      </c>
      <c r="D69" s="145">
        <v>38504</v>
      </c>
      <c r="E69" s="144" t="s">
        <v>664</v>
      </c>
      <c r="F69" s="143" t="s">
        <v>663</v>
      </c>
      <c r="G69" s="141">
        <f t="shared" si="10"/>
        <v>20</v>
      </c>
      <c r="H69" s="141">
        <f t="shared" si="10"/>
        <v>20</v>
      </c>
      <c r="I69" s="141">
        <f t="shared" si="10"/>
        <v>20</v>
      </c>
      <c r="J69" s="141">
        <f t="shared" si="10"/>
        <v>20</v>
      </c>
      <c r="K69" s="142">
        <v>20</v>
      </c>
      <c r="L69" s="141">
        <f t="shared" si="11"/>
        <v>20</v>
      </c>
      <c r="M69" s="141">
        <f t="shared" si="11"/>
        <v>20</v>
      </c>
      <c r="N69" s="141">
        <f t="shared" si="11"/>
        <v>20</v>
      </c>
      <c r="O69" s="140">
        <f>S69*$O$42+K69*(1-$O$42)</f>
        <v>20</v>
      </c>
      <c r="P69" s="140">
        <v>21.794162263230632</v>
      </c>
      <c r="Q69" s="101"/>
      <c r="R69" s="101"/>
      <c r="S69" s="64">
        <v>18.7</v>
      </c>
      <c r="T69" s="116">
        <f>P30*P69/1000000</f>
        <v>90.151562260827106</v>
      </c>
    </row>
    <row r="70" spans="1:20" s="64" customFormat="1" ht="18" x14ac:dyDescent="0.2">
      <c r="A70" s="148" t="s">
        <v>666</v>
      </c>
      <c r="B70" s="147">
        <v>1200</v>
      </c>
      <c r="C70" s="146">
        <v>25384</v>
      </c>
      <c r="D70" s="145">
        <v>25384</v>
      </c>
      <c r="E70" s="144" t="s">
        <v>664</v>
      </c>
      <c r="F70" s="143" t="s">
        <v>663</v>
      </c>
      <c r="G70" s="141">
        <f t="shared" si="10"/>
        <v>20</v>
      </c>
      <c r="H70" s="141">
        <f t="shared" si="10"/>
        <v>20</v>
      </c>
      <c r="I70" s="141">
        <f t="shared" si="10"/>
        <v>20</v>
      </c>
      <c r="J70" s="141">
        <f t="shared" si="10"/>
        <v>20</v>
      </c>
      <c r="K70" s="142">
        <v>20</v>
      </c>
      <c r="L70" s="141">
        <f t="shared" si="11"/>
        <v>20</v>
      </c>
      <c r="M70" s="141">
        <f t="shared" si="11"/>
        <v>20</v>
      </c>
      <c r="N70" s="141">
        <f t="shared" si="11"/>
        <v>20</v>
      </c>
      <c r="O70" s="140">
        <f>S70*$O$42+K70*(1-$O$42)</f>
        <v>20</v>
      </c>
      <c r="P70" s="140">
        <v>20.443307240704499</v>
      </c>
      <c r="Q70" s="101"/>
      <c r="R70" s="101"/>
      <c r="S70" s="64">
        <v>20</v>
      </c>
      <c r="T70" s="116">
        <f>P31*P70/1000000</f>
        <v>50.03612907517612</v>
      </c>
    </row>
    <row r="71" spans="1:20" s="64" customFormat="1" ht="18" x14ac:dyDescent="0.2">
      <c r="A71" s="148" t="s">
        <v>665</v>
      </c>
      <c r="B71" s="147">
        <v>1000</v>
      </c>
      <c r="C71" s="146">
        <v>22591</v>
      </c>
      <c r="D71" s="145">
        <v>22591</v>
      </c>
      <c r="E71" s="144" t="s">
        <v>664</v>
      </c>
      <c r="F71" s="143" t="s">
        <v>663</v>
      </c>
      <c r="G71" s="141">
        <f t="shared" si="10"/>
        <v>21</v>
      </c>
      <c r="H71" s="141">
        <f t="shared" si="10"/>
        <v>21</v>
      </c>
      <c r="I71" s="141">
        <f t="shared" si="10"/>
        <v>21</v>
      </c>
      <c r="J71" s="141">
        <f t="shared" si="10"/>
        <v>21</v>
      </c>
      <c r="K71" s="142">
        <v>21</v>
      </c>
      <c r="L71" s="141">
        <f t="shared" si="11"/>
        <v>21</v>
      </c>
      <c r="M71" s="141">
        <f t="shared" si="11"/>
        <v>21</v>
      </c>
      <c r="N71" s="141">
        <f t="shared" si="11"/>
        <v>21</v>
      </c>
      <c r="O71" s="140">
        <f>S71*$O$42+K71*(1-$O$42)</f>
        <v>21</v>
      </c>
      <c r="P71" s="140">
        <v>22.319764762361977</v>
      </c>
      <c r="Q71" s="101"/>
      <c r="R71" s="101"/>
      <c r="S71" s="64">
        <v>19.7</v>
      </c>
      <c r="T71" s="116">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6">
        <f>SUM(T44:T71)</f>
        <v>2242.5625971607183</v>
      </c>
    </row>
    <row r="73" spans="1:20" s="64" customFormat="1" x14ac:dyDescent="0.2"/>
    <row r="74" spans="1:20" s="64" customFormat="1" x14ac:dyDescent="0.2">
      <c r="O74" s="64" t="s">
        <v>662</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heetView workbookViewId="1"/>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756</v>
      </c>
    </row>
    <row r="2" spans="1:13" x14ac:dyDescent="0.2">
      <c r="B2" s="64" t="s">
        <v>755</v>
      </c>
      <c r="C2" s="64" t="s">
        <v>754</v>
      </c>
      <c r="D2" s="64" t="s">
        <v>753</v>
      </c>
      <c r="E2" s="64" t="s">
        <v>752</v>
      </c>
      <c r="F2" s="64" t="s">
        <v>751</v>
      </c>
      <c r="G2" s="64" t="s">
        <v>750</v>
      </c>
      <c r="H2" s="64" t="s">
        <v>749</v>
      </c>
      <c r="I2" s="64" t="s">
        <v>748</v>
      </c>
      <c r="J2" s="64" t="s">
        <v>747</v>
      </c>
      <c r="K2" s="64" t="s">
        <v>746</v>
      </c>
      <c r="L2" s="64" t="s">
        <v>745</v>
      </c>
      <c r="M2" s="64" t="s">
        <v>744</v>
      </c>
    </row>
    <row r="3" spans="1:13" x14ac:dyDescent="0.2">
      <c r="F3" s="180">
        <f t="shared" ref="F3:K3" si="0">AVERAGE(F4:F6)</f>
        <v>9578820.4666666668</v>
      </c>
      <c r="G3" s="180">
        <f t="shared" si="0"/>
        <v>820070.5</v>
      </c>
      <c r="H3" s="180">
        <f t="shared" si="0"/>
        <v>1020602.1416756486</v>
      </c>
      <c r="I3" s="180">
        <f t="shared" si="0"/>
        <v>13073492.666666666</v>
      </c>
      <c r="J3" s="180">
        <f t="shared" si="0"/>
        <v>-1579256.3333333333</v>
      </c>
      <c r="K3" s="180">
        <f t="shared" si="0"/>
        <v>94041.234788333371</v>
      </c>
    </row>
    <row r="4" spans="1:13" x14ac:dyDescent="0.2">
      <c r="A4" s="64">
        <v>2017</v>
      </c>
      <c r="B4" s="181">
        <v>201598387.99999949</v>
      </c>
      <c r="C4" s="181">
        <v>3324904.9807239999</v>
      </c>
      <c r="D4" s="181">
        <v>5077716.139824017</v>
      </c>
      <c r="E4" s="181">
        <v>686895.31813699903</v>
      </c>
      <c r="F4" s="181">
        <v>9064887</v>
      </c>
      <c r="G4" s="181">
        <v>699147.5</v>
      </c>
      <c r="H4" s="181">
        <v>88308.198543000297</v>
      </c>
      <c r="I4" s="181">
        <v>15088180</v>
      </c>
      <c r="J4" s="181">
        <v>-1659269</v>
      </c>
      <c r="K4" s="181">
        <v>94537.057675000149</v>
      </c>
      <c r="L4" s="181">
        <f>SUM(B4:K4)</f>
        <v>234063695.19490251</v>
      </c>
      <c r="M4" s="180">
        <f>L4-F4</f>
        <v>224998808.19490251</v>
      </c>
    </row>
    <row r="5" spans="1:13" x14ac:dyDescent="0.2">
      <c r="A5" s="64">
        <v>2018</v>
      </c>
      <c r="B5" s="181">
        <v>203358646.99000072</v>
      </c>
      <c r="C5" s="181">
        <v>3282183.112474001</v>
      </c>
      <c r="D5" s="181">
        <v>6467139.4822820127</v>
      </c>
      <c r="E5" s="181">
        <v>1031296.8576999987</v>
      </c>
      <c r="F5" s="181">
        <v>9871124</v>
      </c>
      <c r="G5" s="181">
        <v>1080965</v>
      </c>
      <c r="H5" s="181">
        <v>858503.3981310036</v>
      </c>
      <c r="I5" s="181">
        <v>10546432</v>
      </c>
      <c r="J5" s="181">
        <v>-1520780</v>
      </c>
      <c r="K5" s="181">
        <v>107410.26118200006</v>
      </c>
      <c r="L5" s="181">
        <f>SUM(B5:K5)</f>
        <v>235082921.10176975</v>
      </c>
      <c r="M5" s="180">
        <f>L5-F5</f>
        <v>225211797.10176975</v>
      </c>
    </row>
    <row r="6" spans="1:13" x14ac:dyDescent="0.2">
      <c r="A6" s="64">
        <v>2019</v>
      </c>
      <c r="B6" s="181">
        <v>194844723.5700002</v>
      </c>
      <c r="C6" s="181">
        <v>3325049.1242890083</v>
      </c>
      <c r="D6" s="181">
        <v>6624686.3538939897</v>
      </c>
      <c r="E6" s="181">
        <v>1557161.2435980064</v>
      </c>
      <c r="F6" s="181">
        <v>9800450.4000000004</v>
      </c>
      <c r="G6" s="181">
        <v>680099</v>
      </c>
      <c r="H6" s="181">
        <v>2114994.8283529417</v>
      </c>
      <c r="I6" s="181">
        <v>13585866</v>
      </c>
      <c r="J6" s="181">
        <v>-1557720</v>
      </c>
      <c r="K6" s="181">
        <v>80176.38550799989</v>
      </c>
      <c r="L6" s="181">
        <f>SUM(B6:K6)</f>
        <v>231055486.90564215</v>
      </c>
      <c r="M6" s="180">
        <f>L6-F6</f>
        <v>221255036.50564215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 workbookViewId="1">
      <selection activeCell="M20" sqref="M20"/>
    </sheetView>
  </sheetViews>
  <sheetFormatPr defaultRowHeight="12.75" x14ac:dyDescent="0.2"/>
  <cols>
    <col min="1" max="16384" width="9.140625" style="64"/>
  </cols>
  <sheetData>
    <row r="3" spans="1:45" x14ac:dyDescent="0.2">
      <c r="C3" s="64" t="s">
        <v>764</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322</v>
      </c>
      <c r="C4" s="64" t="s">
        <v>514</v>
      </c>
      <c r="D4" s="64">
        <v>2025</v>
      </c>
      <c r="E4" s="64">
        <v>2026</v>
      </c>
      <c r="F4" s="64">
        <v>2027</v>
      </c>
      <c r="G4" s="64">
        <v>2028</v>
      </c>
      <c r="H4" s="64">
        <v>2025</v>
      </c>
      <c r="I4" s="64">
        <v>2026</v>
      </c>
      <c r="J4" s="64">
        <v>2027</v>
      </c>
      <c r="K4" s="64">
        <v>2028</v>
      </c>
      <c r="M4" s="64">
        <f t="shared" ref="M4:M17" si="0">COUNT(D4:L4)</f>
        <v>8</v>
      </c>
      <c r="N4" s="64">
        <f>ProcDataGenPre2012!AK9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320</v>
      </c>
      <c r="C5" s="64" t="s">
        <v>447</v>
      </c>
      <c r="D5" s="64">
        <v>2021</v>
      </c>
      <c r="E5" s="64">
        <v>2021</v>
      </c>
      <c r="F5" s="64">
        <v>2022</v>
      </c>
      <c r="M5" s="64">
        <f t="shared" si="0"/>
        <v>3</v>
      </c>
      <c r="N5" s="64">
        <f>ProcDataGenPre2012!AK10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318</v>
      </c>
      <c r="C6" s="64" t="s">
        <v>448</v>
      </c>
      <c r="D6" s="64">
        <v>2020</v>
      </c>
      <c r="E6" s="64">
        <v>2020</v>
      </c>
      <c r="F6" s="64">
        <v>2021</v>
      </c>
      <c r="G6" s="64">
        <v>2022</v>
      </c>
      <c r="M6" s="64">
        <f t="shared" si="0"/>
        <v>4</v>
      </c>
      <c r="N6" s="64">
        <f>ProcDataGenPre2012!AK11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316</v>
      </c>
      <c r="C7" s="64" t="s">
        <v>458</v>
      </c>
      <c r="D7" s="64">
        <v>2021</v>
      </c>
      <c r="E7" s="64">
        <v>2026</v>
      </c>
      <c r="F7" s="64">
        <v>2026</v>
      </c>
      <c r="G7" s="64">
        <v>2027</v>
      </c>
      <c r="H7" s="64">
        <v>2029</v>
      </c>
      <c r="I7" s="64">
        <v>2029</v>
      </c>
      <c r="M7" s="64">
        <f t="shared" si="0"/>
        <v>6</v>
      </c>
      <c r="N7" s="64">
        <f>ProcDataGenPre2012!AK12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314</v>
      </c>
      <c r="C8" s="64" t="s">
        <v>508</v>
      </c>
      <c r="D8" s="64">
        <v>2031</v>
      </c>
      <c r="E8" s="64">
        <v>2031</v>
      </c>
      <c r="F8" s="64">
        <v>2032</v>
      </c>
      <c r="G8" s="64">
        <v>2033</v>
      </c>
      <c r="H8" s="64">
        <v>2033</v>
      </c>
      <c r="I8" s="64">
        <v>2034</v>
      </c>
      <c r="M8" s="64">
        <f t="shared" si="0"/>
        <v>6</v>
      </c>
      <c r="N8" s="64">
        <f>ProcDataGenPre2012!AK13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312</v>
      </c>
      <c r="C9" s="64" t="s">
        <v>451</v>
      </c>
      <c r="E9" s="64">
        <v>2023</v>
      </c>
      <c r="G9" s="64">
        <v>2021</v>
      </c>
      <c r="H9" s="64">
        <v>2022</v>
      </c>
      <c r="I9" s="64">
        <v>2025</v>
      </c>
      <c r="J9" s="64">
        <v>2023</v>
      </c>
      <c r="K9" s="64">
        <v>2022</v>
      </c>
      <c r="L9" s="64">
        <v>2026</v>
      </c>
      <c r="M9" s="64">
        <f t="shared" si="0"/>
        <v>7</v>
      </c>
      <c r="N9" s="64">
        <f>ProcDataGenPre2012!AK14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310</v>
      </c>
      <c r="C10" s="64" t="s">
        <v>497</v>
      </c>
      <c r="D10" s="64">
        <v>2039</v>
      </c>
      <c r="E10" s="64">
        <v>2041</v>
      </c>
      <c r="F10" s="64">
        <v>2042</v>
      </c>
      <c r="G10" s="64">
        <v>2042</v>
      </c>
      <c r="H10" s="64">
        <v>2043</v>
      </c>
      <c r="I10" s="64">
        <v>2044</v>
      </c>
      <c r="M10" s="64">
        <f t="shared" si="0"/>
        <v>6</v>
      </c>
      <c r="N10" s="64">
        <f>ProcDataGenPre2012!AK15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308</v>
      </c>
      <c r="C11" s="64" t="s">
        <v>452</v>
      </c>
      <c r="D11" s="64">
        <v>2026</v>
      </c>
      <c r="E11" s="64">
        <v>2027</v>
      </c>
      <c r="F11" s="64">
        <v>2028</v>
      </c>
      <c r="G11" s="64">
        <v>2029</v>
      </c>
      <c r="H11" s="64">
        <v>2029</v>
      </c>
      <c r="I11" s="64">
        <v>2030</v>
      </c>
      <c r="M11" s="64">
        <f t="shared" si="0"/>
        <v>6</v>
      </c>
      <c r="N11" s="64">
        <f>ProcDataGenPre2012!AK16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306</v>
      </c>
      <c r="C12" s="64" t="s">
        <v>483</v>
      </c>
      <c r="D12" s="64">
        <v>2036</v>
      </c>
      <c r="E12" s="64">
        <v>2037</v>
      </c>
      <c r="F12" s="64">
        <v>2037</v>
      </c>
      <c r="G12" s="64">
        <v>2038</v>
      </c>
      <c r="H12" s="64">
        <v>2040</v>
      </c>
      <c r="I12" s="64">
        <v>2041</v>
      </c>
      <c r="M12" s="64">
        <f t="shared" si="0"/>
        <v>6</v>
      </c>
      <c r="N12" s="64">
        <f>ProcDataGenPre2012!AK17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304</v>
      </c>
      <c r="C13" s="64" t="s">
        <v>449</v>
      </c>
      <c r="D13" s="64">
        <v>2046</v>
      </c>
      <c r="E13" s="64">
        <v>2047</v>
      </c>
      <c r="F13" s="64">
        <v>2048</v>
      </c>
      <c r="M13" s="64">
        <f t="shared" si="0"/>
        <v>3</v>
      </c>
      <c r="N13" s="64">
        <f>ProcDataGenPre2012!AK18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302</v>
      </c>
      <c r="G14" s="64">
        <v>2049</v>
      </c>
      <c r="H14" s="64">
        <v>2050</v>
      </c>
      <c r="I14" s="64">
        <v>2051</v>
      </c>
      <c r="M14" s="64">
        <f t="shared" si="0"/>
        <v>3</v>
      </c>
      <c r="N14" s="64">
        <f>ProcDataGenPre2012!AK19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300</v>
      </c>
      <c r="C15" s="64" t="s">
        <v>476</v>
      </c>
      <c r="D15" s="64">
        <v>2038</v>
      </c>
      <c r="E15" s="64">
        <v>2038</v>
      </c>
      <c r="F15" s="64">
        <v>2039</v>
      </c>
      <c r="G15" s="64">
        <v>2040</v>
      </c>
      <c r="H15" s="64">
        <v>2041</v>
      </c>
      <c r="I15" s="64">
        <v>2042</v>
      </c>
      <c r="M15" s="64">
        <f t="shared" si="0"/>
        <v>6</v>
      </c>
      <c r="N15" s="64">
        <f>ProcDataGenPre2012!AK20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298</v>
      </c>
      <c r="C16" s="64" t="s">
        <v>455</v>
      </c>
      <c r="D16" s="64">
        <v>2030</v>
      </c>
      <c r="E16" s="64">
        <v>2031</v>
      </c>
      <c r="F16" s="64">
        <v>2031</v>
      </c>
      <c r="G16" s="64">
        <v>2032</v>
      </c>
      <c r="H16" s="64">
        <v>2033</v>
      </c>
      <c r="I16" s="64">
        <v>2034</v>
      </c>
      <c r="M16" s="64">
        <f t="shared" si="0"/>
        <v>6</v>
      </c>
      <c r="N16" s="64">
        <f>ProcDataGenPre2012!AK21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296</v>
      </c>
      <c r="C17" s="64" t="s">
        <v>460</v>
      </c>
      <c r="D17" s="64">
        <v>2035</v>
      </c>
      <c r="E17" s="64">
        <v>2036</v>
      </c>
      <c r="F17" s="64">
        <v>2037</v>
      </c>
      <c r="G17" s="64">
        <v>2037</v>
      </c>
      <c r="H17" s="64">
        <v>2039</v>
      </c>
      <c r="I17" s="64">
        <v>2041</v>
      </c>
      <c r="M17" s="64">
        <f t="shared" si="0"/>
        <v>6</v>
      </c>
      <c r="N17" s="64">
        <f>ProcDataGenPre2012!AK22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276</v>
      </c>
      <c r="C18" s="64" t="s">
        <v>468</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274</v>
      </c>
      <c r="C19" s="64" t="s">
        <v>559</v>
      </c>
      <c r="D19" s="64">
        <v>2069</v>
      </c>
      <c r="M19" s="64">
        <v>6</v>
      </c>
      <c r="O19" s="123">
        <f t="shared" ref="O19:AS19" si="16">O18-N18</f>
        <v>-0.20499999999999829</v>
      </c>
      <c r="P19" s="123">
        <f t="shared" si="16"/>
        <v>-1.0392142857142872</v>
      </c>
      <c r="Q19" s="123">
        <f t="shared" si="16"/>
        <v>-0.6619285714285752</v>
      </c>
      <c r="R19" s="123">
        <f t="shared" si="16"/>
        <v>-0.36942857142857122</v>
      </c>
      <c r="S19" s="123">
        <f t="shared" si="16"/>
        <v>0</v>
      </c>
      <c r="T19" s="123">
        <f t="shared" si="16"/>
        <v>-0.55496428571428424</v>
      </c>
      <c r="U19" s="123">
        <f t="shared" si="16"/>
        <v>-1.7739642857142854</v>
      </c>
      <c r="V19" s="123">
        <f t="shared" si="16"/>
        <v>-1.2172499999999928</v>
      </c>
      <c r="W19" s="123">
        <f t="shared" si="16"/>
        <v>-0.84525000000000006</v>
      </c>
      <c r="X19" s="123">
        <f t="shared" si="16"/>
        <v>-1.6940000000000026</v>
      </c>
      <c r="Y19" s="123">
        <f t="shared" si="16"/>
        <v>-1.0499999999999972</v>
      </c>
      <c r="Z19" s="123">
        <f t="shared" si="16"/>
        <v>-2.1083333333333343</v>
      </c>
      <c r="AA19" s="123">
        <f t="shared" si="16"/>
        <v>-1.0541666666666671</v>
      </c>
      <c r="AB19" s="123">
        <f t="shared" si="16"/>
        <v>-1.5333333333333385</v>
      </c>
      <c r="AC19" s="123">
        <f t="shared" si="16"/>
        <v>-1.0541666666666636</v>
      </c>
      <c r="AD19" s="123">
        <f t="shared" si="16"/>
        <v>-0.58500000000000085</v>
      </c>
      <c r="AE19" s="123">
        <f t="shared" si="16"/>
        <v>-1.1780000000000008</v>
      </c>
      <c r="AF19" s="123">
        <f t="shared" si="16"/>
        <v>-2.3559999999999981</v>
      </c>
      <c r="AG19" s="123">
        <f t="shared" si="16"/>
        <v>-1.8229999999999986</v>
      </c>
      <c r="AH19" s="123">
        <f t="shared" si="16"/>
        <v>-1.8400000000000016</v>
      </c>
      <c r="AI19" s="123">
        <f t="shared" si="16"/>
        <v>-1.2079999999999984</v>
      </c>
      <c r="AJ19" s="123">
        <f t="shared" si="16"/>
        <v>-2.4330000000000007</v>
      </c>
      <c r="AK19" s="123">
        <f t="shared" si="16"/>
        <v>-1.8950000000000005</v>
      </c>
      <c r="AL19" s="123">
        <f t="shared" si="16"/>
        <v>-0.63999999999999968</v>
      </c>
      <c r="AM19" s="123">
        <f t="shared" si="16"/>
        <v>-0.63999999999999968</v>
      </c>
      <c r="AN19" s="123">
        <f t="shared" si="16"/>
        <v>0</v>
      </c>
      <c r="AO19" s="123">
        <f t="shared" si="16"/>
        <v>-0.61100000000000021</v>
      </c>
      <c r="AP19" s="123">
        <f t="shared" si="16"/>
        <v>-0.61100000000000021</v>
      </c>
      <c r="AQ19" s="123">
        <f t="shared" si="16"/>
        <v>-0.61099999999999977</v>
      </c>
      <c r="AR19" s="123">
        <f t="shared" si="16"/>
        <v>-0.66999999999999993</v>
      </c>
      <c r="AS19" s="123">
        <f t="shared" si="16"/>
        <v>-0.66999999999999993</v>
      </c>
    </row>
    <row r="22" spans="1:45" x14ac:dyDescent="0.2">
      <c r="B22" s="64" t="s">
        <v>763</v>
      </c>
      <c r="C22" s="64" t="s">
        <v>762</v>
      </c>
      <c r="E22" s="182">
        <v>43949</v>
      </c>
    </row>
    <row r="23" spans="1:45" x14ac:dyDescent="0.2">
      <c r="B23" s="64" t="s">
        <v>761</v>
      </c>
    </row>
    <row r="24" spans="1:45" x14ac:dyDescent="0.2">
      <c r="B24" s="64" t="s">
        <v>760</v>
      </c>
      <c r="C24" s="64" t="s">
        <v>759</v>
      </c>
    </row>
    <row r="25" spans="1:45" x14ac:dyDescent="0.2">
      <c r="C25" s="64" t="s">
        <v>758</v>
      </c>
    </row>
    <row r="101" spans="4:4" x14ac:dyDescent="0.2">
      <c r="D101" s="64" t="s">
        <v>757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 topLeftCell="C91" workbookViewId="1">
      <selection activeCell="P107" sqref="P107"/>
    </sheetView>
  </sheetViews>
  <sheetFormatPr defaultRowHeight="15" x14ac:dyDescent="0.25"/>
  <cols>
    <col min="1" max="1" width="21.5703125" style="183" customWidth="1"/>
    <col min="2" max="2" width="47.7109375" style="183" bestFit="1" customWidth="1"/>
    <col min="3" max="3" width="11.85546875" style="183" bestFit="1" customWidth="1"/>
    <col min="4" max="4" width="47" style="183" bestFit="1" customWidth="1"/>
    <col min="5" max="5" width="28.5703125" style="183" bestFit="1" customWidth="1"/>
    <col min="6" max="6" width="21.28515625" style="183" bestFit="1" customWidth="1"/>
    <col min="7" max="7" width="8.28515625" style="183" customWidth="1"/>
    <col min="8" max="8" width="12.85546875" style="183" customWidth="1"/>
    <col min="9" max="9" width="11.42578125" style="183" customWidth="1"/>
    <col min="10" max="10" width="15.42578125" style="183" customWidth="1"/>
    <col min="11" max="12" width="13.42578125" style="183" customWidth="1"/>
    <col min="13" max="13" width="15.140625" style="183" bestFit="1" customWidth="1"/>
    <col min="14" max="14" width="12.5703125" style="183" customWidth="1"/>
    <col min="15" max="15" width="12" style="183" bestFit="1" customWidth="1"/>
    <col min="16" max="256" width="9.140625" style="183"/>
    <col min="257" max="257" width="21.5703125" style="183" customWidth="1"/>
    <col min="258" max="258" width="47.7109375" style="183" bestFit="1" customWidth="1"/>
    <col min="259" max="259" width="11.85546875" style="183" bestFit="1" customWidth="1"/>
    <col min="260" max="260" width="47" style="183" bestFit="1" customWidth="1"/>
    <col min="261" max="261" width="28.5703125" style="183" bestFit="1" customWidth="1"/>
    <col min="262" max="262" width="21.28515625" style="183" bestFit="1" customWidth="1"/>
    <col min="263" max="263" width="8.28515625" style="183" customWidth="1"/>
    <col min="264" max="264" width="12.85546875" style="183" customWidth="1"/>
    <col min="265" max="265" width="11.42578125" style="183" customWidth="1"/>
    <col min="266" max="266" width="15.42578125" style="183" customWidth="1"/>
    <col min="267" max="268" width="13.42578125" style="183" customWidth="1"/>
    <col min="269" max="269" width="15.140625" style="183" bestFit="1" customWidth="1"/>
    <col min="270" max="270" width="12.5703125" style="183" customWidth="1"/>
    <col min="271" max="271" width="12" style="183" bestFit="1" customWidth="1"/>
    <col min="272" max="512" width="9.140625" style="183"/>
    <col min="513" max="513" width="21.5703125" style="183" customWidth="1"/>
    <col min="514" max="514" width="47.7109375" style="183" bestFit="1" customWidth="1"/>
    <col min="515" max="515" width="11.85546875" style="183" bestFit="1" customWidth="1"/>
    <col min="516" max="516" width="47" style="183" bestFit="1" customWidth="1"/>
    <col min="517" max="517" width="28.5703125" style="183" bestFit="1" customWidth="1"/>
    <col min="518" max="518" width="21.28515625" style="183" bestFit="1" customWidth="1"/>
    <col min="519" max="519" width="8.28515625" style="183" customWidth="1"/>
    <col min="520" max="520" width="12.85546875" style="183" customWidth="1"/>
    <col min="521" max="521" width="11.42578125" style="183" customWidth="1"/>
    <col min="522" max="522" width="15.42578125" style="183" customWidth="1"/>
    <col min="523" max="524" width="13.42578125" style="183" customWidth="1"/>
    <col min="525" max="525" width="15.140625" style="183" bestFit="1" customWidth="1"/>
    <col min="526" max="526" width="12.5703125" style="183" customWidth="1"/>
    <col min="527" max="527" width="12" style="183" bestFit="1" customWidth="1"/>
    <col min="528" max="768" width="9.140625" style="183"/>
    <col min="769" max="769" width="21.5703125" style="183" customWidth="1"/>
    <col min="770" max="770" width="47.7109375" style="183" bestFit="1" customWidth="1"/>
    <col min="771" max="771" width="11.85546875" style="183" bestFit="1" customWidth="1"/>
    <col min="772" max="772" width="47" style="183" bestFit="1" customWidth="1"/>
    <col min="773" max="773" width="28.5703125" style="183" bestFit="1" customWidth="1"/>
    <col min="774" max="774" width="21.28515625" style="183" bestFit="1" customWidth="1"/>
    <col min="775" max="775" width="8.28515625" style="183" customWidth="1"/>
    <col min="776" max="776" width="12.85546875" style="183" customWidth="1"/>
    <col min="777" max="777" width="11.42578125" style="183" customWidth="1"/>
    <col min="778" max="778" width="15.42578125" style="183" customWidth="1"/>
    <col min="779" max="780" width="13.42578125" style="183" customWidth="1"/>
    <col min="781" max="781" width="15.140625" style="183" bestFit="1" customWidth="1"/>
    <col min="782" max="782" width="12.5703125" style="183" customWidth="1"/>
    <col min="783" max="783" width="12" style="183" bestFit="1" customWidth="1"/>
    <col min="784" max="1024" width="9.140625" style="183"/>
    <col min="1025" max="1025" width="21.5703125" style="183" customWidth="1"/>
    <col min="1026" max="1026" width="47.7109375" style="183" bestFit="1" customWidth="1"/>
    <col min="1027" max="1027" width="11.85546875" style="183" bestFit="1" customWidth="1"/>
    <col min="1028" max="1028" width="47" style="183" bestFit="1" customWidth="1"/>
    <col min="1029" max="1029" width="28.5703125" style="183" bestFit="1" customWidth="1"/>
    <col min="1030" max="1030" width="21.28515625" style="183" bestFit="1" customWidth="1"/>
    <col min="1031" max="1031" width="8.28515625" style="183" customWidth="1"/>
    <col min="1032" max="1032" width="12.85546875" style="183" customWidth="1"/>
    <col min="1033" max="1033" width="11.42578125" style="183" customWidth="1"/>
    <col min="1034" max="1034" width="15.42578125" style="183" customWidth="1"/>
    <col min="1035" max="1036" width="13.42578125" style="183" customWidth="1"/>
    <col min="1037" max="1037" width="15.140625" style="183" bestFit="1" customWidth="1"/>
    <col min="1038" max="1038" width="12.5703125" style="183" customWidth="1"/>
    <col min="1039" max="1039" width="12" style="183" bestFit="1" customWidth="1"/>
    <col min="1040" max="1280" width="9.140625" style="183"/>
    <col min="1281" max="1281" width="21.5703125" style="183" customWidth="1"/>
    <col min="1282" max="1282" width="47.7109375" style="183" bestFit="1" customWidth="1"/>
    <col min="1283" max="1283" width="11.85546875" style="183" bestFit="1" customWidth="1"/>
    <col min="1284" max="1284" width="47" style="183" bestFit="1" customWidth="1"/>
    <col min="1285" max="1285" width="28.5703125" style="183" bestFit="1" customWidth="1"/>
    <col min="1286" max="1286" width="21.28515625" style="183" bestFit="1" customWidth="1"/>
    <col min="1287" max="1287" width="8.28515625" style="183" customWidth="1"/>
    <col min="1288" max="1288" width="12.85546875" style="183" customWidth="1"/>
    <col min="1289" max="1289" width="11.42578125" style="183" customWidth="1"/>
    <col min="1290" max="1290" width="15.42578125" style="183" customWidth="1"/>
    <col min="1291" max="1292" width="13.42578125" style="183" customWidth="1"/>
    <col min="1293" max="1293" width="15.140625" style="183" bestFit="1" customWidth="1"/>
    <col min="1294" max="1294" width="12.5703125" style="183" customWidth="1"/>
    <col min="1295" max="1295" width="12" style="183" bestFit="1" customWidth="1"/>
    <col min="1296" max="1536" width="9.140625" style="183"/>
    <col min="1537" max="1537" width="21.5703125" style="183" customWidth="1"/>
    <col min="1538" max="1538" width="47.7109375" style="183" bestFit="1" customWidth="1"/>
    <col min="1539" max="1539" width="11.85546875" style="183" bestFit="1" customWidth="1"/>
    <col min="1540" max="1540" width="47" style="183" bestFit="1" customWidth="1"/>
    <col min="1541" max="1541" width="28.5703125" style="183" bestFit="1" customWidth="1"/>
    <col min="1542" max="1542" width="21.28515625" style="183" bestFit="1" customWidth="1"/>
    <col min="1543" max="1543" width="8.28515625" style="183" customWidth="1"/>
    <col min="1544" max="1544" width="12.85546875" style="183" customWidth="1"/>
    <col min="1545" max="1545" width="11.42578125" style="183" customWidth="1"/>
    <col min="1546" max="1546" width="15.42578125" style="183" customWidth="1"/>
    <col min="1547" max="1548" width="13.42578125" style="183" customWidth="1"/>
    <col min="1549" max="1549" width="15.140625" style="183" bestFit="1" customWidth="1"/>
    <col min="1550" max="1550" width="12.5703125" style="183" customWidth="1"/>
    <col min="1551" max="1551" width="12" style="183" bestFit="1" customWidth="1"/>
    <col min="1552" max="1792" width="9.140625" style="183"/>
    <col min="1793" max="1793" width="21.5703125" style="183" customWidth="1"/>
    <col min="1794" max="1794" width="47.7109375" style="183" bestFit="1" customWidth="1"/>
    <col min="1795" max="1795" width="11.85546875" style="183" bestFit="1" customWidth="1"/>
    <col min="1796" max="1796" width="47" style="183" bestFit="1" customWidth="1"/>
    <col min="1797" max="1797" width="28.5703125" style="183" bestFit="1" customWidth="1"/>
    <col min="1798" max="1798" width="21.28515625" style="183" bestFit="1" customWidth="1"/>
    <col min="1799" max="1799" width="8.28515625" style="183" customWidth="1"/>
    <col min="1800" max="1800" width="12.85546875" style="183" customWidth="1"/>
    <col min="1801" max="1801" width="11.42578125" style="183" customWidth="1"/>
    <col min="1802" max="1802" width="15.42578125" style="183" customWidth="1"/>
    <col min="1803" max="1804" width="13.42578125" style="183" customWidth="1"/>
    <col min="1805" max="1805" width="15.140625" style="183" bestFit="1" customWidth="1"/>
    <col min="1806" max="1806" width="12.5703125" style="183" customWidth="1"/>
    <col min="1807" max="1807" width="12" style="183" bestFit="1" customWidth="1"/>
    <col min="1808" max="2048" width="9.140625" style="183"/>
    <col min="2049" max="2049" width="21.5703125" style="183" customWidth="1"/>
    <col min="2050" max="2050" width="47.7109375" style="183" bestFit="1" customWidth="1"/>
    <col min="2051" max="2051" width="11.85546875" style="183" bestFit="1" customWidth="1"/>
    <col min="2052" max="2052" width="47" style="183" bestFit="1" customWidth="1"/>
    <col min="2053" max="2053" width="28.5703125" style="183" bestFit="1" customWidth="1"/>
    <col min="2054" max="2054" width="21.28515625" style="183" bestFit="1" customWidth="1"/>
    <col min="2055" max="2055" width="8.28515625" style="183" customWidth="1"/>
    <col min="2056" max="2056" width="12.85546875" style="183" customWidth="1"/>
    <col min="2057" max="2057" width="11.42578125" style="183" customWidth="1"/>
    <col min="2058" max="2058" width="15.42578125" style="183" customWidth="1"/>
    <col min="2059" max="2060" width="13.42578125" style="183" customWidth="1"/>
    <col min="2061" max="2061" width="15.140625" style="183" bestFit="1" customWidth="1"/>
    <col min="2062" max="2062" width="12.5703125" style="183" customWidth="1"/>
    <col min="2063" max="2063" width="12" style="183" bestFit="1" customWidth="1"/>
    <col min="2064" max="2304" width="9.140625" style="183"/>
    <col min="2305" max="2305" width="21.5703125" style="183" customWidth="1"/>
    <col min="2306" max="2306" width="47.7109375" style="183" bestFit="1" customWidth="1"/>
    <col min="2307" max="2307" width="11.85546875" style="183" bestFit="1" customWidth="1"/>
    <col min="2308" max="2308" width="47" style="183" bestFit="1" customWidth="1"/>
    <col min="2309" max="2309" width="28.5703125" style="183" bestFit="1" customWidth="1"/>
    <col min="2310" max="2310" width="21.28515625" style="183" bestFit="1" customWidth="1"/>
    <col min="2311" max="2311" width="8.28515625" style="183" customWidth="1"/>
    <col min="2312" max="2312" width="12.85546875" style="183" customWidth="1"/>
    <col min="2313" max="2313" width="11.42578125" style="183" customWidth="1"/>
    <col min="2314" max="2314" width="15.42578125" style="183" customWidth="1"/>
    <col min="2315" max="2316" width="13.42578125" style="183" customWidth="1"/>
    <col min="2317" max="2317" width="15.140625" style="183" bestFit="1" customWidth="1"/>
    <col min="2318" max="2318" width="12.5703125" style="183" customWidth="1"/>
    <col min="2319" max="2319" width="12" style="183" bestFit="1" customWidth="1"/>
    <col min="2320" max="2560" width="9.140625" style="183"/>
    <col min="2561" max="2561" width="21.5703125" style="183" customWidth="1"/>
    <col min="2562" max="2562" width="47.7109375" style="183" bestFit="1" customWidth="1"/>
    <col min="2563" max="2563" width="11.85546875" style="183" bestFit="1" customWidth="1"/>
    <col min="2564" max="2564" width="47" style="183" bestFit="1" customWidth="1"/>
    <col min="2565" max="2565" width="28.5703125" style="183" bestFit="1" customWidth="1"/>
    <col min="2566" max="2566" width="21.28515625" style="183" bestFit="1" customWidth="1"/>
    <col min="2567" max="2567" width="8.28515625" style="183" customWidth="1"/>
    <col min="2568" max="2568" width="12.85546875" style="183" customWidth="1"/>
    <col min="2569" max="2569" width="11.42578125" style="183" customWidth="1"/>
    <col min="2570" max="2570" width="15.42578125" style="183" customWidth="1"/>
    <col min="2571" max="2572" width="13.42578125" style="183" customWidth="1"/>
    <col min="2573" max="2573" width="15.140625" style="183" bestFit="1" customWidth="1"/>
    <col min="2574" max="2574" width="12.5703125" style="183" customWidth="1"/>
    <col min="2575" max="2575" width="12" style="183" bestFit="1" customWidth="1"/>
    <col min="2576" max="2816" width="9.140625" style="183"/>
    <col min="2817" max="2817" width="21.5703125" style="183" customWidth="1"/>
    <col min="2818" max="2818" width="47.7109375" style="183" bestFit="1" customWidth="1"/>
    <col min="2819" max="2819" width="11.85546875" style="183" bestFit="1" customWidth="1"/>
    <col min="2820" max="2820" width="47" style="183" bestFit="1" customWidth="1"/>
    <col min="2821" max="2821" width="28.5703125" style="183" bestFit="1" customWidth="1"/>
    <col min="2822" max="2822" width="21.28515625" style="183" bestFit="1" customWidth="1"/>
    <col min="2823" max="2823" width="8.28515625" style="183" customWidth="1"/>
    <col min="2824" max="2824" width="12.85546875" style="183" customWidth="1"/>
    <col min="2825" max="2825" width="11.42578125" style="183" customWidth="1"/>
    <col min="2826" max="2826" width="15.42578125" style="183" customWidth="1"/>
    <col min="2827" max="2828" width="13.42578125" style="183" customWidth="1"/>
    <col min="2829" max="2829" width="15.140625" style="183" bestFit="1" customWidth="1"/>
    <col min="2830" max="2830" width="12.5703125" style="183" customWidth="1"/>
    <col min="2831" max="2831" width="12" style="183" bestFit="1" customWidth="1"/>
    <col min="2832" max="3072" width="9.140625" style="183"/>
    <col min="3073" max="3073" width="21.5703125" style="183" customWidth="1"/>
    <col min="3074" max="3074" width="47.7109375" style="183" bestFit="1" customWidth="1"/>
    <col min="3075" max="3075" width="11.85546875" style="183" bestFit="1" customWidth="1"/>
    <col min="3076" max="3076" width="47" style="183" bestFit="1" customWidth="1"/>
    <col min="3077" max="3077" width="28.5703125" style="183" bestFit="1" customWidth="1"/>
    <col min="3078" max="3078" width="21.28515625" style="183" bestFit="1" customWidth="1"/>
    <col min="3079" max="3079" width="8.28515625" style="183" customWidth="1"/>
    <col min="3080" max="3080" width="12.85546875" style="183" customWidth="1"/>
    <col min="3081" max="3081" width="11.42578125" style="183" customWidth="1"/>
    <col min="3082" max="3082" width="15.42578125" style="183" customWidth="1"/>
    <col min="3083" max="3084" width="13.42578125" style="183" customWidth="1"/>
    <col min="3085" max="3085" width="15.140625" style="183" bestFit="1" customWidth="1"/>
    <col min="3086" max="3086" width="12.5703125" style="183" customWidth="1"/>
    <col min="3087" max="3087" width="12" style="183" bestFit="1" customWidth="1"/>
    <col min="3088" max="3328" width="9.140625" style="183"/>
    <col min="3329" max="3329" width="21.5703125" style="183" customWidth="1"/>
    <col min="3330" max="3330" width="47.7109375" style="183" bestFit="1" customWidth="1"/>
    <col min="3331" max="3331" width="11.85546875" style="183" bestFit="1" customWidth="1"/>
    <col min="3332" max="3332" width="47" style="183" bestFit="1" customWidth="1"/>
    <col min="3333" max="3333" width="28.5703125" style="183" bestFit="1" customWidth="1"/>
    <col min="3334" max="3334" width="21.28515625" style="183" bestFit="1" customWidth="1"/>
    <col min="3335" max="3335" width="8.28515625" style="183" customWidth="1"/>
    <col min="3336" max="3336" width="12.85546875" style="183" customWidth="1"/>
    <col min="3337" max="3337" width="11.42578125" style="183" customWidth="1"/>
    <col min="3338" max="3338" width="15.42578125" style="183" customWidth="1"/>
    <col min="3339" max="3340" width="13.42578125" style="183" customWidth="1"/>
    <col min="3341" max="3341" width="15.140625" style="183" bestFit="1" customWidth="1"/>
    <col min="3342" max="3342" width="12.5703125" style="183" customWidth="1"/>
    <col min="3343" max="3343" width="12" style="183" bestFit="1" customWidth="1"/>
    <col min="3344" max="3584" width="9.140625" style="183"/>
    <col min="3585" max="3585" width="21.5703125" style="183" customWidth="1"/>
    <col min="3586" max="3586" width="47.7109375" style="183" bestFit="1" customWidth="1"/>
    <col min="3587" max="3587" width="11.85546875" style="183" bestFit="1" customWidth="1"/>
    <col min="3588" max="3588" width="47" style="183" bestFit="1" customWidth="1"/>
    <col min="3589" max="3589" width="28.5703125" style="183" bestFit="1" customWidth="1"/>
    <col min="3590" max="3590" width="21.28515625" style="183" bestFit="1" customWidth="1"/>
    <col min="3591" max="3591" width="8.28515625" style="183" customWidth="1"/>
    <col min="3592" max="3592" width="12.85546875" style="183" customWidth="1"/>
    <col min="3593" max="3593" width="11.42578125" style="183" customWidth="1"/>
    <col min="3594" max="3594" width="15.42578125" style="183" customWidth="1"/>
    <col min="3595" max="3596" width="13.42578125" style="183" customWidth="1"/>
    <col min="3597" max="3597" width="15.140625" style="183" bestFit="1" customWidth="1"/>
    <col min="3598" max="3598" width="12.5703125" style="183" customWidth="1"/>
    <col min="3599" max="3599" width="12" style="183" bestFit="1" customWidth="1"/>
    <col min="3600" max="3840" width="9.140625" style="183"/>
    <col min="3841" max="3841" width="21.5703125" style="183" customWidth="1"/>
    <col min="3842" max="3842" width="47.7109375" style="183" bestFit="1" customWidth="1"/>
    <col min="3843" max="3843" width="11.85546875" style="183" bestFit="1" customWidth="1"/>
    <col min="3844" max="3844" width="47" style="183" bestFit="1" customWidth="1"/>
    <col min="3845" max="3845" width="28.5703125" style="183" bestFit="1" customWidth="1"/>
    <col min="3846" max="3846" width="21.28515625" style="183" bestFit="1" customWidth="1"/>
    <col min="3847" max="3847" width="8.28515625" style="183" customWidth="1"/>
    <col min="3848" max="3848" width="12.85546875" style="183" customWidth="1"/>
    <col min="3849" max="3849" width="11.42578125" style="183" customWidth="1"/>
    <col min="3850" max="3850" width="15.42578125" style="183" customWidth="1"/>
    <col min="3851" max="3852" width="13.42578125" style="183" customWidth="1"/>
    <col min="3853" max="3853" width="15.140625" style="183" bestFit="1" customWidth="1"/>
    <col min="3854" max="3854" width="12.5703125" style="183" customWidth="1"/>
    <col min="3855" max="3855" width="12" style="183" bestFit="1" customWidth="1"/>
    <col min="3856" max="4096" width="9.140625" style="183"/>
    <col min="4097" max="4097" width="21.5703125" style="183" customWidth="1"/>
    <col min="4098" max="4098" width="47.7109375" style="183" bestFit="1" customWidth="1"/>
    <col min="4099" max="4099" width="11.85546875" style="183" bestFit="1" customWidth="1"/>
    <col min="4100" max="4100" width="47" style="183" bestFit="1" customWidth="1"/>
    <col min="4101" max="4101" width="28.5703125" style="183" bestFit="1" customWidth="1"/>
    <col min="4102" max="4102" width="21.28515625" style="183" bestFit="1" customWidth="1"/>
    <col min="4103" max="4103" width="8.28515625" style="183" customWidth="1"/>
    <col min="4104" max="4104" width="12.85546875" style="183" customWidth="1"/>
    <col min="4105" max="4105" width="11.42578125" style="183" customWidth="1"/>
    <col min="4106" max="4106" width="15.42578125" style="183" customWidth="1"/>
    <col min="4107" max="4108" width="13.42578125" style="183" customWidth="1"/>
    <col min="4109" max="4109" width="15.140625" style="183" bestFit="1" customWidth="1"/>
    <col min="4110" max="4110" width="12.5703125" style="183" customWidth="1"/>
    <col min="4111" max="4111" width="12" style="183" bestFit="1" customWidth="1"/>
    <col min="4112" max="4352" width="9.140625" style="183"/>
    <col min="4353" max="4353" width="21.5703125" style="183" customWidth="1"/>
    <col min="4354" max="4354" width="47.7109375" style="183" bestFit="1" customWidth="1"/>
    <col min="4355" max="4355" width="11.85546875" style="183" bestFit="1" customWidth="1"/>
    <col min="4356" max="4356" width="47" style="183" bestFit="1" customWidth="1"/>
    <col min="4357" max="4357" width="28.5703125" style="183" bestFit="1" customWidth="1"/>
    <col min="4358" max="4358" width="21.28515625" style="183" bestFit="1" customWidth="1"/>
    <col min="4359" max="4359" width="8.28515625" style="183" customWidth="1"/>
    <col min="4360" max="4360" width="12.85546875" style="183" customWidth="1"/>
    <col min="4361" max="4361" width="11.42578125" style="183" customWidth="1"/>
    <col min="4362" max="4362" width="15.42578125" style="183" customWidth="1"/>
    <col min="4363" max="4364" width="13.42578125" style="183" customWidth="1"/>
    <col min="4365" max="4365" width="15.140625" style="183" bestFit="1" customWidth="1"/>
    <col min="4366" max="4366" width="12.5703125" style="183" customWidth="1"/>
    <col min="4367" max="4367" width="12" style="183" bestFit="1" customWidth="1"/>
    <col min="4368" max="4608" width="9.140625" style="183"/>
    <col min="4609" max="4609" width="21.5703125" style="183" customWidth="1"/>
    <col min="4610" max="4610" width="47.7109375" style="183" bestFit="1" customWidth="1"/>
    <col min="4611" max="4611" width="11.85546875" style="183" bestFit="1" customWidth="1"/>
    <col min="4612" max="4612" width="47" style="183" bestFit="1" customWidth="1"/>
    <col min="4613" max="4613" width="28.5703125" style="183" bestFit="1" customWidth="1"/>
    <col min="4614" max="4614" width="21.28515625" style="183" bestFit="1" customWidth="1"/>
    <col min="4615" max="4615" width="8.28515625" style="183" customWidth="1"/>
    <col min="4616" max="4616" width="12.85546875" style="183" customWidth="1"/>
    <col min="4617" max="4617" width="11.42578125" style="183" customWidth="1"/>
    <col min="4618" max="4618" width="15.42578125" style="183" customWidth="1"/>
    <col min="4619" max="4620" width="13.42578125" style="183" customWidth="1"/>
    <col min="4621" max="4621" width="15.140625" style="183" bestFit="1" customWidth="1"/>
    <col min="4622" max="4622" width="12.5703125" style="183" customWidth="1"/>
    <col min="4623" max="4623" width="12" style="183" bestFit="1" customWidth="1"/>
    <col min="4624" max="4864" width="9.140625" style="183"/>
    <col min="4865" max="4865" width="21.5703125" style="183" customWidth="1"/>
    <col min="4866" max="4866" width="47.7109375" style="183" bestFit="1" customWidth="1"/>
    <col min="4867" max="4867" width="11.85546875" style="183" bestFit="1" customWidth="1"/>
    <col min="4868" max="4868" width="47" style="183" bestFit="1" customWidth="1"/>
    <col min="4869" max="4869" width="28.5703125" style="183" bestFit="1" customWidth="1"/>
    <col min="4870" max="4870" width="21.28515625" style="183" bestFit="1" customWidth="1"/>
    <col min="4871" max="4871" width="8.28515625" style="183" customWidth="1"/>
    <col min="4872" max="4872" width="12.85546875" style="183" customWidth="1"/>
    <col min="4873" max="4873" width="11.42578125" style="183" customWidth="1"/>
    <col min="4874" max="4874" width="15.42578125" style="183" customWidth="1"/>
    <col min="4875" max="4876" width="13.42578125" style="183" customWidth="1"/>
    <col min="4877" max="4877" width="15.140625" style="183" bestFit="1" customWidth="1"/>
    <col min="4878" max="4878" width="12.5703125" style="183" customWidth="1"/>
    <col min="4879" max="4879" width="12" style="183" bestFit="1" customWidth="1"/>
    <col min="4880" max="5120" width="9.140625" style="183"/>
    <col min="5121" max="5121" width="21.5703125" style="183" customWidth="1"/>
    <col min="5122" max="5122" width="47.7109375" style="183" bestFit="1" customWidth="1"/>
    <col min="5123" max="5123" width="11.85546875" style="183" bestFit="1" customWidth="1"/>
    <col min="5124" max="5124" width="47" style="183" bestFit="1" customWidth="1"/>
    <col min="5125" max="5125" width="28.5703125" style="183" bestFit="1" customWidth="1"/>
    <col min="5126" max="5126" width="21.28515625" style="183" bestFit="1" customWidth="1"/>
    <col min="5127" max="5127" width="8.28515625" style="183" customWidth="1"/>
    <col min="5128" max="5128" width="12.85546875" style="183" customWidth="1"/>
    <col min="5129" max="5129" width="11.42578125" style="183" customWidth="1"/>
    <col min="5130" max="5130" width="15.42578125" style="183" customWidth="1"/>
    <col min="5131" max="5132" width="13.42578125" style="183" customWidth="1"/>
    <col min="5133" max="5133" width="15.140625" style="183" bestFit="1" customWidth="1"/>
    <col min="5134" max="5134" width="12.5703125" style="183" customWidth="1"/>
    <col min="5135" max="5135" width="12" style="183" bestFit="1" customWidth="1"/>
    <col min="5136" max="5376" width="9.140625" style="183"/>
    <col min="5377" max="5377" width="21.5703125" style="183" customWidth="1"/>
    <col min="5378" max="5378" width="47.7109375" style="183" bestFit="1" customWidth="1"/>
    <col min="5379" max="5379" width="11.85546875" style="183" bestFit="1" customWidth="1"/>
    <col min="5380" max="5380" width="47" style="183" bestFit="1" customWidth="1"/>
    <col min="5381" max="5381" width="28.5703125" style="183" bestFit="1" customWidth="1"/>
    <col min="5382" max="5382" width="21.28515625" style="183" bestFit="1" customWidth="1"/>
    <col min="5383" max="5383" width="8.28515625" style="183" customWidth="1"/>
    <col min="5384" max="5384" width="12.85546875" style="183" customWidth="1"/>
    <col min="5385" max="5385" width="11.42578125" style="183" customWidth="1"/>
    <col min="5386" max="5386" width="15.42578125" style="183" customWidth="1"/>
    <col min="5387" max="5388" width="13.42578125" style="183" customWidth="1"/>
    <col min="5389" max="5389" width="15.140625" style="183" bestFit="1" customWidth="1"/>
    <col min="5390" max="5390" width="12.5703125" style="183" customWidth="1"/>
    <col min="5391" max="5391" width="12" style="183" bestFit="1" customWidth="1"/>
    <col min="5392" max="5632" width="9.140625" style="183"/>
    <col min="5633" max="5633" width="21.5703125" style="183" customWidth="1"/>
    <col min="5634" max="5634" width="47.7109375" style="183" bestFit="1" customWidth="1"/>
    <col min="5635" max="5635" width="11.85546875" style="183" bestFit="1" customWidth="1"/>
    <col min="5636" max="5636" width="47" style="183" bestFit="1" customWidth="1"/>
    <col min="5637" max="5637" width="28.5703125" style="183" bestFit="1" customWidth="1"/>
    <col min="5638" max="5638" width="21.28515625" style="183" bestFit="1" customWidth="1"/>
    <col min="5639" max="5639" width="8.28515625" style="183" customWidth="1"/>
    <col min="5640" max="5640" width="12.85546875" style="183" customWidth="1"/>
    <col min="5641" max="5641" width="11.42578125" style="183" customWidth="1"/>
    <col min="5642" max="5642" width="15.42578125" style="183" customWidth="1"/>
    <col min="5643" max="5644" width="13.42578125" style="183" customWidth="1"/>
    <col min="5645" max="5645" width="15.140625" style="183" bestFit="1" customWidth="1"/>
    <col min="5646" max="5646" width="12.5703125" style="183" customWidth="1"/>
    <col min="5647" max="5647" width="12" style="183" bestFit="1" customWidth="1"/>
    <col min="5648" max="5888" width="9.140625" style="183"/>
    <col min="5889" max="5889" width="21.5703125" style="183" customWidth="1"/>
    <col min="5890" max="5890" width="47.7109375" style="183" bestFit="1" customWidth="1"/>
    <col min="5891" max="5891" width="11.85546875" style="183" bestFit="1" customWidth="1"/>
    <col min="5892" max="5892" width="47" style="183" bestFit="1" customWidth="1"/>
    <col min="5893" max="5893" width="28.5703125" style="183" bestFit="1" customWidth="1"/>
    <col min="5894" max="5894" width="21.28515625" style="183" bestFit="1" customWidth="1"/>
    <col min="5895" max="5895" width="8.28515625" style="183" customWidth="1"/>
    <col min="5896" max="5896" width="12.85546875" style="183" customWidth="1"/>
    <col min="5897" max="5897" width="11.42578125" style="183" customWidth="1"/>
    <col min="5898" max="5898" width="15.42578125" style="183" customWidth="1"/>
    <col min="5899" max="5900" width="13.42578125" style="183" customWidth="1"/>
    <col min="5901" max="5901" width="15.140625" style="183" bestFit="1" customWidth="1"/>
    <col min="5902" max="5902" width="12.5703125" style="183" customWidth="1"/>
    <col min="5903" max="5903" width="12" style="183" bestFit="1" customWidth="1"/>
    <col min="5904" max="6144" width="9.140625" style="183"/>
    <col min="6145" max="6145" width="21.5703125" style="183" customWidth="1"/>
    <col min="6146" max="6146" width="47.7109375" style="183" bestFit="1" customWidth="1"/>
    <col min="6147" max="6147" width="11.85546875" style="183" bestFit="1" customWidth="1"/>
    <col min="6148" max="6148" width="47" style="183" bestFit="1" customWidth="1"/>
    <col min="6149" max="6149" width="28.5703125" style="183" bestFit="1" customWidth="1"/>
    <col min="6150" max="6150" width="21.28515625" style="183" bestFit="1" customWidth="1"/>
    <col min="6151" max="6151" width="8.28515625" style="183" customWidth="1"/>
    <col min="6152" max="6152" width="12.85546875" style="183" customWidth="1"/>
    <col min="6153" max="6153" width="11.42578125" style="183" customWidth="1"/>
    <col min="6154" max="6154" width="15.42578125" style="183" customWidth="1"/>
    <col min="6155" max="6156" width="13.42578125" style="183" customWidth="1"/>
    <col min="6157" max="6157" width="15.140625" style="183" bestFit="1" customWidth="1"/>
    <col min="6158" max="6158" width="12.5703125" style="183" customWidth="1"/>
    <col min="6159" max="6159" width="12" style="183" bestFit="1" customWidth="1"/>
    <col min="6160" max="6400" width="9.140625" style="183"/>
    <col min="6401" max="6401" width="21.5703125" style="183" customWidth="1"/>
    <col min="6402" max="6402" width="47.7109375" style="183" bestFit="1" customWidth="1"/>
    <col min="6403" max="6403" width="11.85546875" style="183" bestFit="1" customWidth="1"/>
    <col min="6404" max="6404" width="47" style="183" bestFit="1" customWidth="1"/>
    <col min="6405" max="6405" width="28.5703125" style="183" bestFit="1" customWidth="1"/>
    <col min="6406" max="6406" width="21.28515625" style="183" bestFit="1" customWidth="1"/>
    <col min="6407" max="6407" width="8.28515625" style="183" customWidth="1"/>
    <col min="6408" max="6408" width="12.85546875" style="183" customWidth="1"/>
    <col min="6409" max="6409" width="11.42578125" style="183" customWidth="1"/>
    <col min="6410" max="6410" width="15.42578125" style="183" customWidth="1"/>
    <col min="6411" max="6412" width="13.42578125" style="183" customWidth="1"/>
    <col min="6413" max="6413" width="15.140625" style="183" bestFit="1" customWidth="1"/>
    <col min="6414" max="6414" width="12.5703125" style="183" customWidth="1"/>
    <col min="6415" max="6415" width="12" style="183" bestFit="1" customWidth="1"/>
    <col min="6416" max="6656" width="9.140625" style="183"/>
    <col min="6657" max="6657" width="21.5703125" style="183" customWidth="1"/>
    <col min="6658" max="6658" width="47.7109375" style="183" bestFit="1" customWidth="1"/>
    <col min="6659" max="6659" width="11.85546875" style="183" bestFit="1" customWidth="1"/>
    <col min="6660" max="6660" width="47" style="183" bestFit="1" customWidth="1"/>
    <col min="6661" max="6661" width="28.5703125" style="183" bestFit="1" customWidth="1"/>
    <col min="6662" max="6662" width="21.28515625" style="183" bestFit="1" customWidth="1"/>
    <col min="6663" max="6663" width="8.28515625" style="183" customWidth="1"/>
    <col min="6664" max="6664" width="12.85546875" style="183" customWidth="1"/>
    <col min="6665" max="6665" width="11.42578125" style="183" customWidth="1"/>
    <col min="6666" max="6666" width="15.42578125" style="183" customWidth="1"/>
    <col min="6667" max="6668" width="13.42578125" style="183" customWidth="1"/>
    <col min="6669" max="6669" width="15.140625" style="183" bestFit="1" customWidth="1"/>
    <col min="6670" max="6670" width="12.5703125" style="183" customWidth="1"/>
    <col min="6671" max="6671" width="12" style="183" bestFit="1" customWidth="1"/>
    <col min="6672" max="6912" width="9.140625" style="183"/>
    <col min="6913" max="6913" width="21.5703125" style="183" customWidth="1"/>
    <col min="6914" max="6914" width="47.7109375" style="183" bestFit="1" customWidth="1"/>
    <col min="6915" max="6915" width="11.85546875" style="183" bestFit="1" customWidth="1"/>
    <col min="6916" max="6916" width="47" style="183" bestFit="1" customWidth="1"/>
    <col min="6917" max="6917" width="28.5703125" style="183" bestFit="1" customWidth="1"/>
    <col min="6918" max="6918" width="21.28515625" style="183" bestFit="1" customWidth="1"/>
    <col min="6919" max="6919" width="8.28515625" style="183" customWidth="1"/>
    <col min="6920" max="6920" width="12.85546875" style="183" customWidth="1"/>
    <col min="6921" max="6921" width="11.42578125" style="183" customWidth="1"/>
    <col min="6922" max="6922" width="15.42578125" style="183" customWidth="1"/>
    <col min="6923" max="6924" width="13.42578125" style="183" customWidth="1"/>
    <col min="6925" max="6925" width="15.140625" style="183" bestFit="1" customWidth="1"/>
    <col min="6926" max="6926" width="12.5703125" style="183" customWidth="1"/>
    <col min="6927" max="6927" width="12" style="183" bestFit="1" customWidth="1"/>
    <col min="6928" max="7168" width="9.140625" style="183"/>
    <col min="7169" max="7169" width="21.5703125" style="183" customWidth="1"/>
    <col min="7170" max="7170" width="47.7109375" style="183" bestFit="1" customWidth="1"/>
    <col min="7171" max="7171" width="11.85546875" style="183" bestFit="1" customWidth="1"/>
    <col min="7172" max="7172" width="47" style="183" bestFit="1" customWidth="1"/>
    <col min="7173" max="7173" width="28.5703125" style="183" bestFit="1" customWidth="1"/>
    <col min="7174" max="7174" width="21.28515625" style="183" bestFit="1" customWidth="1"/>
    <col min="7175" max="7175" width="8.28515625" style="183" customWidth="1"/>
    <col min="7176" max="7176" width="12.85546875" style="183" customWidth="1"/>
    <col min="7177" max="7177" width="11.42578125" style="183" customWidth="1"/>
    <col min="7178" max="7178" width="15.42578125" style="183" customWidth="1"/>
    <col min="7179" max="7180" width="13.42578125" style="183" customWidth="1"/>
    <col min="7181" max="7181" width="15.140625" style="183" bestFit="1" customWidth="1"/>
    <col min="7182" max="7182" width="12.5703125" style="183" customWidth="1"/>
    <col min="7183" max="7183" width="12" style="183" bestFit="1" customWidth="1"/>
    <col min="7184" max="7424" width="9.140625" style="183"/>
    <col min="7425" max="7425" width="21.5703125" style="183" customWidth="1"/>
    <col min="7426" max="7426" width="47.7109375" style="183" bestFit="1" customWidth="1"/>
    <col min="7427" max="7427" width="11.85546875" style="183" bestFit="1" customWidth="1"/>
    <col min="7428" max="7428" width="47" style="183" bestFit="1" customWidth="1"/>
    <col min="7429" max="7429" width="28.5703125" style="183" bestFit="1" customWidth="1"/>
    <col min="7430" max="7430" width="21.28515625" style="183" bestFit="1" customWidth="1"/>
    <col min="7431" max="7431" width="8.28515625" style="183" customWidth="1"/>
    <col min="7432" max="7432" width="12.85546875" style="183" customWidth="1"/>
    <col min="7433" max="7433" width="11.42578125" style="183" customWidth="1"/>
    <col min="7434" max="7434" width="15.42578125" style="183" customWidth="1"/>
    <col min="7435" max="7436" width="13.42578125" style="183" customWidth="1"/>
    <col min="7437" max="7437" width="15.140625" style="183" bestFit="1" customWidth="1"/>
    <col min="7438" max="7438" width="12.5703125" style="183" customWidth="1"/>
    <col min="7439" max="7439" width="12" style="183" bestFit="1" customWidth="1"/>
    <col min="7440" max="7680" width="9.140625" style="183"/>
    <col min="7681" max="7681" width="21.5703125" style="183" customWidth="1"/>
    <col min="7682" max="7682" width="47.7109375" style="183" bestFit="1" customWidth="1"/>
    <col min="7683" max="7683" width="11.85546875" style="183" bestFit="1" customWidth="1"/>
    <col min="7684" max="7684" width="47" style="183" bestFit="1" customWidth="1"/>
    <col min="7685" max="7685" width="28.5703125" style="183" bestFit="1" customWidth="1"/>
    <col min="7686" max="7686" width="21.28515625" style="183" bestFit="1" customWidth="1"/>
    <col min="7687" max="7687" width="8.28515625" style="183" customWidth="1"/>
    <col min="7688" max="7688" width="12.85546875" style="183" customWidth="1"/>
    <col min="7689" max="7689" width="11.42578125" style="183" customWidth="1"/>
    <col min="7690" max="7690" width="15.42578125" style="183" customWidth="1"/>
    <col min="7691" max="7692" width="13.42578125" style="183" customWidth="1"/>
    <col min="7693" max="7693" width="15.140625" style="183" bestFit="1" customWidth="1"/>
    <col min="7694" max="7694" width="12.5703125" style="183" customWidth="1"/>
    <col min="7695" max="7695" width="12" style="183" bestFit="1" customWidth="1"/>
    <col min="7696" max="7936" width="9.140625" style="183"/>
    <col min="7937" max="7937" width="21.5703125" style="183" customWidth="1"/>
    <col min="7938" max="7938" width="47.7109375" style="183" bestFit="1" customWidth="1"/>
    <col min="7939" max="7939" width="11.85546875" style="183" bestFit="1" customWidth="1"/>
    <col min="7940" max="7940" width="47" style="183" bestFit="1" customWidth="1"/>
    <col min="7941" max="7941" width="28.5703125" style="183" bestFit="1" customWidth="1"/>
    <col min="7942" max="7942" width="21.28515625" style="183" bestFit="1" customWidth="1"/>
    <col min="7943" max="7943" width="8.28515625" style="183" customWidth="1"/>
    <col min="7944" max="7944" width="12.85546875" style="183" customWidth="1"/>
    <col min="7945" max="7945" width="11.42578125" style="183" customWidth="1"/>
    <col min="7946" max="7946" width="15.42578125" style="183" customWidth="1"/>
    <col min="7947" max="7948" width="13.42578125" style="183" customWidth="1"/>
    <col min="7949" max="7949" width="15.140625" style="183" bestFit="1" customWidth="1"/>
    <col min="7950" max="7950" width="12.5703125" style="183" customWidth="1"/>
    <col min="7951" max="7951" width="12" style="183" bestFit="1" customWidth="1"/>
    <col min="7952" max="8192" width="9.140625" style="183"/>
    <col min="8193" max="8193" width="21.5703125" style="183" customWidth="1"/>
    <col min="8194" max="8194" width="47.7109375" style="183" bestFit="1" customWidth="1"/>
    <col min="8195" max="8195" width="11.85546875" style="183" bestFit="1" customWidth="1"/>
    <col min="8196" max="8196" width="47" style="183" bestFit="1" customWidth="1"/>
    <col min="8197" max="8197" width="28.5703125" style="183" bestFit="1" customWidth="1"/>
    <col min="8198" max="8198" width="21.28515625" style="183" bestFit="1" customWidth="1"/>
    <col min="8199" max="8199" width="8.28515625" style="183" customWidth="1"/>
    <col min="8200" max="8200" width="12.85546875" style="183" customWidth="1"/>
    <col min="8201" max="8201" width="11.42578125" style="183" customWidth="1"/>
    <col min="8202" max="8202" width="15.42578125" style="183" customWidth="1"/>
    <col min="8203" max="8204" width="13.42578125" style="183" customWidth="1"/>
    <col min="8205" max="8205" width="15.140625" style="183" bestFit="1" customWidth="1"/>
    <col min="8206" max="8206" width="12.5703125" style="183" customWidth="1"/>
    <col min="8207" max="8207" width="12" style="183" bestFit="1" customWidth="1"/>
    <col min="8208" max="8448" width="9.140625" style="183"/>
    <col min="8449" max="8449" width="21.5703125" style="183" customWidth="1"/>
    <col min="8450" max="8450" width="47.7109375" style="183" bestFit="1" customWidth="1"/>
    <col min="8451" max="8451" width="11.85546875" style="183" bestFit="1" customWidth="1"/>
    <col min="8452" max="8452" width="47" style="183" bestFit="1" customWidth="1"/>
    <col min="8453" max="8453" width="28.5703125" style="183" bestFit="1" customWidth="1"/>
    <col min="8454" max="8454" width="21.28515625" style="183" bestFit="1" customWidth="1"/>
    <col min="8455" max="8455" width="8.28515625" style="183" customWidth="1"/>
    <col min="8456" max="8456" width="12.85546875" style="183" customWidth="1"/>
    <col min="8457" max="8457" width="11.42578125" style="183" customWidth="1"/>
    <col min="8458" max="8458" width="15.42578125" style="183" customWidth="1"/>
    <col min="8459" max="8460" width="13.42578125" style="183" customWidth="1"/>
    <col min="8461" max="8461" width="15.140625" style="183" bestFit="1" customWidth="1"/>
    <col min="8462" max="8462" width="12.5703125" style="183" customWidth="1"/>
    <col min="8463" max="8463" width="12" style="183" bestFit="1" customWidth="1"/>
    <col min="8464" max="8704" width="9.140625" style="183"/>
    <col min="8705" max="8705" width="21.5703125" style="183" customWidth="1"/>
    <col min="8706" max="8706" width="47.7109375" style="183" bestFit="1" customWidth="1"/>
    <col min="8707" max="8707" width="11.85546875" style="183" bestFit="1" customWidth="1"/>
    <col min="8708" max="8708" width="47" style="183" bestFit="1" customWidth="1"/>
    <col min="8709" max="8709" width="28.5703125" style="183" bestFit="1" customWidth="1"/>
    <col min="8710" max="8710" width="21.28515625" style="183" bestFit="1" customWidth="1"/>
    <col min="8711" max="8711" width="8.28515625" style="183" customWidth="1"/>
    <col min="8712" max="8712" width="12.85546875" style="183" customWidth="1"/>
    <col min="8713" max="8713" width="11.42578125" style="183" customWidth="1"/>
    <col min="8714" max="8714" width="15.42578125" style="183" customWidth="1"/>
    <col min="8715" max="8716" width="13.42578125" style="183" customWidth="1"/>
    <col min="8717" max="8717" width="15.140625" style="183" bestFit="1" customWidth="1"/>
    <col min="8718" max="8718" width="12.5703125" style="183" customWidth="1"/>
    <col min="8719" max="8719" width="12" style="183" bestFit="1" customWidth="1"/>
    <col min="8720" max="8960" width="9.140625" style="183"/>
    <col min="8961" max="8961" width="21.5703125" style="183" customWidth="1"/>
    <col min="8962" max="8962" width="47.7109375" style="183" bestFit="1" customWidth="1"/>
    <col min="8963" max="8963" width="11.85546875" style="183" bestFit="1" customWidth="1"/>
    <col min="8964" max="8964" width="47" style="183" bestFit="1" customWidth="1"/>
    <col min="8965" max="8965" width="28.5703125" style="183" bestFit="1" customWidth="1"/>
    <col min="8966" max="8966" width="21.28515625" style="183" bestFit="1" customWidth="1"/>
    <col min="8967" max="8967" width="8.28515625" style="183" customWidth="1"/>
    <col min="8968" max="8968" width="12.85546875" style="183" customWidth="1"/>
    <col min="8969" max="8969" width="11.42578125" style="183" customWidth="1"/>
    <col min="8970" max="8970" width="15.42578125" style="183" customWidth="1"/>
    <col min="8971" max="8972" width="13.42578125" style="183" customWidth="1"/>
    <col min="8973" max="8973" width="15.140625" style="183" bestFit="1" customWidth="1"/>
    <col min="8974" max="8974" width="12.5703125" style="183" customWidth="1"/>
    <col min="8975" max="8975" width="12" style="183" bestFit="1" customWidth="1"/>
    <col min="8976" max="9216" width="9.140625" style="183"/>
    <col min="9217" max="9217" width="21.5703125" style="183" customWidth="1"/>
    <col min="9218" max="9218" width="47.7109375" style="183" bestFit="1" customWidth="1"/>
    <col min="9219" max="9219" width="11.85546875" style="183" bestFit="1" customWidth="1"/>
    <col min="9220" max="9220" width="47" style="183" bestFit="1" customWidth="1"/>
    <col min="9221" max="9221" width="28.5703125" style="183" bestFit="1" customWidth="1"/>
    <col min="9222" max="9222" width="21.28515625" style="183" bestFit="1" customWidth="1"/>
    <col min="9223" max="9223" width="8.28515625" style="183" customWidth="1"/>
    <col min="9224" max="9224" width="12.85546875" style="183" customWidth="1"/>
    <col min="9225" max="9225" width="11.42578125" style="183" customWidth="1"/>
    <col min="9226" max="9226" width="15.42578125" style="183" customWidth="1"/>
    <col min="9227" max="9228" width="13.42578125" style="183" customWidth="1"/>
    <col min="9229" max="9229" width="15.140625" style="183" bestFit="1" customWidth="1"/>
    <col min="9230" max="9230" width="12.5703125" style="183" customWidth="1"/>
    <col min="9231" max="9231" width="12" style="183" bestFit="1" customWidth="1"/>
    <col min="9232" max="9472" width="9.140625" style="183"/>
    <col min="9473" max="9473" width="21.5703125" style="183" customWidth="1"/>
    <col min="9474" max="9474" width="47.7109375" style="183" bestFit="1" customWidth="1"/>
    <col min="9475" max="9475" width="11.85546875" style="183" bestFit="1" customWidth="1"/>
    <col min="9476" max="9476" width="47" style="183" bestFit="1" customWidth="1"/>
    <col min="9477" max="9477" width="28.5703125" style="183" bestFit="1" customWidth="1"/>
    <col min="9478" max="9478" width="21.28515625" style="183" bestFit="1" customWidth="1"/>
    <col min="9479" max="9479" width="8.28515625" style="183" customWidth="1"/>
    <col min="9480" max="9480" width="12.85546875" style="183" customWidth="1"/>
    <col min="9481" max="9481" width="11.42578125" style="183" customWidth="1"/>
    <col min="9482" max="9482" width="15.42578125" style="183" customWidth="1"/>
    <col min="9483" max="9484" width="13.42578125" style="183" customWidth="1"/>
    <col min="9485" max="9485" width="15.140625" style="183" bestFit="1" customWidth="1"/>
    <col min="9486" max="9486" width="12.5703125" style="183" customWidth="1"/>
    <col min="9487" max="9487" width="12" style="183" bestFit="1" customWidth="1"/>
    <col min="9488" max="9728" width="9.140625" style="183"/>
    <col min="9729" max="9729" width="21.5703125" style="183" customWidth="1"/>
    <col min="9730" max="9730" width="47.7109375" style="183" bestFit="1" customWidth="1"/>
    <col min="9731" max="9731" width="11.85546875" style="183" bestFit="1" customWidth="1"/>
    <col min="9732" max="9732" width="47" style="183" bestFit="1" customWidth="1"/>
    <col min="9733" max="9733" width="28.5703125" style="183" bestFit="1" customWidth="1"/>
    <col min="9734" max="9734" width="21.28515625" style="183" bestFit="1" customWidth="1"/>
    <col min="9735" max="9735" width="8.28515625" style="183" customWidth="1"/>
    <col min="9736" max="9736" width="12.85546875" style="183" customWidth="1"/>
    <col min="9737" max="9737" width="11.42578125" style="183" customWidth="1"/>
    <col min="9738" max="9738" width="15.42578125" style="183" customWidth="1"/>
    <col min="9739" max="9740" width="13.42578125" style="183" customWidth="1"/>
    <col min="9741" max="9741" width="15.140625" style="183" bestFit="1" customWidth="1"/>
    <col min="9742" max="9742" width="12.5703125" style="183" customWidth="1"/>
    <col min="9743" max="9743" width="12" style="183" bestFit="1" customWidth="1"/>
    <col min="9744" max="9984" width="9.140625" style="183"/>
    <col min="9985" max="9985" width="21.5703125" style="183" customWidth="1"/>
    <col min="9986" max="9986" width="47.7109375" style="183" bestFit="1" customWidth="1"/>
    <col min="9987" max="9987" width="11.85546875" style="183" bestFit="1" customWidth="1"/>
    <col min="9988" max="9988" width="47" style="183" bestFit="1" customWidth="1"/>
    <col min="9989" max="9989" width="28.5703125" style="183" bestFit="1" customWidth="1"/>
    <col min="9990" max="9990" width="21.28515625" style="183" bestFit="1" customWidth="1"/>
    <col min="9991" max="9991" width="8.28515625" style="183" customWidth="1"/>
    <col min="9992" max="9992" width="12.85546875" style="183" customWidth="1"/>
    <col min="9993" max="9993" width="11.42578125" style="183" customWidth="1"/>
    <col min="9994" max="9994" width="15.42578125" style="183" customWidth="1"/>
    <col min="9995" max="9996" width="13.42578125" style="183" customWidth="1"/>
    <col min="9997" max="9997" width="15.140625" style="183" bestFit="1" customWidth="1"/>
    <col min="9998" max="9998" width="12.5703125" style="183" customWidth="1"/>
    <col min="9999" max="9999" width="12" style="183" bestFit="1" customWidth="1"/>
    <col min="10000" max="10240" width="9.140625" style="183"/>
    <col min="10241" max="10241" width="21.5703125" style="183" customWidth="1"/>
    <col min="10242" max="10242" width="47.7109375" style="183" bestFit="1" customWidth="1"/>
    <col min="10243" max="10243" width="11.85546875" style="183" bestFit="1" customWidth="1"/>
    <col min="10244" max="10244" width="47" style="183" bestFit="1" customWidth="1"/>
    <col min="10245" max="10245" width="28.5703125" style="183" bestFit="1" customWidth="1"/>
    <col min="10246" max="10246" width="21.28515625" style="183" bestFit="1" customWidth="1"/>
    <col min="10247" max="10247" width="8.28515625" style="183" customWidth="1"/>
    <col min="10248" max="10248" width="12.85546875" style="183" customWidth="1"/>
    <col min="10249" max="10249" width="11.42578125" style="183" customWidth="1"/>
    <col min="10250" max="10250" width="15.42578125" style="183" customWidth="1"/>
    <col min="10251" max="10252" width="13.42578125" style="183" customWidth="1"/>
    <col min="10253" max="10253" width="15.140625" style="183" bestFit="1" customWidth="1"/>
    <col min="10254" max="10254" width="12.5703125" style="183" customWidth="1"/>
    <col min="10255" max="10255" width="12" style="183" bestFit="1" customWidth="1"/>
    <col min="10256" max="10496" width="9.140625" style="183"/>
    <col min="10497" max="10497" width="21.5703125" style="183" customWidth="1"/>
    <col min="10498" max="10498" width="47.7109375" style="183" bestFit="1" customWidth="1"/>
    <col min="10499" max="10499" width="11.85546875" style="183" bestFit="1" customWidth="1"/>
    <col min="10500" max="10500" width="47" style="183" bestFit="1" customWidth="1"/>
    <col min="10501" max="10501" width="28.5703125" style="183" bestFit="1" customWidth="1"/>
    <col min="10502" max="10502" width="21.28515625" style="183" bestFit="1" customWidth="1"/>
    <col min="10503" max="10503" width="8.28515625" style="183" customWidth="1"/>
    <col min="10504" max="10504" width="12.85546875" style="183" customWidth="1"/>
    <col min="10505" max="10505" width="11.42578125" style="183" customWidth="1"/>
    <col min="10506" max="10506" width="15.42578125" style="183" customWidth="1"/>
    <col min="10507" max="10508" width="13.42578125" style="183" customWidth="1"/>
    <col min="10509" max="10509" width="15.140625" style="183" bestFit="1" customWidth="1"/>
    <col min="10510" max="10510" width="12.5703125" style="183" customWidth="1"/>
    <col min="10511" max="10511" width="12" style="183" bestFit="1" customWidth="1"/>
    <col min="10512" max="10752" width="9.140625" style="183"/>
    <col min="10753" max="10753" width="21.5703125" style="183" customWidth="1"/>
    <col min="10754" max="10754" width="47.7109375" style="183" bestFit="1" customWidth="1"/>
    <col min="10755" max="10755" width="11.85546875" style="183" bestFit="1" customWidth="1"/>
    <col min="10756" max="10756" width="47" style="183" bestFit="1" customWidth="1"/>
    <col min="10757" max="10757" width="28.5703125" style="183" bestFit="1" customWidth="1"/>
    <col min="10758" max="10758" width="21.28515625" style="183" bestFit="1" customWidth="1"/>
    <col min="10759" max="10759" width="8.28515625" style="183" customWidth="1"/>
    <col min="10760" max="10760" width="12.85546875" style="183" customWidth="1"/>
    <col min="10761" max="10761" width="11.42578125" style="183" customWidth="1"/>
    <col min="10762" max="10762" width="15.42578125" style="183" customWidth="1"/>
    <col min="10763" max="10764" width="13.42578125" style="183" customWidth="1"/>
    <col min="10765" max="10765" width="15.140625" style="183" bestFit="1" customWidth="1"/>
    <col min="10766" max="10766" width="12.5703125" style="183" customWidth="1"/>
    <col min="10767" max="10767" width="12" style="183" bestFit="1" customWidth="1"/>
    <col min="10768" max="11008" width="9.140625" style="183"/>
    <col min="11009" max="11009" width="21.5703125" style="183" customWidth="1"/>
    <col min="11010" max="11010" width="47.7109375" style="183" bestFit="1" customWidth="1"/>
    <col min="11011" max="11011" width="11.85546875" style="183" bestFit="1" customWidth="1"/>
    <col min="11012" max="11012" width="47" style="183" bestFit="1" customWidth="1"/>
    <col min="11013" max="11013" width="28.5703125" style="183" bestFit="1" customWidth="1"/>
    <col min="11014" max="11014" width="21.28515625" style="183" bestFit="1" customWidth="1"/>
    <col min="11015" max="11015" width="8.28515625" style="183" customWidth="1"/>
    <col min="11016" max="11016" width="12.85546875" style="183" customWidth="1"/>
    <col min="11017" max="11017" width="11.42578125" style="183" customWidth="1"/>
    <col min="11018" max="11018" width="15.42578125" style="183" customWidth="1"/>
    <col min="11019" max="11020" width="13.42578125" style="183" customWidth="1"/>
    <col min="11021" max="11021" width="15.140625" style="183" bestFit="1" customWidth="1"/>
    <col min="11022" max="11022" width="12.5703125" style="183" customWidth="1"/>
    <col min="11023" max="11023" width="12" style="183" bestFit="1" customWidth="1"/>
    <col min="11024" max="11264" width="9.140625" style="183"/>
    <col min="11265" max="11265" width="21.5703125" style="183" customWidth="1"/>
    <col min="11266" max="11266" width="47.7109375" style="183" bestFit="1" customWidth="1"/>
    <col min="11267" max="11267" width="11.85546875" style="183" bestFit="1" customWidth="1"/>
    <col min="11268" max="11268" width="47" style="183" bestFit="1" customWidth="1"/>
    <col min="11269" max="11269" width="28.5703125" style="183" bestFit="1" customWidth="1"/>
    <col min="11270" max="11270" width="21.28515625" style="183" bestFit="1" customWidth="1"/>
    <col min="11271" max="11271" width="8.28515625" style="183" customWidth="1"/>
    <col min="11272" max="11272" width="12.85546875" style="183" customWidth="1"/>
    <col min="11273" max="11273" width="11.42578125" style="183" customWidth="1"/>
    <col min="11274" max="11274" width="15.42578125" style="183" customWidth="1"/>
    <col min="11275" max="11276" width="13.42578125" style="183" customWidth="1"/>
    <col min="11277" max="11277" width="15.140625" style="183" bestFit="1" customWidth="1"/>
    <col min="11278" max="11278" width="12.5703125" style="183" customWidth="1"/>
    <col min="11279" max="11279" width="12" style="183" bestFit="1" customWidth="1"/>
    <col min="11280" max="11520" width="9.140625" style="183"/>
    <col min="11521" max="11521" width="21.5703125" style="183" customWidth="1"/>
    <col min="11522" max="11522" width="47.7109375" style="183" bestFit="1" customWidth="1"/>
    <col min="11523" max="11523" width="11.85546875" style="183" bestFit="1" customWidth="1"/>
    <col min="11524" max="11524" width="47" style="183" bestFit="1" customWidth="1"/>
    <col min="11525" max="11525" width="28.5703125" style="183" bestFit="1" customWidth="1"/>
    <col min="11526" max="11526" width="21.28515625" style="183" bestFit="1" customWidth="1"/>
    <col min="11527" max="11527" width="8.28515625" style="183" customWidth="1"/>
    <col min="11528" max="11528" width="12.85546875" style="183" customWidth="1"/>
    <col min="11529" max="11529" width="11.42578125" style="183" customWidth="1"/>
    <col min="11530" max="11530" width="15.42578125" style="183" customWidth="1"/>
    <col min="11531" max="11532" width="13.42578125" style="183" customWidth="1"/>
    <col min="11533" max="11533" width="15.140625" style="183" bestFit="1" customWidth="1"/>
    <col min="11534" max="11534" width="12.5703125" style="183" customWidth="1"/>
    <col min="11535" max="11535" width="12" style="183" bestFit="1" customWidth="1"/>
    <col min="11536" max="11776" width="9.140625" style="183"/>
    <col min="11777" max="11777" width="21.5703125" style="183" customWidth="1"/>
    <col min="11778" max="11778" width="47.7109375" style="183" bestFit="1" customWidth="1"/>
    <col min="11779" max="11779" width="11.85546875" style="183" bestFit="1" customWidth="1"/>
    <col min="11780" max="11780" width="47" style="183" bestFit="1" customWidth="1"/>
    <col min="11781" max="11781" width="28.5703125" style="183" bestFit="1" customWidth="1"/>
    <col min="11782" max="11782" width="21.28515625" style="183" bestFit="1" customWidth="1"/>
    <col min="11783" max="11783" width="8.28515625" style="183" customWidth="1"/>
    <col min="11784" max="11784" width="12.85546875" style="183" customWidth="1"/>
    <col min="11785" max="11785" width="11.42578125" style="183" customWidth="1"/>
    <col min="11786" max="11786" width="15.42578125" style="183" customWidth="1"/>
    <col min="11787" max="11788" width="13.42578125" style="183" customWidth="1"/>
    <col min="11789" max="11789" width="15.140625" style="183" bestFit="1" customWidth="1"/>
    <col min="11790" max="11790" width="12.5703125" style="183" customWidth="1"/>
    <col min="11791" max="11791" width="12" style="183" bestFit="1" customWidth="1"/>
    <col min="11792" max="12032" width="9.140625" style="183"/>
    <col min="12033" max="12033" width="21.5703125" style="183" customWidth="1"/>
    <col min="12034" max="12034" width="47.7109375" style="183" bestFit="1" customWidth="1"/>
    <col min="12035" max="12035" width="11.85546875" style="183" bestFit="1" customWidth="1"/>
    <col min="12036" max="12036" width="47" style="183" bestFit="1" customWidth="1"/>
    <col min="12037" max="12037" width="28.5703125" style="183" bestFit="1" customWidth="1"/>
    <col min="12038" max="12038" width="21.28515625" style="183" bestFit="1" customWidth="1"/>
    <col min="12039" max="12039" width="8.28515625" style="183" customWidth="1"/>
    <col min="12040" max="12040" width="12.85546875" style="183" customWidth="1"/>
    <col min="12041" max="12041" width="11.42578125" style="183" customWidth="1"/>
    <col min="12042" max="12042" width="15.42578125" style="183" customWidth="1"/>
    <col min="12043" max="12044" width="13.42578125" style="183" customWidth="1"/>
    <col min="12045" max="12045" width="15.140625" style="183" bestFit="1" customWidth="1"/>
    <col min="12046" max="12046" width="12.5703125" style="183" customWidth="1"/>
    <col min="12047" max="12047" width="12" style="183" bestFit="1" customWidth="1"/>
    <col min="12048" max="12288" width="9.140625" style="183"/>
    <col min="12289" max="12289" width="21.5703125" style="183" customWidth="1"/>
    <col min="12290" max="12290" width="47.7109375" style="183" bestFit="1" customWidth="1"/>
    <col min="12291" max="12291" width="11.85546875" style="183" bestFit="1" customWidth="1"/>
    <col min="12292" max="12292" width="47" style="183" bestFit="1" customWidth="1"/>
    <col min="12293" max="12293" width="28.5703125" style="183" bestFit="1" customWidth="1"/>
    <col min="12294" max="12294" width="21.28515625" style="183" bestFit="1" customWidth="1"/>
    <col min="12295" max="12295" width="8.28515625" style="183" customWidth="1"/>
    <col min="12296" max="12296" width="12.85546875" style="183" customWidth="1"/>
    <col min="12297" max="12297" width="11.42578125" style="183" customWidth="1"/>
    <col min="12298" max="12298" width="15.42578125" style="183" customWidth="1"/>
    <col min="12299" max="12300" width="13.42578125" style="183" customWidth="1"/>
    <col min="12301" max="12301" width="15.140625" style="183" bestFit="1" customWidth="1"/>
    <col min="12302" max="12302" width="12.5703125" style="183" customWidth="1"/>
    <col min="12303" max="12303" width="12" style="183" bestFit="1" customWidth="1"/>
    <col min="12304" max="12544" width="9.140625" style="183"/>
    <col min="12545" max="12545" width="21.5703125" style="183" customWidth="1"/>
    <col min="12546" max="12546" width="47.7109375" style="183" bestFit="1" customWidth="1"/>
    <col min="12547" max="12547" width="11.85546875" style="183" bestFit="1" customWidth="1"/>
    <col min="12548" max="12548" width="47" style="183" bestFit="1" customWidth="1"/>
    <col min="12549" max="12549" width="28.5703125" style="183" bestFit="1" customWidth="1"/>
    <col min="12550" max="12550" width="21.28515625" style="183" bestFit="1" customWidth="1"/>
    <col min="12551" max="12551" width="8.28515625" style="183" customWidth="1"/>
    <col min="12552" max="12552" width="12.85546875" style="183" customWidth="1"/>
    <col min="12553" max="12553" width="11.42578125" style="183" customWidth="1"/>
    <col min="12554" max="12554" width="15.42578125" style="183" customWidth="1"/>
    <col min="12555" max="12556" width="13.42578125" style="183" customWidth="1"/>
    <col min="12557" max="12557" width="15.140625" style="183" bestFit="1" customWidth="1"/>
    <col min="12558" max="12558" width="12.5703125" style="183" customWidth="1"/>
    <col min="12559" max="12559" width="12" style="183" bestFit="1" customWidth="1"/>
    <col min="12560" max="12800" width="9.140625" style="183"/>
    <col min="12801" max="12801" width="21.5703125" style="183" customWidth="1"/>
    <col min="12802" max="12802" width="47.7109375" style="183" bestFit="1" customWidth="1"/>
    <col min="12803" max="12803" width="11.85546875" style="183" bestFit="1" customWidth="1"/>
    <col min="12804" max="12804" width="47" style="183" bestFit="1" customWidth="1"/>
    <col min="12805" max="12805" width="28.5703125" style="183" bestFit="1" customWidth="1"/>
    <col min="12806" max="12806" width="21.28515625" style="183" bestFit="1" customWidth="1"/>
    <col min="12807" max="12807" width="8.28515625" style="183" customWidth="1"/>
    <col min="12808" max="12808" width="12.85546875" style="183" customWidth="1"/>
    <col min="12809" max="12809" width="11.42578125" style="183" customWidth="1"/>
    <col min="12810" max="12810" width="15.42578125" style="183" customWidth="1"/>
    <col min="12811" max="12812" width="13.42578125" style="183" customWidth="1"/>
    <col min="12813" max="12813" width="15.140625" style="183" bestFit="1" customWidth="1"/>
    <col min="12814" max="12814" width="12.5703125" style="183" customWidth="1"/>
    <col min="12815" max="12815" width="12" style="183" bestFit="1" customWidth="1"/>
    <col min="12816" max="13056" width="9.140625" style="183"/>
    <col min="13057" max="13057" width="21.5703125" style="183" customWidth="1"/>
    <col min="13058" max="13058" width="47.7109375" style="183" bestFit="1" customWidth="1"/>
    <col min="13059" max="13059" width="11.85546875" style="183" bestFit="1" customWidth="1"/>
    <col min="13060" max="13060" width="47" style="183" bestFit="1" customWidth="1"/>
    <col min="13061" max="13061" width="28.5703125" style="183" bestFit="1" customWidth="1"/>
    <col min="13062" max="13062" width="21.28515625" style="183" bestFit="1" customWidth="1"/>
    <col min="13063" max="13063" width="8.28515625" style="183" customWidth="1"/>
    <col min="13064" max="13064" width="12.85546875" style="183" customWidth="1"/>
    <col min="13065" max="13065" width="11.42578125" style="183" customWidth="1"/>
    <col min="13066" max="13066" width="15.42578125" style="183" customWidth="1"/>
    <col min="13067" max="13068" width="13.42578125" style="183" customWidth="1"/>
    <col min="13069" max="13069" width="15.140625" style="183" bestFit="1" customWidth="1"/>
    <col min="13070" max="13070" width="12.5703125" style="183" customWidth="1"/>
    <col min="13071" max="13071" width="12" style="183" bestFit="1" customWidth="1"/>
    <col min="13072" max="13312" width="9.140625" style="183"/>
    <col min="13313" max="13313" width="21.5703125" style="183" customWidth="1"/>
    <col min="13314" max="13314" width="47.7109375" style="183" bestFit="1" customWidth="1"/>
    <col min="13315" max="13315" width="11.85546875" style="183" bestFit="1" customWidth="1"/>
    <col min="13316" max="13316" width="47" style="183" bestFit="1" customWidth="1"/>
    <col min="13317" max="13317" width="28.5703125" style="183" bestFit="1" customWidth="1"/>
    <col min="13318" max="13318" width="21.28515625" style="183" bestFit="1" customWidth="1"/>
    <col min="13319" max="13319" width="8.28515625" style="183" customWidth="1"/>
    <col min="13320" max="13320" width="12.85546875" style="183" customWidth="1"/>
    <col min="13321" max="13321" width="11.42578125" style="183" customWidth="1"/>
    <col min="13322" max="13322" width="15.42578125" style="183" customWidth="1"/>
    <col min="13323" max="13324" width="13.42578125" style="183" customWidth="1"/>
    <col min="13325" max="13325" width="15.140625" style="183" bestFit="1" customWidth="1"/>
    <col min="13326" max="13326" width="12.5703125" style="183" customWidth="1"/>
    <col min="13327" max="13327" width="12" style="183" bestFit="1" customWidth="1"/>
    <col min="13328" max="13568" width="9.140625" style="183"/>
    <col min="13569" max="13569" width="21.5703125" style="183" customWidth="1"/>
    <col min="13570" max="13570" width="47.7109375" style="183" bestFit="1" customWidth="1"/>
    <col min="13571" max="13571" width="11.85546875" style="183" bestFit="1" customWidth="1"/>
    <col min="13572" max="13572" width="47" style="183" bestFit="1" customWidth="1"/>
    <col min="13573" max="13573" width="28.5703125" style="183" bestFit="1" customWidth="1"/>
    <col min="13574" max="13574" width="21.28515625" style="183" bestFit="1" customWidth="1"/>
    <col min="13575" max="13575" width="8.28515625" style="183" customWidth="1"/>
    <col min="13576" max="13576" width="12.85546875" style="183" customWidth="1"/>
    <col min="13577" max="13577" width="11.42578125" style="183" customWidth="1"/>
    <col min="13578" max="13578" width="15.42578125" style="183" customWidth="1"/>
    <col min="13579" max="13580" width="13.42578125" style="183" customWidth="1"/>
    <col min="13581" max="13581" width="15.140625" style="183" bestFit="1" customWidth="1"/>
    <col min="13582" max="13582" width="12.5703125" style="183" customWidth="1"/>
    <col min="13583" max="13583" width="12" style="183" bestFit="1" customWidth="1"/>
    <col min="13584" max="13824" width="9.140625" style="183"/>
    <col min="13825" max="13825" width="21.5703125" style="183" customWidth="1"/>
    <col min="13826" max="13826" width="47.7109375" style="183" bestFit="1" customWidth="1"/>
    <col min="13827" max="13827" width="11.85546875" style="183" bestFit="1" customWidth="1"/>
    <col min="13828" max="13828" width="47" style="183" bestFit="1" customWidth="1"/>
    <col min="13829" max="13829" width="28.5703125" style="183" bestFit="1" customWidth="1"/>
    <col min="13830" max="13830" width="21.28515625" style="183" bestFit="1" customWidth="1"/>
    <col min="13831" max="13831" width="8.28515625" style="183" customWidth="1"/>
    <col min="13832" max="13832" width="12.85546875" style="183" customWidth="1"/>
    <col min="13833" max="13833" width="11.42578125" style="183" customWidth="1"/>
    <col min="13834" max="13834" width="15.42578125" style="183" customWidth="1"/>
    <col min="13835" max="13836" width="13.42578125" style="183" customWidth="1"/>
    <col min="13837" max="13837" width="15.140625" style="183" bestFit="1" customWidth="1"/>
    <col min="13838" max="13838" width="12.5703125" style="183" customWidth="1"/>
    <col min="13839" max="13839" width="12" style="183" bestFit="1" customWidth="1"/>
    <col min="13840" max="14080" width="9.140625" style="183"/>
    <col min="14081" max="14081" width="21.5703125" style="183" customWidth="1"/>
    <col min="14082" max="14082" width="47.7109375" style="183" bestFit="1" customWidth="1"/>
    <col min="14083" max="14083" width="11.85546875" style="183" bestFit="1" customWidth="1"/>
    <col min="14084" max="14084" width="47" style="183" bestFit="1" customWidth="1"/>
    <col min="14085" max="14085" width="28.5703125" style="183" bestFit="1" customWidth="1"/>
    <col min="14086" max="14086" width="21.28515625" style="183" bestFit="1" customWidth="1"/>
    <col min="14087" max="14087" width="8.28515625" style="183" customWidth="1"/>
    <col min="14088" max="14088" width="12.85546875" style="183" customWidth="1"/>
    <col min="14089" max="14089" width="11.42578125" style="183" customWidth="1"/>
    <col min="14090" max="14090" width="15.42578125" style="183" customWidth="1"/>
    <col min="14091" max="14092" width="13.42578125" style="183" customWidth="1"/>
    <col min="14093" max="14093" width="15.140625" style="183" bestFit="1" customWidth="1"/>
    <col min="14094" max="14094" width="12.5703125" style="183" customWidth="1"/>
    <col min="14095" max="14095" width="12" style="183" bestFit="1" customWidth="1"/>
    <col min="14096" max="14336" width="9.140625" style="183"/>
    <col min="14337" max="14337" width="21.5703125" style="183" customWidth="1"/>
    <col min="14338" max="14338" width="47.7109375" style="183" bestFit="1" customWidth="1"/>
    <col min="14339" max="14339" width="11.85546875" style="183" bestFit="1" customWidth="1"/>
    <col min="14340" max="14340" width="47" style="183" bestFit="1" customWidth="1"/>
    <col min="14341" max="14341" width="28.5703125" style="183" bestFit="1" customWidth="1"/>
    <col min="14342" max="14342" width="21.28515625" style="183" bestFit="1" customWidth="1"/>
    <col min="14343" max="14343" width="8.28515625" style="183" customWidth="1"/>
    <col min="14344" max="14344" width="12.85546875" style="183" customWidth="1"/>
    <col min="14345" max="14345" width="11.42578125" style="183" customWidth="1"/>
    <col min="14346" max="14346" width="15.42578125" style="183" customWidth="1"/>
    <col min="14347" max="14348" width="13.42578125" style="183" customWidth="1"/>
    <col min="14349" max="14349" width="15.140625" style="183" bestFit="1" customWidth="1"/>
    <col min="14350" max="14350" width="12.5703125" style="183" customWidth="1"/>
    <col min="14351" max="14351" width="12" style="183" bestFit="1" customWidth="1"/>
    <col min="14352" max="14592" width="9.140625" style="183"/>
    <col min="14593" max="14593" width="21.5703125" style="183" customWidth="1"/>
    <col min="14594" max="14594" width="47.7109375" style="183" bestFit="1" customWidth="1"/>
    <col min="14595" max="14595" width="11.85546875" style="183" bestFit="1" customWidth="1"/>
    <col min="14596" max="14596" width="47" style="183" bestFit="1" customWidth="1"/>
    <col min="14597" max="14597" width="28.5703125" style="183" bestFit="1" customWidth="1"/>
    <col min="14598" max="14598" width="21.28515625" style="183" bestFit="1" customWidth="1"/>
    <col min="14599" max="14599" width="8.28515625" style="183" customWidth="1"/>
    <col min="14600" max="14600" width="12.85546875" style="183" customWidth="1"/>
    <col min="14601" max="14601" width="11.42578125" style="183" customWidth="1"/>
    <col min="14602" max="14602" width="15.42578125" style="183" customWidth="1"/>
    <col min="14603" max="14604" width="13.42578125" style="183" customWidth="1"/>
    <col min="14605" max="14605" width="15.140625" style="183" bestFit="1" customWidth="1"/>
    <col min="14606" max="14606" width="12.5703125" style="183" customWidth="1"/>
    <col min="14607" max="14607" width="12" style="183" bestFit="1" customWidth="1"/>
    <col min="14608" max="14848" width="9.140625" style="183"/>
    <col min="14849" max="14849" width="21.5703125" style="183" customWidth="1"/>
    <col min="14850" max="14850" width="47.7109375" style="183" bestFit="1" customWidth="1"/>
    <col min="14851" max="14851" width="11.85546875" style="183" bestFit="1" customWidth="1"/>
    <col min="14852" max="14852" width="47" style="183" bestFit="1" customWidth="1"/>
    <col min="14853" max="14853" width="28.5703125" style="183" bestFit="1" customWidth="1"/>
    <col min="14854" max="14854" width="21.28515625" style="183" bestFit="1" customWidth="1"/>
    <col min="14855" max="14855" width="8.28515625" style="183" customWidth="1"/>
    <col min="14856" max="14856" width="12.85546875" style="183" customWidth="1"/>
    <col min="14857" max="14857" width="11.42578125" style="183" customWidth="1"/>
    <col min="14858" max="14858" width="15.42578125" style="183" customWidth="1"/>
    <col min="14859" max="14860" width="13.42578125" style="183" customWidth="1"/>
    <col min="14861" max="14861" width="15.140625" style="183" bestFit="1" customWidth="1"/>
    <col min="14862" max="14862" width="12.5703125" style="183" customWidth="1"/>
    <col min="14863" max="14863" width="12" style="183" bestFit="1" customWidth="1"/>
    <col min="14864" max="15104" width="9.140625" style="183"/>
    <col min="15105" max="15105" width="21.5703125" style="183" customWidth="1"/>
    <col min="15106" max="15106" width="47.7109375" style="183" bestFit="1" customWidth="1"/>
    <col min="15107" max="15107" width="11.85546875" style="183" bestFit="1" customWidth="1"/>
    <col min="15108" max="15108" width="47" style="183" bestFit="1" customWidth="1"/>
    <col min="15109" max="15109" width="28.5703125" style="183" bestFit="1" customWidth="1"/>
    <col min="15110" max="15110" width="21.28515625" style="183" bestFit="1" customWidth="1"/>
    <col min="15111" max="15111" width="8.28515625" style="183" customWidth="1"/>
    <col min="15112" max="15112" width="12.85546875" style="183" customWidth="1"/>
    <col min="15113" max="15113" width="11.42578125" style="183" customWidth="1"/>
    <col min="15114" max="15114" width="15.42578125" style="183" customWidth="1"/>
    <col min="15115" max="15116" width="13.42578125" style="183" customWidth="1"/>
    <col min="15117" max="15117" width="15.140625" style="183" bestFit="1" customWidth="1"/>
    <col min="15118" max="15118" width="12.5703125" style="183" customWidth="1"/>
    <col min="15119" max="15119" width="12" style="183" bestFit="1" customWidth="1"/>
    <col min="15120" max="15360" width="9.140625" style="183"/>
    <col min="15361" max="15361" width="21.5703125" style="183" customWidth="1"/>
    <col min="15362" max="15362" width="47.7109375" style="183" bestFit="1" customWidth="1"/>
    <col min="15363" max="15363" width="11.85546875" style="183" bestFit="1" customWidth="1"/>
    <col min="15364" max="15364" width="47" style="183" bestFit="1" customWidth="1"/>
    <col min="15365" max="15365" width="28.5703125" style="183" bestFit="1" customWidth="1"/>
    <col min="15366" max="15366" width="21.28515625" style="183" bestFit="1" customWidth="1"/>
    <col min="15367" max="15367" width="8.28515625" style="183" customWidth="1"/>
    <col min="15368" max="15368" width="12.85546875" style="183" customWidth="1"/>
    <col min="15369" max="15369" width="11.42578125" style="183" customWidth="1"/>
    <col min="15370" max="15370" width="15.42578125" style="183" customWidth="1"/>
    <col min="15371" max="15372" width="13.42578125" style="183" customWidth="1"/>
    <col min="15373" max="15373" width="15.140625" style="183" bestFit="1" customWidth="1"/>
    <col min="15374" max="15374" width="12.5703125" style="183" customWidth="1"/>
    <col min="15375" max="15375" width="12" style="183" bestFit="1" customWidth="1"/>
    <col min="15376" max="15616" width="9.140625" style="183"/>
    <col min="15617" max="15617" width="21.5703125" style="183" customWidth="1"/>
    <col min="15618" max="15618" width="47.7109375" style="183" bestFit="1" customWidth="1"/>
    <col min="15619" max="15619" width="11.85546875" style="183" bestFit="1" customWidth="1"/>
    <col min="15620" max="15620" width="47" style="183" bestFit="1" customWidth="1"/>
    <col min="15621" max="15621" width="28.5703125" style="183" bestFit="1" customWidth="1"/>
    <col min="15622" max="15622" width="21.28515625" style="183" bestFit="1" customWidth="1"/>
    <col min="15623" max="15623" width="8.28515625" style="183" customWidth="1"/>
    <col min="15624" max="15624" width="12.85546875" style="183" customWidth="1"/>
    <col min="15625" max="15625" width="11.42578125" style="183" customWidth="1"/>
    <col min="15626" max="15626" width="15.42578125" style="183" customWidth="1"/>
    <col min="15627" max="15628" width="13.42578125" style="183" customWidth="1"/>
    <col min="15629" max="15629" width="15.140625" style="183" bestFit="1" customWidth="1"/>
    <col min="15630" max="15630" width="12.5703125" style="183" customWidth="1"/>
    <col min="15631" max="15631" width="12" style="183" bestFit="1" customWidth="1"/>
    <col min="15632" max="15872" width="9.140625" style="183"/>
    <col min="15873" max="15873" width="21.5703125" style="183" customWidth="1"/>
    <col min="15874" max="15874" width="47.7109375" style="183" bestFit="1" customWidth="1"/>
    <col min="15875" max="15875" width="11.85546875" style="183" bestFit="1" customWidth="1"/>
    <col min="15876" max="15876" width="47" style="183" bestFit="1" customWidth="1"/>
    <col min="15877" max="15877" width="28.5703125" style="183" bestFit="1" customWidth="1"/>
    <col min="15878" max="15878" width="21.28515625" style="183" bestFit="1" customWidth="1"/>
    <col min="15879" max="15879" width="8.28515625" style="183" customWidth="1"/>
    <col min="15880" max="15880" width="12.85546875" style="183" customWidth="1"/>
    <col min="15881" max="15881" width="11.42578125" style="183" customWidth="1"/>
    <col min="15882" max="15882" width="15.42578125" style="183" customWidth="1"/>
    <col min="15883" max="15884" width="13.42578125" style="183" customWidth="1"/>
    <col min="15885" max="15885" width="15.140625" style="183" bestFit="1" customWidth="1"/>
    <col min="15886" max="15886" width="12.5703125" style="183" customWidth="1"/>
    <col min="15887" max="15887" width="12" style="183" bestFit="1" customWidth="1"/>
    <col min="15888" max="16128" width="9.140625" style="183"/>
    <col min="16129" max="16129" width="21.5703125" style="183" customWidth="1"/>
    <col min="16130" max="16130" width="47.7109375" style="183" bestFit="1" customWidth="1"/>
    <col min="16131" max="16131" width="11.85546875" style="183" bestFit="1" customWidth="1"/>
    <col min="16132" max="16132" width="47" style="183" bestFit="1" customWidth="1"/>
    <col min="16133" max="16133" width="28.5703125" style="183" bestFit="1" customWidth="1"/>
    <col min="16134" max="16134" width="21.28515625" style="183" bestFit="1" customWidth="1"/>
    <col min="16135" max="16135" width="8.28515625" style="183" customWidth="1"/>
    <col min="16136" max="16136" width="12.85546875" style="183" customWidth="1"/>
    <col min="16137" max="16137" width="11.42578125" style="183" customWidth="1"/>
    <col min="16138" max="16138" width="15.42578125" style="183" customWidth="1"/>
    <col min="16139" max="16140" width="13.42578125" style="183" customWidth="1"/>
    <col min="16141" max="16141" width="15.140625" style="183" bestFit="1" customWidth="1"/>
    <col min="16142" max="16142" width="12.5703125" style="183" customWidth="1"/>
    <col min="16143" max="16143" width="12" style="183" bestFit="1" customWidth="1"/>
    <col min="16144" max="16384" width="9.140625" style="183"/>
  </cols>
  <sheetData>
    <row r="1" spans="1:17" ht="38.450000000000003" customHeight="1" thickBot="1" x14ac:dyDescent="0.3">
      <c r="A1" s="207" t="s">
        <v>1070</v>
      </c>
      <c r="B1" s="205" t="s">
        <v>1069</v>
      </c>
      <c r="C1" s="205" t="s">
        <v>1068</v>
      </c>
      <c r="D1" s="205" t="s">
        <v>1067</v>
      </c>
      <c r="E1" s="205" t="s">
        <v>1066</v>
      </c>
      <c r="F1" s="206" t="s">
        <v>137</v>
      </c>
      <c r="G1" s="205" t="s">
        <v>1065</v>
      </c>
      <c r="H1" s="204" t="s">
        <v>1064</v>
      </c>
      <c r="I1" s="204" t="s">
        <v>1063</v>
      </c>
      <c r="J1" s="204" t="s">
        <v>1062</v>
      </c>
      <c r="K1" s="204" t="s">
        <v>1061</v>
      </c>
      <c r="L1" s="204" t="s">
        <v>1060</v>
      </c>
      <c r="M1" s="204" t="s">
        <v>1059</v>
      </c>
      <c r="N1" s="204" t="s">
        <v>1058</v>
      </c>
      <c r="O1" s="204" t="s">
        <v>1057</v>
      </c>
    </row>
    <row r="2" spans="1:17" x14ac:dyDescent="0.25">
      <c r="A2" s="203" t="s">
        <v>1056</v>
      </c>
      <c r="B2" s="203" t="s">
        <v>1055</v>
      </c>
      <c r="C2" s="202" t="s">
        <v>770</v>
      </c>
      <c r="D2" s="202" t="s">
        <v>1054</v>
      </c>
      <c r="E2" s="202" t="s">
        <v>1053</v>
      </c>
      <c r="F2" s="201" t="s">
        <v>767</v>
      </c>
      <c r="G2" s="200">
        <v>2017</v>
      </c>
      <c r="H2" s="199">
        <v>0.8</v>
      </c>
      <c r="I2" s="199">
        <v>6714</v>
      </c>
      <c r="J2" s="199">
        <v>0</v>
      </c>
      <c r="K2" s="199">
        <v>6714</v>
      </c>
      <c r="L2" s="199">
        <v>618.04499999999996</v>
      </c>
      <c r="M2" s="199">
        <v>6714</v>
      </c>
      <c r="N2" s="199">
        <v>7332.0450000000001</v>
      </c>
      <c r="O2" s="199">
        <v>0</v>
      </c>
    </row>
    <row r="3" spans="1:17" ht="24.75" x14ac:dyDescent="0.25">
      <c r="A3" s="198" t="s">
        <v>1052</v>
      </c>
      <c r="B3" s="196" t="s">
        <v>1051</v>
      </c>
      <c r="C3" s="195" t="s">
        <v>770</v>
      </c>
      <c r="D3" s="195" t="s">
        <v>1050</v>
      </c>
      <c r="E3" s="195" t="s">
        <v>768</v>
      </c>
      <c r="F3" s="194" t="s">
        <v>767</v>
      </c>
      <c r="G3" s="193">
        <v>2017</v>
      </c>
      <c r="H3" s="191">
        <v>50</v>
      </c>
      <c r="I3" s="191">
        <v>219994.41958027426</v>
      </c>
      <c r="J3" s="191">
        <v>22710.417639536259</v>
      </c>
      <c r="K3" s="191">
        <v>197284.00194073797</v>
      </c>
      <c r="L3" s="191">
        <v>5840.2598730960008</v>
      </c>
      <c r="M3" s="191">
        <v>197284.00194073797</v>
      </c>
      <c r="N3" s="191">
        <v>0</v>
      </c>
      <c r="O3" s="191">
        <v>197284.00194073797</v>
      </c>
    </row>
    <row r="4" spans="1:17" x14ac:dyDescent="0.25">
      <c r="A4" s="198" t="s">
        <v>1049</v>
      </c>
      <c r="B4" s="196" t="s">
        <v>1048</v>
      </c>
      <c r="C4" s="195" t="s">
        <v>770</v>
      </c>
      <c r="D4" s="195" t="s">
        <v>1047</v>
      </c>
      <c r="E4" s="195" t="s">
        <v>773</v>
      </c>
      <c r="F4" s="194" t="s">
        <v>767</v>
      </c>
      <c r="G4" s="193">
        <v>2017</v>
      </c>
      <c r="H4" s="191">
        <v>75</v>
      </c>
      <c r="I4" s="191">
        <v>154104.08960499999</v>
      </c>
      <c r="J4" s="191">
        <v>0</v>
      </c>
      <c r="K4" s="191">
        <v>154104.08960499999</v>
      </c>
      <c r="L4" s="191">
        <v>1044.923</v>
      </c>
      <c r="M4" s="191">
        <v>153059.16660499998</v>
      </c>
      <c r="N4" s="191">
        <v>0</v>
      </c>
      <c r="O4" s="191">
        <v>153059.16660499998</v>
      </c>
    </row>
    <row r="5" spans="1:17" x14ac:dyDescent="0.25">
      <c r="A5" s="196" t="s">
        <v>829</v>
      </c>
      <c r="B5" s="196" t="s">
        <v>1046</v>
      </c>
      <c r="C5" s="195" t="s">
        <v>770</v>
      </c>
      <c r="D5" s="195" t="s">
        <v>1045</v>
      </c>
      <c r="E5" s="195" t="s">
        <v>773</v>
      </c>
      <c r="F5" s="194" t="s">
        <v>767</v>
      </c>
      <c r="G5" s="193">
        <v>2017</v>
      </c>
      <c r="H5" s="191">
        <v>10</v>
      </c>
      <c r="I5" s="191">
        <v>27156.503880000004</v>
      </c>
      <c r="J5" s="191">
        <v>0</v>
      </c>
      <c r="K5" s="191">
        <v>27156.503880000004</v>
      </c>
      <c r="L5" s="191">
        <v>102.50676</v>
      </c>
      <c r="M5" s="191">
        <v>27156.503880000004</v>
      </c>
      <c r="N5" s="191">
        <v>31.231999999999999</v>
      </c>
      <c r="O5" s="191">
        <v>27156.503880000004</v>
      </c>
    </row>
    <row r="6" spans="1:17" x14ac:dyDescent="0.25">
      <c r="A6" s="196" t="s">
        <v>1044</v>
      </c>
      <c r="B6" s="196" t="s">
        <v>1043</v>
      </c>
      <c r="C6" s="195" t="s">
        <v>770</v>
      </c>
      <c r="D6" s="195" t="s">
        <v>1042</v>
      </c>
      <c r="E6" s="195" t="s">
        <v>773</v>
      </c>
      <c r="F6" s="194" t="s">
        <v>767</v>
      </c>
      <c r="G6" s="193">
        <v>2017</v>
      </c>
      <c r="H6" s="191">
        <v>19.98</v>
      </c>
      <c r="I6" s="191">
        <v>53326.645520000005</v>
      </c>
      <c r="J6" s="191">
        <v>0</v>
      </c>
      <c r="K6" s="191">
        <v>53326.645520000005</v>
      </c>
      <c r="L6" s="191">
        <v>181.5196</v>
      </c>
      <c r="M6" s="191">
        <v>53326.645520000005</v>
      </c>
      <c r="N6" s="191">
        <v>33.695</v>
      </c>
      <c r="O6" s="191">
        <v>53326.645520000005</v>
      </c>
    </row>
    <row r="7" spans="1:17" x14ac:dyDescent="0.25">
      <c r="A7" s="196" t="s">
        <v>1041</v>
      </c>
      <c r="B7" s="196" t="s">
        <v>1040</v>
      </c>
      <c r="C7" s="195" t="s">
        <v>770</v>
      </c>
      <c r="D7" s="195" t="s">
        <v>531</v>
      </c>
      <c r="E7" s="195" t="s">
        <v>146</v>
      </c>
      <c r="F7" s="194" t="s">
        <v>767</v>
      </c>
      <c r="G7" s="193">
        <v>2017</v>
      </c>
      <c r="H7" s="191">
        <v>600</v>
      </c>
      <c r="I7" s="191">
        <v>1636523</v>
      </c>
      <c r="J7" s="191">
        <v>138108</v>
      </c>
      <c r="K7" s="191">
        <v>1498595</v>
      </c>
      <c r="L7" s="191">
        <v>0</v>
      </c>
      <c r="M7" s="191">
        <v>1498595</v>
      </c>
      <c r="N7" s="191">
        <v>0</v>
      </c>
      <c r="O7" s="191">
        <v>1498595</v>
      </c>
      <c r="P7" s="183">
        <f>O7/(H7*8760)</f>
        <v>0.28512081430745817</v>
      </c>
    </row>
    <row r="8" spans="1:17" x14ac:dyDescent="0.25">
      <c r="A8" s="196" t="s">
        <v>1039</v>
      </c>
      <c r="B8" s="196" t="s">
        <v>1038</v>
      </c>
      <c r="C8" s="195" t="s">
        <v>770</v>
      </c>
      <c r="D8" s="195" t="s">
        <v>1037</v>
      </c>
      <c r="E8" s="195" t="s">
        <v>253</v>
      </c>
      <c r="F8" s="194" t="s">
        <v>767</v>
      </c>
      <c r="G8" s="193">
        <v>2017</v>
      </c>
      <c r="H8" s="191">
        <v>133.69999999999999</v>
      </c>
      <c r="I8" s="191">
        <v>418544.17599999998</v>
      </c>
      <c r="J8" s="191">
        <v>0</v>
      </c>
      <c r="K8" s="191">
        <v>418544.17599999998</v>
      </c>
      <c r="L8" s="191">
        <v>266.45</v>
      </c>
      <c r="M8" s="191">
        <v>413188.87000000005</v>
      </c>
      <c r="N8" s="191">
        <v>251.95300000000003</v>
      </c>
      <c r="O8" s="191">
        <v>410001.85000000003</v>
      </c>
    </row>
    <row r="9" spans="1:17" x14ac:dyDescent="0.25">
      <c r="A9" s="196" t="s">
        <v>1036</v>
      </c>
      <c r="B9" s="196" t="s">
        <v>1035</v>
      </c>
      <c r="C9" s="195" t="s">
        <v>770</v>
      </c>
      <c r="D9" s="195" t="s">
        <v>1034</v>
      </c>
      <c r="E9" s="195" t="s">
        <v>253</v>
      </c>
      <c r="F9" s="194" t="s">
        <v>767</v>
      </c>
      <c r="G9" s="193">
        <v>2017</v>
      </c>
      <c r="H9" s="191">
        <v>90.8</v>
      </c>
      <c r="I9" s="191">
        <v>316737.04970936204</v>
      </c>
      <c r="J9" s="191">
        <v>0</v>
      </c>
      <c r="K9" s="191">
        <v>316737.04970936204</v>
      </c>
      <c r="L9" s="191">
        <v>340.16972000000004</v>
      </c>
      <c r="M9" s="191">
        <v>316396.87998936203</v>
      </c>
      <c r="N9" s="191">
        <v>298.43577000000005</v>
      </c>
      <c r="O9" s="191">
        <v>316737.04970936204</v>
      </c>
    </row>
    <row r="10" spans="1:17" x14ac:dyDescent="0.25">
      <c r="A10" s="196" t="s">
        <v>1033</v>
      </c>
      <c r="B10" s="196" t="s">
        <v>1032</v>
      </c>
      <c r="C10" s="195" t="s">
        <v>770</v>
      </c>
      <c r="D10" s="195" t="s">
        <v>1031</v>
      </c>
      <c r="E10" s="195" t="s">
        <v>773</v>
      </c>
      <c r="F10" s="194" t="s">
        <v>767</v>
      </c>
      <c r="G10" s="193">
        <v>2017</v>
      </c>
      <c r="H10" s="191">
        <v>9</v>
      </c>
      <c r="I10" s="191">
        <v>19617.45</v>
      </c>
      <c r="J10" s="191">
        <v>95.742999999999995</v>
      </c>
      <c r="K10" s="191">
        <v>19713.193000000003</v>
      </c>
      <c r="L10" s="191">
        <v>0</v>
      </c>
      <c r="M10" s="191">
        <v>19617.45</v>
      </c>
      <c r="N10" s="191">
        <v>0</v>
      </c>
      <c r="O10" s="191">
        <v>19617.45</v>
      </c>
    </row>
    <row r="11" spans="1:17" x14ac:dyDescent="0.25">
      <c r="A11" s="196" t="s">
        <v>1030</v>
      </c>
      <c r="B11" s="196" t="s">
        <v>1029</v>
      </c>
      <c r="C11" s="195" t="s">
        <v>770</v>
      </c>
      <c r="D11" s="195" t="s">
        <v>1028</v>
      </c>
      <c r="E11" s="195" t="s">
        <v>833</v>
      </c>
      <c r="F11" s="194" t="s">
        <v>767</v>
      </c>
      <c r="G11" s="193">
        <v>2017</v>
      </c>
      <c r="H11" s="191">
        <v>670</v>
      </c>
      <c r="I11" s="191">
        <v>75875.199999999997</v>
      </c>
      <c r="J11" s="191">
        <v>551.29000000000178</v>
      </c>
      <c r="K11" s="191">
        <v>75323.91</v>
      </c>
      <c r="L11" s="191">
        <v>13773.310000000001</v>
      </c>
      <c r="M11" s="191">
        <v>75323.91</v>
      </c>
      <c r="N11" s="191">
        <v>0</v>
      </c>
      <c r="O11" s="191">
        <v>75323.91</v>
      </c>
      <c r="P11" s="183">
        <f>O11/(H11*8760)</f>
        <v>1.2833760989572686E-2</v>
      </c>
      <c r="Q11" s="183">
        <f>(O11+O27)/0.3*3.6/1000000</f>
        <v>1.4165200800000002</v>
      </c>
    </row>
    <row r="12" spans="1:17" x14ac:dyDescent="0.25">
      <c r="A12" s="196" t="s">
        <v>1026</v>
      </c>
      <c r="B12" s="196" t="s">
        <v>1025</v>
      </c>
      <c r="C12" s="195" t="s">
        <v>770</v>
      </c>
      <c r="D12" s="195" t="s">
        <v>1027</v>
      </c>
      <c r="E12" s="195" t="s">
        <v>802</v>
      </c>
      <c r="F12" s="194" t="s">
        <v>767</v>
      </c>
      <c r="G12" s="193">
        <v>2017</v>
      </c>
      <c r="H12" s="191">
        <v>4</v>
      </c>
      <c r="I12" s="191">
        <v>27547.777999999998</v>
      </c>
      <c r="J12" s="191">
        <v>0</v>
      </c>
      <c r="K12" s="191">
        <v>27547.777999999998</v>
      </c>
      <c r="L12" s="191">
        <v>0</v>
      </c>
      <c r="M12" s="191">
        <v>27547.777999999998</v>
      </c>
      <c r="N12" s="191">
        <v>11.9</v>
      </c>
      <c r="O12" s="191">
        <v>27535.878000000001</v>
      </c>
    </row>
    <row r="13" spans="1:17" x14ac:dyDescent="0.25">
      <c r="A13" s="196" t="s">
        <v>1026</v>
      </c>
      <c r="B13" s="196" t="s">
        <v>1025</v>
      </c>
      <c r="C13" s="195" t="s">
        <v>770</v>
      </c>
      <c r="D13" s="195" t="s">
        <v>1024</v>
      </c>
      <c r="E13" s="195" t="s">
        <v>802</v>
      </c>
      <c r="F13" s="194" t="s">
        <v>767</v>
      </c>
      <c r="G13" s="193">
        <v>2017</v>
      </c>
      <c r="H13" s="191">
        <v>3</v>
      </c>
      <c r="I13" s="191">
        <v>17168.920000000002</v>
      </c>
      <c r="J13" s="191">
        <v>0</v>
      </c>
      <c r="K13" s="191">
        <v>17168.920000000002</v>
      </c>
      <c r="L13" s="191">
        <v>0</v>
      </c>
      <c r="M13" s="191">
        <v>17168.920000000002</v>
      </c>
      <c r="N13" s="191">
        <v>8.2999999999999989</v>
      </c>
      <c r="O13" s="191">
        <v>17160.62</v>
      </c>
    </row>
    <row r="14" spans="1:17" x14ac:dyDescent="0.25">
      <c r="A14" s="196" t="s">
        <v>1023</v>
      </c>
      <c r="B14" s="196" t="s">
        <v>1022</v>
      </c>
      <c r="C14" s="195" t="s">
        <v>770</v>
      </c>
      <c r="D14" s="195" t="s">
        <v>1021</v>
      </c>
      <c r="E14" s="195" t="s">
        <v>253</v>
      </c>
      <c r="F14" s="194" t="s">
        <v>767</v>
      </c>
      <c r="G14" s="193">
        <v>2017</v>
      </c>
      <c r="H14" s="191">
        <v>135.19999999999999</v>
      </c>
      <c r="I14" s="191">
        <v>369651.24549999996</v>
      </c>
      <c r="J14" s="191">
        <v>0</v>
      </c>
      <c r="K14" s="191">
        <v>369651.24549999996</v>
      </c>
      <c r="L14" s="191">
        <v>0</v>
      </c>
      <c r="M14" s="191">
        <v>369651.24549999996</v>
      </c>
      <c r="N14" s="191">
        <v>3425.373</v>
      </c>
      <c r="O14" s="191">
        <v>369651.24549999996</v>
      </c>
    </row>
    <row r="15" spans="1:17" x14ac:dyDescent="0.25">
      <c r="A15" s="196" t="s">
        <v>1020</v>
      </c>
      <c r="B15" s="196" t="s">
        <v>1019</v>
      </c>
      <c r="C15" s="195" t="s">
        <v>770</v>
      </c>
      <c r="D15" s="195" t="s">
        <v>1018</v>
      </c>
      <c r="E15" s="195" t="s">
        <v>130</v>
      </c>
      <c r="F15" s="194" t="s">
        <v>767</v>
      </c>
      <c r="G15" s="193">
        <v>2017</v>
      </c>
      <c r="H15" s="191">
        <v>4.2</v>
      </c>
      <c r="I15" s="191">
        <v>22425.900969999999</v>
      </c>
      <c r="J15" s="191">
        <v>3331.0259999999998</v>
      </c>
      <c r="K15" s="191">
        <v>19094.874970000001</v>
      </c>
      <c r="L15" s="191">
        <v>0</v>
      </c>
      <c r="M15" s="191">
        <v>19094.874970000001</v>
      </c>
      <c r="N15" s="191">
        <v>0</v>
      </c>
      <c r="O15" s="191">
        <v>19094.874970000001</v>
      </c>
    </row>
    <row r="16" spans="1:17" x14ac:dyDescent="0.25">
      <c r="A16" s="196" t="s">
        <v>1017</v>
      </c>
      <c r="B16" s="196" t="s">
        <v>1016</v>
      </c>
      <c r="C16" s="195" t="s">
        <v>770</v>
      </c>
      <c r="D16" s="195" t="s">
        <v>1015</v>
      </c>
      <c r="E16" s="195" t="s">
        <v>253</v>
      </c>
      <c r="F16" s="194" t="s">
        <v>767</v>
      </c>
      <c r="G16" s="193">
        <v>2017</v>
      </c>
      <c r="H16" s="191">
        <v>21</v>
      </c>
      <c r="I16" s="191">
        <v>58298.190480000012</v>
      </c>
      <c r="J16" s="191">
        <v>0</v>
      </c>
      <c r="K16" s="191">
        <v>58297.562100000003</v>
      </c>
      <c r="L16" s="191">
        <v>141.80405029999997</v>
      </c>
      <c r="M16" s="191">
        <v>58155.982689699995</v>
      </c>
      <c r="N16" s="191">
        <v>0</v>
      </c>
      <c r="O16" s="191">
        <v>58155.982689699995</v>
      </c>
    </row>
    <row r="17" spans="1:16" x14ac:dyDescent="0.25">
      <c r="A17" s="197" t="s">
        <v>1012</v>
      </c>
      <c r="B17" s="196" t="s">
        <v>1011</v>
      </c>
      <c r="C17" s="195" t="s">
        <v>804</v>
      </c>
      <c r="D17" s="195" t="s">
        <v>1014</v>
      </c>
      <c r="E17" s="195" t="s">
        <v>833</v>
      </c>
      <c r="F17" s="194" t="s">
        <v>767</v>
      </c>
      <c r="G17" s="193">
        <v>2017</v>
      </c>
      <c r="H17" s="191">
        <v>40</v>
      </c>
      <c r="I17" s="191">
        <v>0</v>
      </c>
      <c r="J17" s="191">
        <v>64.407000000000011</v>
      </c>
      <c r="K17" s="191">
        <v>-64.407000000000011</v>
      </c>
      <c r="L17" s="191">
        <v>0</v>
      </c>
      <c r="M17" s="191">
        <v>-64.407000000000011</v>
      </c>
      <c r="N17" s="191">
        <v>0</v>
      </c>
      <c r="O17" s="191">
        <v>0</v>
      </c>
      <c r="P17" s="183">
        <f>O17/(H17*8760)</f>
        <v>0</v>
      </c>
    </row>
    <row r="18" spans="1:16" x14ac:dyDescent="0.25">
      <c r="A18" s="197" t="s">
        <v>1012</v>
      </c>
      <c r="B18" s="196" t="s">
        <v>1011</v>
      </c>
      <c r="C18" s="195" t="s">
        <v>804</v>
      </c>
      <c r="D18" s="195" t="s">
        <v>1013</v>
      </c>
      <c r="E18" s="195" t="s">
        <v>833</v>
      </c>
      <c r="F18" s="194" t="s">
        <v>767</v>
      </c>
      <c r="G18" s="193">
        <v>2017</v>
      </c>
      <c r="H18" s="191">
        <v>40</v>
      </c>
      <c r="I18" s="191">
        <v>6.4</v>
      </c>
      <c r="J18" s="191">
        <v>11.744</v>
      </c>
      <c r="K18" s="191">
        <v>-5.3440000000000003</v>
      </c>
      <c r="L18" s="191">
        <v>0</v>
      </c>
      <c r="M18" s="191">
        <v>-5.3440000000000003</v>
      </c>
      <c r="N18" s="191">
        <v>0</v>
      </c>
      <c r="O18" s="191">
        <v>0</v>
      </c>
      <c r="P18" s="183">
        <f>O18/(H18*8760)</f>
        <v>0</v>
      </c>
    </row>
    <row r="19" spans="1:16" x14ac:dyDescent="0.25">
      <c r="A19" s="197" t="s">
        <v>1012</v>
      </c>
      <c r="B19" s="196" t="s">
        <v>1011</v>
      </c>
      <c r="C19" s="195" t="s">
        <v>804</v>
      </c>
      <c r="D19" s="195" t="s">
        <v>1010</v>
      </c>
      <c r="E19" s="195" t="s">
        <v>964</v>
      </c>
      <c r="F19" s="194" t="s">
        <v>767</v>
      </c>
      <c r="G19" s="193">
        <v>2017</v>
      </c>
      <c r="H19" s="191">
        <v>180</v>
      </c>
      <c r="I19" s="191">
        <v>18289.125000000004</v>
      </c>
      <c r="J19" s="191">
        <v>237.92500000000001</v>
      </c>
      <c r="K19" s="191">
        <v>18051.2</v>
      </c>
      <c r="L19" s="191">
        <v>25738.999999999996</v>
      </c>
      <c r="M19" s="191">
        <v>-7687.7999999999993</v>
      </c>
      <c r="N19" s="191">
        <v>0</v>
      </c>
      <c r="O19" s="191">
        <v>0</v>
      </c>
    </row>
    <row r="20" spans="1:16" x14ac:dyDescent="0.25">
      <c r="A20" s="196" t="s">
        <v>1008</v>
      </c>
      <c r="B20" s="196" t="s">
        <v>1007</v>
      </c>
      <c r="C20" s="195" t="s">
        <v>804</v>
      </c>
      <c r="D20" s="195" t="s">
        <v>1009</v>
      </c>
      <c r="E20" s="195" t="s">
        <v>146</v>
      </c>
      <c r="F20" s="194" t="s">
        <v>767</v>
      </c>
      <c r="G20" s="193">
        <v>2017</v>
      </c>
      <c r="H20" s="191">
        <v>300</v>
      </c>
      <c r="I20" s="191">
        <v>0</v>
      </c>
      <c r="J20" s="191">
        <v>0</v>
      </c>
      <c r="K20" s="191">
        <v>0</v>
      </c>
      <c r="L20" s="191">
        <v>5114.3999999999996</v>
      </c>
      <c r="M20" s="191">
        <v>-5114.3999999999996</v>
      </c>
      <c r="N20" s="191">
        <v>0</v>
      </c>
      <c r="O20" s="191">
        <v>-5114.3999999999996</v>
      </c>
    </row>
    <row r="21" spans="1:16" x14ac:dyDescent="0.25">
      <c r="A21" s="196" t="s">
        <v>1008</v>
      </c>
      <c r="B21" s="196" t="s">
        <v>1007</v>
      </c>
      <c r="C21" s="195" t="s">
        <v>804</v>
      </c>
      <c r="D21" s="195" t="s">
        <v>1006</v>
      </c>
      <c r="E21" s="195" t="s">
        <v>1005</v>
      </c>
      <c r="F21" s="194" t="s">
        <v>767</v>
      </c>
      <c r="G21" s="193">
        <v>2017</v>
      </c>
      <c r="H21" s="191">
        <v>204</v>
      </c>
      <c r="I21" s="191">
        <v>20347</v>
      </c>
      <c r="J21" s="191">
        <v>0</v>
      </c>
      <c r="K21" s="191">
        <v>20347</v>
      </c>
      <c r="L21" s="191">
        <v>1434</v>
      </c>
      <c r="M21" s="191">
        <v>18913</v>
      </c>
      <c r="N21" s="191">
        <v>5389</v>
      </c>
      <c r="O21" s="191">
        <v>13524</v>
      </c>
    </row>
    <row r="22" spans="1:16" x14ac:dyDescent="0.25">
      <c r="A22" s="196" t="s">
        <v>1004</v>
      </c>
      <c r="B22" s="196" t="s">
        <v>1003</v>
      </c>
      <c r="C22" s="195" t="s">
        <v>770</v>
      </c>
      <c r="D22" s="195" t="s">
        <v>1002</v>
      </c>
      <c r="E22" s="195" t="s">
        <v>802</v>
      </c>
      <c r="F22" s="194" t="s">
        <v>767</v>
      </c>
      <c r="G22" s="193">
        <v>2017</v>
      </c>
      <c r="H22" s="191">
        <v>1.5</v>
      </c>
      <c r="I22" s="191">
        <v>5141.7699999999995</v>
      </c>
      <c r="J22" s="191">
        <v>61.4</v>
      </c>
      <c r="K22" s="191">
        <v>5080.3700000000008</v>
      </c>
      <c r="L22" s="191">
        <v>0</v>
      </c>
      <c r="M22" s="191">
        <v>5080.3700000000008</v>
      </c>
      <c r="N22" s="191">
        <v>0</v>
      </c>
      <c r="O22" s="191">
        <v>5080.3700000000008</v>
      </c>
    </row>
    <row r="23" spans="1:16" x14ac:dyDescent="0.25">
      <c r="A23" s="196" t="s">
        <v>1001</v>
      </c>
      <c r="B23" s="196" t="s">
        <v>1000</v>
      </c>
      <c r="C23" s="195" t="s">
        <v>770</v>
      </c>
      <c r="D23" s="195" t="s">
        <v>1000</v>
      </c>
      <c r="E23" s="195" t="s">
        <v>773</v>
      </c>
      <c r="F23" s="194" t="s">
        <v>767</v>
      </c>
      <c r="G23" s="193">
        <v>2017</v>
      </c>
      <c r="H23" s="191">
        <v>30</v>
      </c>
      <c r="I23" s="191">
        <v>61117.127480000017</v>
      </c>
      <c r="J23" s="191">
        <v>0</v>
      </c>
      <c r="K23" s="191">
        <v>61117.127480000017</v>
      </c>
      <c r="L23" s="191">
        <v>375.8225291177913</v>
      </c>
      <c r="M23" s="191">
        <v>60741.304950882222</v>
      </c>
      <c r="N23" s="191">
        <v>0</v>
      </c>
      <c r="O23" s="191">
        <v>60741.304950882222</v>
      </c>
    </row>
    <row r="24" spans="1:16" x14ac:dyDescent="0.25">
      <c r="A24" s="196" t="s">
        <v>999</v>
      </c>
      <c r="B24" s="196" t="s">
        <v>998</v>
      </c>
      <c r="C24" s="195" t="s">
        <v>770</v>
      </c>
      <c r="D24" s="195" t="s">
        <v>997</v>
      </c>
      <c r="E24" s="195" t="s">
        <v>253</v>
      </c>
      <c r="F24" s="194" t="s">
        <v>767</v>
      </c>
      <c r="G24" s="193">
        <v>2017</v>
      </c>
      <c r="H24" s="191">
        <v>75</v>
      </c>
      <c r="I24" s="191">
        <v>196760.74800000002</v>
      </c>
      <c r="J24" s="191">
        <v>490.4</v>
      </c>
      <c r="K24" s="191">
        <v>196270.34800000003</v>
      </c>
      <c r="L24" s="191">
        <v>0</v>
      </c>
      <c r="M24" s="191">
        <v>196270.34800000003</v>
      </c>
      <c r="N24" s="191">
        <v>490.4</v>
      </c>
      <c r="O24" s="191">
        <v>196270.34800000003</v>
      </c>
    </row>
    <row r="25" spans="1:16" x14ac:dyDescent="0.25">
      <c r="A25" s="196" t="s">
        <v>996</v>
      </c>
      <c r="B25" s="196" t="s">
        <v>995</v>
      </c>
      <c r="C25" s="195" t="s">
        <v>770</v>
      </c>
      <c r="D25" s="195" t="s">
        <v>994</v>
      </c>
      <c r="E25" s="195" t="s">
        <v>773</v>
      </c>
      <c r="F25" s="194" t="s">
        <v>767</v>
      </c>
      <c r="G25" s="193">
        <v>2017</v>
      </c>
      <c r="H25" s="191">
        <v>36</v>
      </c>
      <c r="I25" s="191">
        <v>75554.339165999991</v>
      </c>
      <c r="J25" s="191">
        <v>0</v>
      </c>
      <c r="K25" s="191">
        <v>75554.339165999991</v>
      </c>
      <c r="L25" s="191">
        <v>491.25736000000001</v>
      </c>
      <c r="M25" s="191">
        <v>75063.081806000002</v>
      </c>
      <c r="N25" s="191">
        <v>0</v>
      </c>
      <c r="O25" s="191">
        <v>75505.874536000003</v>
      </c>
    </row>
    <row r="26" spans="1:16" x14ac:dyDescent="0.25">
      <c r="A26" s="196" t="s">
        <v>993</v>
      </c>
      <c r="B26" s="196" t="s">
        <v>992</v>
      </c>
      <c r="C26" s="195" t="s">
        <v>770</v>
      </c>
      <c r="D26" s="195" t="s">
        <v>991</v>
      </c>
      <c r="E26" s="195" t="s">
        <v>253</v>
      </c>
      <c r="F26" s="194" t="s">
        <v>767</v>
      </c>
      <c r="G26" s="193">
        <v>2017</v>
      </c>
      <c r="H26" s="191">
        <v>5.2</v>
      </c>
      <c r="I26" s="191">
        <v>7216.95</v>
      </c>
      <c r="J26" s="191">
        <v>0</v>
      </c>
      <c r="K26" s="191">
        <v>7216.95</v>
      </c>
      <c r="L26" s="191">
        <v>69.921999999999997</v>
      </c>
      <c r="M26" s="191">
        <v>7147.0280000000012</v>
      </c>
      <c r="N26" s="191">
        <v>0</v>
      </c>
      <c r="O26" s="191">
        <v>7147.0280000000012</v>
      </c>
    </row>
    <row r="27" spans="1:16" x14ac:dyDescent="0.25">
      <c r="A27" s="196" t="s">
        <v>990</v>
      </c>
      <c r="B27" s="196" t="s">
        <v>989</v>
      </c>
      <c r="C27" s="195" t="s">
        <v>770</v>
      </c>
      <c r="D27" s="195" t="s">
        <v>988</v>
      </c>
      <c r="E27" s="195" t="s">
        <v>970</v>
      </c>
      <c r="F27" s="194" t="s">
        <v>767</v>
      </c>
      <c r="G27" s="193">
        <v>2017</v>
      </c>
      <c r="H27" s="191">
        <v>335</v>
      </c>
      <c r="I27" s="191">
        <v>43306.899999999994</v>
      </c>
      <c r="J27" s="191">
        <v>587.47</v>
      </c>
      <c r="K27" s="191">
        <v>42719.43</v>
      </c>
      <c r="L27" s="191">
        <v>6742.5099999999993</v>
      </c>
      <c r="M27" s="191">
        <v>42719.43</v>
      </c>
      <c r="N27" s="191">
        <v>0</v>
      </c>
      <c r="O27" s="191">
        <v>42719.43</v>
      </c>
      <c r="P27" s="183">
        <f>O27/(H27*8760)</f>
        <v>1.4557156000817828E-2</v>
      </c>
    </row>
    <row r="28" spans="1:16" x14ac:dyDescent="0.25">
      <c r="A28" s="196" t="s">
        <v>987</v>
      </c>
      <c r="B28" s="196" t="s">
        <v>986</v>
      </c>
      <c r="C28" s="195" t="s">
        <v>770</v>
      </c>
      <c r="D28" s="195" t="s">
        <v>985</v>
      </c>
      <c r="E28" s="195" t="s">
        <v>253</v>
      </c>
      <c r="F28" s="194" t="s">
        <v>767</v>
      </c>
      <c r="G28" s="193">
        <v>2017</v>
      </c>
      <c r="H28" s="191">
        <v>100</v>
      </c>
      <c r="I28" s="191">
        <v>296719.63199999998</v>
      </c>
      <c r="J28" s="191">
        <v>0</v>
      </c>
      <c r="K28" s="191">
        <v>296719.63199999998</v>
      </c>
      <c r="L28" s="191">
        <v>316.39980822999996</v>
      </c>
      <c r="M28" s="191">
        <v>290192.866645</v>
      </c>
      <c r="N28" s="191">
        <v>316.39980822999996</v>
      </c>
      <c r="O28" s="191">
        <v>290192.866645</v>
      </c>
    </row>
    <row r="29" spans="1:16" x14ac:dyDescent="0.25">
      <c r="A29" s="196" t="s">
        <v>984</v>
      </c>
      <c r="B29" s="196" t="s">
        <v>983</v>
      </c>
      <c r="C29" s="195" t="s">
        <v>770</v>
      </c>
      <c r="D29" s="195" t="s">
        <v>982</v>
      </c>
      <c r="E29" s="195" t="s">
        <v>773</v>
      </c>
      <c r="F29" s="194" t="s">
        <v>767</v>
      </c>
      <c r="G29" s="193">
        <v>2017</v>
      </c>
      <c r="H29" s="191">
        <v>75</v>
      </c>
      <c r="I29" s="191">
        <v>152987.158933</v>
      </c>
      <c r="J29" s="191">
        <v>0</v>
      </c>
      <c r="K29" s="191">
        <v>152987.158933</v>
      </c>
      <c r="L29" s="191">
        <v>1064.9769999999999</v>
      </c>
      <c r="M29" s="191">
        <v>151922.18193300001</v>
      </c>
      <c r="N29" s="191">
        <v>0</v>
      </c>
      <c r="O29" s="191">
        <v>151922.18193300001</v>
      </c>
    </row>
    <row r="30" spans="1:16" x14ac:dyDescent="0.25">
      <c r="A30" s="196" t="s">
        <v>981</v>
      </c>
      <c r="B30" s="196" t="s">
        <v>980</v>
      </c>
      <c r="C30" s="195" t="s">
        <v>770</v>
      </c>
      <c r="D30" s="195" t="s">
        <v>979</v>
      </c>
      <c r="E30" s="195" t="s">
        <v>253</v>
      </c>
      <c r="F30" s="194" t="s">
        <v>767</v>
      </c>
      <c r="G30" s="193">
        <v>2017</v>
      </c>
      <c r="H30" s="191">
        <v>1.8</v>
      </c>
      <c r="I30" s="191">
        <v>5525.45</v>
      </c>
      <c r="J30" s="191">
        <v>0</v>
      </c>
      <c r="K30" s="191">
        <v>5525.45</v>
      </c>
      <c r="L30" s="191">
        <v>0</v>
      </c>
      <c r="M30" s="191">
        <v>5525.45</v>
      </c>
      <c r="N30" s="191">
        <v>0</v>
      </c>
      <c r="O30" s="191">
        <v>5525.45</v>
      </c>
    </row>
    <row r="31" spans="1:16" x14ac:dyDescent="0.25">
      <c r="A31" s="196" t="s">
        <v>977</v>
      </c>
      <c r="B31" s="196" t="s">
        <v>976</v>
      </c>
      <c r="C31" s="195" t="s">
        <v>770</v>
      </c>
      <c r="D31" s="195" t="s">
        <v>978</v>
      </c>
      <c r="E31" s="195" t="s">
        <v>974</v>
      </c>
      <c r="F31" s="194" t="s">
        <v>767</v>
      </c>
      <c r="G31" s="193">
        <v>2017</v>
      </c>
      <c r="H31" s="191">
        <v>3</v>
      </c>
      <c r="I31" s="191">
        <v>27959.786</v>
      </c>
      <c r="J31" s="191">
        <v>0</v>
      </c>
      <c r="K31" s="191">
        <v>27959.786</v>
      </c>
      <c r="L31" s="191">
        <v>0</v>
      </c>
      <c r="M31" s="191">
        <v>27959.786</v>
      </c>
      <c r="N31" s="191">
        <v>0</v>
      </c>
      <c r="O31" s="191">
        <v>27959.786</v>
      </c>
    </row>
    <row r="32" spans="1:16" x14ac:dyDescent="0.25">
      <c r="A32" s="196" t="s">
        <v>977</v>
      </c>
      <c r="B32" s="196" t="s">
        <v>976</v>
      </c>
      <c r="C32" s="195" t="s">
        <v>770</v>
      </c>
      <c r="D32" s="195" t="s">
        <v>975</v>
      </c>
      <c r="E32" s="195" t="s">
        <v>974</v>
      </c>
      <c r="F32" s="194" t="s">
        <v>767</v>
      </c>
      <c r="G32" s="193">
        <v>2017</v>
      </c>
      <c r="H32" s="191">
        <v>5</v>
      </c>
      <c r="I32" s="191">
        <v>3111.2780000000002</v>
      </c>
      <c r="J32" s="191">
        <v>0</v>
      </c>
      <c r="K32" s="191">
        <v>3111.2780000000002</v>
      </c>
      <c r="L32" s="191">
        <v>0</v>
      </c>
      <c r="M32" s="191">
        <v>3111.2780000000002</v>
      </c>
      <c r="N32" s="191">
        <v>0</v>
      </c>
      <c r="O32" s="191">
        <v>3111.2780000000002</v>
      </c>
    </row>
    <row r="33" spans="1:16" x14ac:dyDescent="0.25">
      <c r="A33" s="196" t="s">
        <v>973</v>
      </c>
      <c r="B33" s="196" t="s">
        <v>972</v>
      </c>
      <c r="C33" s="195" t="s">
        <v>770</v>
      </c>
      <c r="D33" s="195" t="s">
        <v>971</v>
      </c>
      <c r="E33" s="195" t="s">
        <v>773</v>
      </c>
      <c r="F33" s="194" t="s">
        <v>767</v>
      </c>
      <c r="G33" s="193">
        <v>2017</v>
      </c>
      <c r="H33" s="191">
        <v>28</v>
      </c>
      <c r="I33" s="191">
        <v>59418.6</v>
      </c>
      <c r="J33" s="191">
        <v>0</v>
      </c>
      <c r="K33" s="191">
        <v>59418.6</v>
      </c>
      <c r="L33" s="191">
        <v>641.43089677087778</v>
      </c>
      <c r="M33" s="191">
        <v>58777.169103229113</v>
      </c>
      <c r="N33" s="191">
        <v>0</v>
      </c>
      <c r="O33" s="191">
        <v>58777.169103229113</v>
      </c>
    </row>
    <row r="34" spans="1:16" x14ac:dyDescent="0.25">
      <c r="A34" s="196" t="s">
        <v>963</v>
      </c>
      <c r="B34" s="196" t="s">
        <v>962</v>
      </c>
      <c r="C34" s="195" t="s">
        <v>530</v>
      </c>
      <c r="D34" s="195" t="s">
        <v>458</v>
      </c>
      <c r="E34" s="195" t="s">
        <v>146</v>
      </c>
      <c r="F34" s="194" t="s">
        <v>767</v>
      </c>
      <c r="G34" s="193">
        <v>2017</v>
      </c>
      <c r="H34" s="191">
        <v>1980</v>
      </c>
      <c r="I34" s="191">
        <v>10777095.550000001</v>
      </c>
      <c r="J34" s="191">
        <v>810378.11</v>
      </c>
      <c r="K34" s="191">
        <v>9966717.4399999995</v>
      </c>
      <c r="L34" s="191">
        <v>0</v>
      </c>
      <c r="M34" s="191">
        <v>9966717.4399999995</v>
      </c>
      <c r="N34" s="191">
        <v>0</v>
      </c>
      <c r="O34" s="191">
        <v>9966717.4399999995</v>
      </c>
    </row>
    <row r="35" spans="1:16" x14ac:dyDescent="0.25">
      <c r="A35" s="196" t="s">
        <v>963</v>
      </c>
      <c r="B35" s="196" t="s">
        <v>962</v>
      </c>
      <c r="C35" s="195" t="s">
        <v>530</v>
      </c>
      <c r="D35" s="195" t="s">
        <v>514</v>
      </c>
      <c r="E35" s="195" t="s">
        <v>146</v>
      </c>
      <c r="F35" s="194" t="s">
        <v>767</v>
      </c>
      <c r="G35" s="193">
        <v>2017</v>
      </c>
      <c r="H35" s="191">
        <v>1520</v>
      </c>
      <c r="I35" s="191">
        <v>7087587.944835999</v>
      </c>
      <c r="J35" s="191">
        <v>428921.55483599973</v>
      </c>
      <c r="K35" s="191">
        <v>6658666.3899999987</v>
      </c>
      <c r="L35" s="191">
        <v>0</v>
      </c>
      <c r="M35" s="191">
        <v>6658666.3899999987</v>
      </c>
      <c r="N35" s="191">
        <v>0</v>
      </c>
      <c r="O35" s="191">
        <v>6658666.3899999987</v>
      </c>
    </row>
    <row r="36" spans="1:16" x14ac:dyDescent="0.25">
      <c r="A36" s="196" t="s">
        <v>963</v>
      </c>
      <c r="B36" s="196" t="s">
        <v>962</v>
      </c>
      <c r="C36" s="195" t="s">
        <v>530</v>
      </c>
      <c r="D36" s="195" t="s">
        <v>508</v>
      </c>
      <c r="E36" s="195" t="s">
        <v>146</v>
      </c>
      <c r="F36" s="194" t="s">
        <v>767</v>
      </c>
      <c r="G36" s="193">
        <v>2017</v>
      </c>
      <c r="H36" s="191">
        <v>3450</v>
      </c>
      <c r="I36" s="191">
        <v>16256927.938000001</v>
      </c>
      <c r="J36" s="191">
        <v>1225846.0179999999</v>
      </c>
      <c r="K36" s="191">
        <v>15031081.919999998</v>
      </c>
      <c r="L36" s="191">
        <v>0</v>
      </c>
      <c r="M36" s="191">
        <v>15031081.919999998</v>
      </c>
      <c r="N36" s="191">
        <v>0</v>
      </c>
      <c r="O36" s="191">
        <v>15031081.919999998</v>
      </c>
    </row>
    <row r="37" spans="1:16" x14ac:dyDescent="0.25">
      <c r="A37" s="196" t="s">
        <v>963</v>
      </c>
      <c r="B37" s="196" t="s">
        <v>962</v>
      </c>
      <c r="C37" s="195" t="s">
        <v>530</v>
      </c>
      <c r="D37" s="195" t="s">
        <v>447</v>
      </c>
      <c r="E37" s="195" t="s">
        <v>146</v>
      </c>
      <c r="F37" s="194" t="s">
        <v>767</v>
      </c>
      <c r="G37" s="193">
        <v>2017</v>
      </c>
      <c r="H37" s="191">
        <v>1130</v>
      </c>
      <c r="I37" s="191">
        <v>3846835.5040300004</v>
      </c>
      <c r="J37" s="191">
        <v>325178.63403000002</v>
      </c>
      <c r="K37" s="191">
        <v>3521656.8700000006</v>
      </c>
      <c r="L37" s="191">
        <v>0</v>
      </c>
      <c r="M37" s="191">
        <v>3521656.8700000006</v>
      </c>
      <c r="N37" s="191">
        <v>0</v>
      </c>
      <c r="O37" s="191">
        <v>3521656.8700000006</v>
      </c>
    </row>
    <row r="38" spans="1:16" x14ac:dyDescent="0.25">
      <c r="A38" s="196" t="s">
        <v>963</v>
      </c>
      <c r="B38" s="196" t="s">
        <v>962</v>
      </c>
      <c r="C38" s="195" t="s">
        <v>530</v>
      </c>
      <c r="D38" s="195" t="s">
        <v>451</v>
      </c>
      <c r="E38" s="195" t="s">
        <v>146</v>
      </c>
      <c r="F38" s="194" t="s">
        <v>767</v>
      </c>
      <c r="G38" s="193">
        <v>2017</v>
      </c>
      <c r="H38" s="191">
        <v>1900</v>
      </c>
      <c r="I38" s="191">
        <v>8277542.527999999</v>
      </c>
      <c r="J38" s="191">
        <v>623045.46799999988</v>
      </c>
      <c r="K38" s="191">
        <v>7654497.0599999996</v>
      </c>
      <c r="L38" s="191">
        <v>0</v>
      </c>
      <c r="M38" s="191">
        <v>7654497.0599999996</v>
      </c>
      <c r="N38" s="191">
        <v>0</v>
      </c>
      <c r="O38" s="191">
        <v>7654497.0599999996</v>
      </c>
    </row>
    <row r="39" spans="1:16" x14ac:dyDescent="0.25">
      <c r="A39" s="196" t="s">
        <v>963</v>
      </c>
      <c r="B39" s="196" t="s">
        <v>962</v>
      </c>
      <c r="C39" s="195" t="s">
        <v>530</v>
      </c>
      <c r="D39" s="195" t="s">
        <v>497</v>
      </c>
      <c r="E39" s="195" t="s">
        <v>146</v>
      </c>
      <c r="F39" s="194" t="s">
        <v>767</v>
      </c>
      <c r="G39" s="193">
        <v>2017</v>
      </c>
      <c r="H39" s="191">
        <v>3840</v>
      </c>
      <c r="I39" s="191">
        <v>27372940.41</v>
      </c>
      <c r="J39" s="191">
        <v>2100668.4999999995</v>
      </c>
      <c r="K39" s="191">
        <v>25272271.91</v>
      </c>
      <c r="L39" s="191">
        <v>0</v>
      </c>
      <c r="M39" s="191">
        <v>25272271.91</v>
      </c>
      <c r="N39" s="191">
        <v>0</v>
      </c>
      <c r="O39" s="191">
        <v>25272271.91</v>
      </c>
    </row>
    <row r="40" spans="1:16" x14ac:dyDescent="0.25">
      <c r="A40" s="196" t="s">
        <v>963</v>
      </c>
      <c r="B40" s="196" t="s">
        <v>962</v>
      </c>
      <c r="C40" s="195" t="s">
        <v>530</v>
      </c>
      <c r="D40" s="195" t="s">
        <v>448</v>
      </c>
      <c r="E40" s="195" t="s">
        <v>146</v>
      </c>
      <c r="F40" s="194" t="s">
        <v>767</v>
      </c>
      <c r="G40" s="193">
        <v>2017</v>
      </c>
      <c r="H40" s="191">
        <v>1000</v>
      </c>
      <c r="I40" s="191">
        <v>2598873.14</v>
      </c>
      <c r="J40" s="191">
        <v>180096.81</v>
      </c>
      <c r="K40" s="191">
        <v>2418776.33</v>
      </c>
      <c r="L40" s="191">
        <v>0</v>
      </c>
      <c r="M40" s="191">
        <v>2418776.33</v>
      </c>
      <c r="N40" s="191">
        <v>0</v>
      </c>
      <c r="O40" s="191">
        <v>2418776.33</v>
      </c>
    </row>
    <row r="41" spans="1:16" x14ac:dyDescent="0.25">
      <c r="A41" s="196" t="s">
        <v>963</v>
      </c>
      <c r="B41" s="196" t="s">
        <v>962</v>
      </c>
      <c r="C41" s="195" t="s">
        <v>530</v>
      </c>
      <c r="D41" s="195" t="s">
        <v>452</v>
      </c>
      <c r="E41" s="195" t="s">
        <v>146</v>
      </c>
      <c r="F41" s="194" t="s">
        <v>767</v>
      </c>
      <c r="G41" s="193">
        <v>2017</v>
      </c>
      <c r="H41" s="191">
        <v>2850</v>
      </c>
      <c r="I41" s="191">
        <v>13638662.549999999</v>
      </c>
      <c r="J41" s="191">
        <v>1129382.9699999995</v>
      </c>
      <c r="K41" s="191">
        <v>12509279.580000002</v>
      </c>
      <c r="L41" s="191">
        <v>0</v>
      </c>
      <c r="M41" s="191">
        <v>12509279.580000002</v>
      </c>
      <c r="N41" s="191">
        <v>0</v>
      </c>
      <c r="O41" s="191">
        <v>12509279.580000002</v>
      </c>
    </row>
    <row r="42" spans="1:16" x14ac:dyDescent="0.25">
      <c r="A42" s="196" t="s">
        <v>963</v>
      </c>
      <c r="B42" s="196" t="s">
        <v>962</v>
      </c>
      <c r="C42" s="195" t="s">
        <v>530</v>
      </c>
      <c r="D42" s="195" t="s">
        <v>483</v>
      </c>
      <c r="E42" s="195" t="s">
        <v>146</v>
      </c>
      <c r="F42" s="194" t="s">
        <v>767</v>
      </c>
      <c r="G42" s="193">
        <v>2017</v>
      </c>
      <c r="H42" s="191">
        <v>3558</v>
      </c>
      <c r="I42" s="191">
        <v>21228523.099999998</v>
      </c>
      <c r="J42" s="191">
        <v>1206633.0999999996</v>
      </c>
      <c r="K42" s="191">
        <v>20021890</v>
      </c>
      <c r="L42" s="191">
        <v>0</v>
      </c>
      <c r="M42" s="191">
        <v>20021890</v>
      </c>
      <c r="N42" s="191">
        <v>0</v>
      </c>
      <c r="O42" s="191">
        <v>20021890</v>
      </c>
    </row>
    <row r="43" spans="1:16" x14ac:dyDescent="0.25">
      <c r="A43" s="196" t="s">
        <v>963</v>
      </c>
      <c r="B43" s="196" t="s">
        <v>962</v>
      </c>
      <c r="C43" s="195" t="s">
        <v>530</v>
      </c>
      <c r="D43" s="195" t="s">
        <v>449</v>
      </c>
      <c r="E43" s="195" t="s">
        <v>146</v>
      </c>
      <c r="F43" s="194" t="s">
        <v>767</v>
      </c>
      <c r="G43" s="193">
        <v>2017</v>
      </c>
      <c r="H43" s="191">
        <v>3843</v>
      </c>
      <c r="I43" s="191">
        <v>25417656.995000001</v>
      </c>
      <c r="J43" s="191">
        <v>2050102.3549999997</v>
      </c>
      <c r="K43" s="191">
        <v>23367554.640000001</v>
      </c>
      <c r="L43" s="191">
        <v>0</v>
      </c>
      <c r="M43" s="191">
        <v>23367554.640000001</v>
      </c>
      <c r="N43" s="191">
        <v>0</v>
      </c>
      <c r="O43" s="191">
        <v>23367554.640000001</v>
      </c>
    </row>
    <row r="44" spans="1:16" x14ac:dyDescent="0.25">
      <c r="A44" s="196" t="s">
        <v>963</v>
      </c>
      <c r="B44" s="196" t="s">
        <v>962</v>
      </c>
      <c r="C44" s="195" t="s">
        <v>530</v>
      </c>
      <c r="D44" s="195" t="s">
        <v>476</v>
      </c>
      <c r="E44" s="195" t="s">
        <v>146</v>
      </c>
      <c r="F44" s="194" t="s">
        <v>767</v>
      </c>
      <c r="G44" s="193">
        <v>2017</v>
      </c>
      <c r="H44" s="191">
        <v>3690</v>
      </c>
      <c r="I44" s="191">
        <v>28259683.377299998</v>
      </c>
      <c r="J44" s="191">
        <v>2453046.6672999999</v>
      </c>
      <c r="K44" s="191">
        <v>25806636.710000001</v>
      </c>
      <c r="L44" s="191">
        <v>0</v>
      </c>
      <c r="M44" s="191">
        <v>25806636.710000001</v>
      </c>
      <c r="N44" s="191">
        <v>0</v>
      </c>
      <c r="O44" s="191">
        <v>25806636.710000001</v>
      </c>
    </row>
    <row r="45" spans="1:16" x14ac:dyDescent="0.25">
      <c r="A45" s="196" t="s">
        <v>963</v>
      </c>
      <c r="B45" s="196" t="s">
        <v>962</v>
      </c>
      <c r="C45" s="195" t="s">
        <v>530</v>
      </c>
      <c r="D45" s="195" t="s">
        <v>455</v>
      </c>
      <c r="E45" s="195" t="s">
        <v>146</v>
      </c>
      <c r="F45" s="194" t="s">
        <v>767</v>
      </c>
      <c r="G45" s="193">
        <v>2017</v>
      </c>
      <c r="H45" s="191">
        <v>3450</v>
      </c>
      <c r="I45" s="191">
        <v>19880712.799999997</v>
      </c>
      <c r="J45" s="191">
        <v>1176929.4099999999</v>
      </c>
      <c r="K45" s="191">
        <v>18703783.389999997</v>
      </c>
      <c r="L45" s="191">
        <v>0</v>
      </c>
      <c r="M45" s="191">
        <v>18703783.389999997</v>
      </c>
      <c r="N45" s="191">
        <v>0</v>
      </c>
      <c r="O45" s="191">
        <v>18703783.389999997</v>
      </c>
    </row>
    <row r="46" spans="1:16" x14ac:dyDescent="0.25">
      <c r="A46" s="196" t="s">
        <v>963</v>
      </c>
      <c r="B46" s="196" t="s">
        <v>962</v>
      </c>
      <c r="C46" s="195" t="s">
        <v>530</v>
      </c>
      <c r="D46" s="195" t="s">
        <v>460</v>
      </c>
      <c r="E46" s="195" t="s">
        <v>146</v>
      </c>
      <c r="F46" s="194" t="s">
        <v>767</v>
      </c>
      <c r="G46" s="193">
        <v>2017</v>
      </c>
      <c r="H46" s="191">
        <v>3510</v>
      </c>
      <c r="I46" s="191">
        <v>17601379.504806001</v>
      </c>
      <c r="J46" s="191">
        <v>1128053.7048060005</v>
      </c>
      <c r="K46" s="191">
        <v>16473325.799999999</v>
      </c>
      <c r="L46" s="191">
        <v>0</v>
      </c>
      <c r="M46" s="191">
        <v>16473325.799999999</v>
      </c>
      <c r="N46" s="191">
        <v>0</v>
      </c>
      <c r="O46" s="191">
        <v>16473325.799999999</v>
      </c>
    </row>
    <row r="47" spans="1:16" x14ac:dyDescent="0.25">
      <c r="A47" s="196" t="s">
        <v>963</v>
      </c>
      <c r="B47" s="196" t="s">
        <v>962</v>
      </c>
      <c r="C47" s="195" t="s">
        <v>530</v>
      </c>
      <c r="D47" s="195" t="s">
        <v>584</v>
      </c>
      <c r="E47" s="195" t="s">
        <v>970</v>
      </c>
      <c r="F47" s="194" t="s">
        <v>767</v>
      </c>
      <c r="G47" s="193">
        <v>2017</v>
      </c>
      <c r="H47" s="191">
        <v>171</v>
      </c>
      <c r="I47" s="191">
        <v>77</v>
      </c>
      <c r="J47" s="191">
        <v>4</v>
      </c>
      <c r="K47" s="191">
        <v>73</v>
      </c>
      <c r="L47" s="191">
        <v>0</v>
      </c>
      <c r="M47" s="191">
        <v>73</v>
      </c>
      <c r="N47" s="191">
        <v>0</v>
      </c>
      <c r="O47" s="191">
        <v>73</v>
      </c>
      <c r="P47" s="183">
        <f>O47/(H47*8760)</f>
        <v>4.8732943469785574E-5</v>
      </c>
    </row>
    <row r="48" spans="1:16" x14ac:dyDescent="0.25">
      <c r="A48" s="196" t="s">
        <v>963</v>
      </c>
      <c r="B48" s="196" t="s">
        <v>962</v>
      </c>
      <c r="C48" s="195" t="s">
        <v>530</v>
      </c>
      <c r="D48" s="195" t="s">
        <v>582</v>
      </c>
      <c r="E48" s="195" t="s">
        <v>970</v>
      </c>
      <c r="F48" s="194" t="s">
        <v>767</v>
      </c>
      <c r="G48" s="193">
        <v>2017</v>
      </c>
      <c r="H48" s="191">
        <v>588</v>
      </c>
      <c r="I48" s="191">
        <v>22514.229200000002</v>
      </c>
      <c r="J48" s="191">
        <v>64.229199999999963</v>
      </c>
      <c r="K48" s="191">
        <v>22450</v>
      </c>
      <c r="L48" s="191">
        <v>0</v>
      </c>
      <c r="M48" s="191">
        <v>22450</v>
      </c>
      <c r="N48" s="191">
        <v>0</v>
      </c>
      <c r="O48" s="191">
        <v>22450</v>
      </c>
      <c r="P48" s="183">
        <f>O48/(H48*8760)</f>
        <v>4.3584785512378469E-3</v>
      </c>
    </row>
    <row r="49" spans="1:16" x14ac:dyDescent="0.25">
      <c r="A49" s="196" t="s">
        <v>963</v>
      </c>
      <c r="B49" s="196" t="s">
        <v>962</v>
      </c>
      <c r="C49" s="195" t="s">
        <v>530</v>
      </c>
      <c r="D49" s="195" t="s">
        <v>580</v>
      </c>
      <c r="E49" s="195" t="s">
        <v>970</v>
      </c>
      <c r="F49" s="194" t="s">
        <v>767</v>
      </c>
      <c r="G49" s="193">
        <v>2017</v>
      </c>
      <c r="H49" s="191">
        <v>438</v>
      </c>
      <c r="I49" s="191">
        <v>16326.9601</v>
      </c>
      <c r="J49" s="191">
        <v>264.32009999999963</v>
      </c>
      <c r="K49" s="191">
        <v>16062.64</v>
      </c>
      <c r="L49" s="191">
        <v>0</v>
      </c>
      <c r="M49" s="191">
        <v>16062.64</v>
      </c>
      <c r="N49" s="191">
        <v>0</v>
      </c>
      <c r="O49" s="191">
        <v>16062.64</v>
      </c>
      <c r="P49" s="183">
        <f>O49/(H49*8760)</f>
        <v>4.1863806009049013E-3</v>
      </c>
    </row>
    <row r="50" spans="1:16" x14ac:dyDescent="0.25">
      <c r="A50" s="196" t="s">
        <v>963</v>
      </c>
      <c r="B50" s="196" t="s">
        <v>962</v>
      </c>
      <c r="C50" s="195" t="s">
        <v>530</v>
      </c>
      <c r="D50" s="195" t="s">
        <v>578</v>
      </c>
      <c r="E50" s="195" t="s">
        <v>970</v>
      </c>
      <c r="F50" s="194" t="s">
        <v>767</v>
      </c>
      <c r="G50" s="193">
        <v>2017</v>
      </c>
      <c r="H50" s="191">
        <v>171</v>
      </c>
      <c r="I50" s="191">
        <v>65</v>
      </c>
      <c r="J50" s="191">
        <v>0</v>
      </c>
      <c r="K50" s="191">
        <v>65</v>
      </c>
      <c r="L50" s="191">
        <v>0</v>
      </c>
      <c r="M50" s="191">
        <v>65</v>
      </c>
      <c r="N50" s="191">
        <v>0</v>
      </c>
      <c r="O50" s="191">
        <v>65</v>
      </c>
      <c r="P50" s="183">
        <f>O50/(H50*8760)</f>
        <v>4.3392346925151537E-5</v>
      </c>
    </row>
    <row r="51" spans="1:16" x14ac:dyDescent="0.25">
      <c r="A51" s="196" t="s">
        <v>963</v>
      </c>
      <c r="B51" s="196" t="s">
        <v>962</v>
      </c>
      <c r="C51" s="195" t="s">
        <v>530</v>
      </c>
      <c r="D51" s="195" t="s">
        <v>574</v>
      </c>
      <c r="E51" s="195" t="s">
        <v>802</v>
      </c>
      <c r="F51" s="194" t="s">
        <v>767</v>
      </c>
      <c r="G51" s="193">
        <v>2017</v>
      </c>
      <c r="H51" s="191">
        <v>360</v>
      </c>
      <c r="I51" s="191">
        <v>342073</v>
      </c>
      <c r="J51" s="191">
        <v>371.8399999999956</v>
      </c>
      <c r="K51" s="191">
        <v>341701.16000000003</v>
      </c>
      <c r="L51" s="191">
        <v>0</v>
      </c>
      <c r="M51" s="191">
        <v>341701.16000000003</v>
      </c>
      <c r="N51" s="191">
        <v>0</v>
      </c>
      <c r="O51" s="191">
        <v>341701.16000000003</v>
      </c>
    </row>
    <row r="52" spans="1:16" x14ac:dyDescent="0.25">
      <c r="A52" s="196" t="s">
        <v>963</v>
      </c>
      <c r="B52" s="196" t="s">
        <v>962</v>
      </c>
      <c r="C52" s="195" t="s">
        <v>530</v>
      </c>
      <c r="D52" s="195" t="s">
        <v>969</v>
      </c>
      <c r="E52" s="195" t="s">
        <v>802</v>
      </c>
      <c r="F52" s="194" t="s">
        <v>767</v>
      </c>
      <c r="G52" s="193">
        <v>2017</v>
      </c>
      <c r="H52" s="191">
        <v>240</v>
      </c>
      <c r="I52" s="191">
        <v>351159</v>
      </c>
      <c r="J52" s="191">
        <v>2565.7999999999993</v>
      </c>
      <c r="K52" s="191">
        <v>348593.2</v>
      </c>
      <c r="L52" s="191">
        <v>0</v>
      </c>
      <c r="M52" s="191">
        <v>348593.2</v>
      </c>
      <c r="N52" s="191">
        <v>0</v>
      </c>
      <c r="O52" s="191">
        <v>348593.2</v>
      </c>
    </row>
    <row r="53" spans="1:16" x14ac:dyDescent="0.25">
      <c r="A53" s="196" t="s">
        <v>963</v>
      </c>
      <c r="B53" s="196" t="s">
        <v>962</v>
      </c>
      <c r="C53" s="195" t="s">
        <v>530</v>
      </c>
      <c r="D53" s="195" t="s">
        <v>586</v>
      </c>
      <c r="E53" s="195" t="s">
        <v>968</v>
      </c>
      <c r="F53" s="194" t="s">
        <v>767</v>
      </c>
      <c r="G53" s="193">
        <v>2017</v>
      </c>
      <c r="H53" s="191">
        <v>1870</v>
      </c>
      <c r="I53" s="191">
        <v>15743187</v>
      </c>
      <c r="J53" s="191">
        <v>656303</v>
      </c>
      <c r="K53" s="191">
        <v>15086884</v>
      </c>
      <c r="L53" s="191">
        <v>0</v>
      </c>
      <c r="M53" s="191">
        <v>15086884</v>
      </c>
      <c r="N53" s="191">
        <v>0</v>
      </c>
      <c r="O53" s="191">
        <v>15086884</v>
      </c>
    </row>
    <row r="54" spans="1:16" x14ac:dyDescent="0.25">
      <c r="A54" s="196" t="s">
        <v>963</v>
      </c>
      <c r="B54" s="196" t="s">
        <v>962</v>
      </c>
      <c r="C54" s="195" t="s">
        <v>530</v>
      </c>
      <c r="D54" s="195" t="s">
        <v>568</v>
      </c>
      <c r="E54" s="195" t="s">
        <v>964</v>
      </c>
      <c r="F54" s="194" t="s">
        <v>767</v>
      </c>
      <c r="G54" s="193">
        <v>2017</v>
      </c>
      <c r="H54" s="191">
        <v>1000</v>
      </c>
      <c r="I54" s="191">
        <v>1478450</v>
      </c>
      <c r="J54" s="191">
        <v>4462.9600000000064</v>
      </c>
      <c r="K54" s="191">
        <v>1473987.04</v>
      </c>
      <c r="L54" s="191">
        <v>2359516.86</v>
      </c>
      <c r="M54" s="191">
        <v>-885529.82000000007</v>
      </c>
      <c r="N54" s="191">
        <v>0</v>
      </c>
      <c r="O54" s="191">
        <v>-885529.82000000007</v>
      </c>
    </row>
    <row r="55" spans="1:16" x14ac:dyDescent="0.25">
      <c r="A55" s="196" t="s">
        <v>963</v>
      </c>
      <c r="B55" s="196" t="s">
        <v>962</v>
      </c>
      <c r="C55" s="195" t="s">
        <v>530</v>
      </c>
      <c r="D55" s="195" t="s">
        <v>566</v>
      </c>
      <c r="E55" s="195" t="s">
        <v>964</v>
      </c>
      <c r="F55" s="194" t="s">
        <v>767</v>
      </c>
      <c r="G55" s="193">
        <v>2017</v>
      </c>
      <c r="H55" s="191">
        <v>400</v>
      </c>
      <c r="I55" s="191">
        <v>589957</v>
      </c>
      <c r="J55" s="191">
        <v>494.97000000001572</v>
      </c>
      <c r="K55" s="191">
        <v>589462.03</v>
      </c>
      <c r="L55" s="191">
        <v>776185.54</v>
      </c>
      <c r="M55" s="191">
        <v>-186723.51</v>
      </c>
      <c r="N55" s="191">
        <v>0</v>
      </c>
      <c r="O55" s="191">
        <v>-186723.51</v>
      </c>
    </row>
    <row r="56" spans="1:16" x14ac:dyDescent="0.25">
      <c r="A56" s="196" t="s">
        <v>963</v>
      </c>
      <c r="B56" s="196" t="s">
        <v>962</v>
      </c>
      <c r="C56" s="195" t="s">
        <v>530</v>
      </c>
      <c r="D56" s="195" t="s">
        <v>572</v>
      </c>
      <c r="E56" s="195" t="s">
        <v>802</v>
      </c>
      <c r="F56" s="194" t="s">
        <v>767</v>
      </c>
      <c r="G56" s="193">
        <v>2017</v>
      </c>
      <c r="H56" s="191">
        <v>2.1</v>
      </c>
      <c r="I56" s="191">
        <v>1739.5432999999996</v>
      </c>
      <c r="J56" s="191">
        <v>0</v>
      </c>
      <c r="K56" s="191">
        <v>1739.5432999999996</v>
      </c>
      <c r="L56" s="191">
        <v>0</v>
      </c>
      <c r="M56" s="191">
        <v>1739.5432999999996</v>
      </c>
      <c r="N56" s="191">
        <v>0</v>
      </c>
      <c r="O56" s="191">
        <v>1739.5432999999996</v>
      </c>
    </row>
    <row r="57" spans="1:16" x14ac:dyDescent="0.25">
      <c r="A57" s="196" t="s">
        <v>963</v>
      </c>
      <c r="B57" s="196" t="s">
        <v>962</v>
      </c>
      <c r="C57" s="195" t="s">
        <v>530</v>
      </c>
      <c r="D57" s="195" t="s">
        <v>967</v>
      </c>
      <c r="E57" s="195" t="s">
        <v>802</v>
      </c>
      <c r="F57" s="194" t="s">
        <v>767</v>
      </c>
      <c r="G57" s="193">
        <v>2017</v>
      </c>
      <c r="H57" s="191">
        <v>42</v>
      </c>
      <c r="I57" s="191">
        <v>9291.2019</v>
      </c>
      <c r="J57" s="191">
        <v>0</v>
      </c>
      <c r="K57" s="191">
        <v>9291.2019</v>
      </c>
      <c r="L57" s="191">
        <v>0</v>
      </c>
      <c r="M57" s="191">
        <v>9291.2019</v>
      </c>
      <c r="N57" s="191">
        <v>0</v>
      </c>
      <c r="O57" s="191">
        <v>9291.2019</v>
      </c>
    </row>
    <row r="58" spans="1:16" x14ac:dyDescent="0.25">
      <c r="A58" s="196" t="s">
        <v>963</v>
      </c>
      <c r="B58" s="196" t="s">
        <v>962</v>
      </c>
      <c r="C58" s="195" t="s">
        <v>530</v>
      </c>
      <c r="D58" s="195" t="s">
        <v>575</v>
      </c>
      <c r="E58" s="195" t="s">
        <v>802</v>
      </c>
      <c r="F58" s="194" t="s">
        <v>767</v>
      </c>
      <c r="G58" s="193">
        <v>2017</v>
      </c>
      <c r="H58" s="191">
        <v>6</v>
      </c>
      <c r="I58" s="191">
        <v>0</v>
      </c>
      <c r="J58" s="191">
        <v>0</v>
      </c>
      <c r="K58" s="191">
        <v>0</v>
      </c>
      <c r="L58" s="191">
        <v>0</v>
      </c>
      <c r="M58" s="191">
        <v>0</v>
      </c>
      <c r="N58" s="191">
        <v>0</v>
      </c>
      <c r="O58" s="191">
        <v>0</v>
      </c>
    </row>
    <row r="59" spans="1:16" x14ac:dyDescent="0.25">
      <c r="A59" s="196" t="s">
        <v>963</v>
      </c>
      <c r="B59" s="196" t="s">
        <v>962</v>
      </c>
      <c r="C59" s="195" t="s">
        <v>530</v>
      </c>
      <c r="D59" s="195" t="s">
        <v>571</v>
      </c>
      <c r="E59" s="195" t="s">
        <v>802</v>
      </c>
      <c r="F59" s="194" t="s">
        <v>767</v>
      </c>
      <c r="G59" s="193">
        <v>2017</v>
      </c>
      <c r="H59" s="191">
        <v>11</v>
      </c>
      <c r="I59" s="191">
        <v>0</v>
      </c>
      <c r="J59" s="191">
        <v>0</v>
      </c>
      <c r="K59" s="191">
        <v>0</v>
      </c>
      <c r="L59" s="191">
        <v>0</v>
      </c>
      <c r="M59" s="191">
        <v>0</v>
      </c>
      <c r="N59" s="191">
        <v>0</v>
      </c>
      <c r="O59" s="191">
        <v>0</v>
      </c>
    </row>
    <row r="60" spans="1:16" x14ac:dyDescent="0.25">
      <c r="A60" s="196" t="s">
        <v>963</v>
      </c>
      <c r="B60" s="196" t="s">
        <v>962</v>
      </c>
      <c r="C60" s="195" t="s">
        <v>530</v>
      </c>
      <c r="D60" s="195" t="s">
        <v>966</v>
      </c>
      <c r="E60" s="195" t="s">
        <v>253</v>
      </c>
      <c r="F60" s="194" t="s">
        <v>767</v>
      </c>
      <c r="G60" s="193">
        <v>2017</v>
      </c>
      <c r="H60" s="191">
        <v>105.8</v>
      </c>
      <c r="I60" s="191">
        <v>342692.44500000001</v>
      </c>
      <c r="J60" s="191">
        <v>3972.1910000000016</v>
      </c>
      <c r="K60" s="191">
        <v>338720.25399999996</v>
      </c>
      <c r="L60" s="191">
        <v>656.27350000000001</v>
      </c>
      <c r="M60" s="191">
        <v>338063.98050000001</v>
      </c>
      <c r="N60" s="191">
        <v>0</v>
      </c>
      <c r="O60" s="191">
        <v>338063.98050000001</v>
      </c>
    </row>
    <row r="61" spans="1:16" x14ac:dyDescent="0.25">
      <c r="A61" s="196" t="s">
        <v>963</v>
      </c>
      <c r="B61" s="196" t="s">
        <v>962</v>
      </c>
      <c r="C61" s="195" t="s">
        <v>530</v>
      </c>
      <c r="D61" s="195" t="s">
        <v>468</v>
      </c>
      <c r="E61" s="195" t="s">
        <v>146</v>
      </c>
      <c r="F61" s="194" t="s">
        <v>767</v>
      </c>
      <c r="G61" s="193">
        <v>2017</v>
      </c>
      <c r="H61" s="191">
        <v>4500</v>
      </c>
      <c r="I61" s="191">
        <v>8513966.7100000009</v>
      </c>
      <c r="J61" s="191">
        <v>669305.62999999989</v>
      </c>
      <c r="K61" s="191">
        <v>7844661.0800000001</v>
      </c>
      <c r="L61" s="191">
        <v>0</v>
      </c>
      <c r="M61" s="191">
        <v>7844661.0800000001</v>
      </c>
      <c r="N61" s="191">
        <v>0</v>
      </c>
      <c r="O61" s="191">
        <v>7844661.0800000001</v>
      </c>
    </row>
    <row r="62" spans="1:16" x14ac:dyDescent="0.25">
      <c r="A62" s="196" t="s">
        <v>963</v>
      </c>
      <c r="B62" s="196" t="s">
        <v>962</v>
      </c>
      <c r="C62" s="195" t="s">
        <v>530</v>
      </c>
      <c r="D62" s="195" t="s">
        <v>965</v>
      </c>
      <c r="E62" s="195" t="s">
        <v>964</v>
      </c>
      <c r="F62" s="194" t="s">
        <v>767</v>
      </c>
      <c r="G62" s="193">
        <v>2017</v>
      </c>
      <c r="H62" s="191">
        <v>1332</v>
      </c>
      <c r="I62" s="191">
        <v>1982881</v>
      </c>
      <c r="J62" s="191">
        <v>55509.030000000028</v>
      </c>
      <c r="K62" s="191">
        <v>1927371.9700000002</v>
      </c>
      <c r="L62" s="191">
        <v>2409225.11</v>
      </c>
      <c r="M62" s="191">
        <v>-481853.1399999999</v>
      </c>
      <c r="N62" s="191">
        <v>0</v>
      </c>
      <c r="O62" s="191">
        <v>-481853.1399999999</v>
      </c>
    </row>
    <row r="63" spans="1:16" x14ac:dyDescent="0.25">
      <c r="A63" s="196" t="s">
        <v>963</v>
      </c>
      <c r="B63" s="196" t="s">
        <v>962</v>
      </c>
      <c r="C63" s="195" t="s">
        <v>530</v>
      </c>
      <c r="D63" s="195" t="s">
        <v>559</v>
      </c>
      <c r="E63" s="195" t="s">
        <v>146</v>
      </c>
      <c r="F63" s="194" t="s">
        <v>767</v>
      </c>
      <c r="G63" s="193">
        <v>2017</v>
      </c>
      <c r="H63" s="191">
        <v>4800</v>
      </c>
      <c r="I63" s="191">
        <v>1530743.41</v>
      </c>
      <c r="J63" s="191">
        <v>151144.41</v>
      </c>
      <c r="K63" s="191">
        <v>1379599</v>
      </c>
      <c r="L63" s="191">
        <v>0</v>
      </c>
      <c r="M63" s="191">
        <v>1379599</v>
      </c>
      <c r="N63" s="191">
        <v>0</v>
      </c>
      <c r="O63" s="191">
        <v>1379599</v>
      </c>
    </row>
    <row r="64" spans="1:16" x14ac:dyDescent="0.25">
      <c r="A64" s="196" t="s">
        <v>961</v>
      </c>
      <c r="B64" s="196" t="s">
        <v>960</v>
      </c>
      <c r="C64" s="195" t="s">
        <v>770</v>
      </c>
      <c r="D64" s="195" t="s">
        <v>959</v>
      </c>
      <c r="E64" s="195" t="s">
        <v>773</v>
      </c>
      <c r="F64" s="194" t="s">
        <v>767</v>
      </c>
      <c r="G64" s="193">
        <v>2017</v>
      </c>
      <c r="H64" s="191">
        <v>60</v>
      </c>
      <c r="I64" s="191">
        <v>121351.42499999999</v>
      </c>
      <c r="J64" s="191">
        <v>0</v>
      </c>
      <c r="K64" s="191">
        <v>121351.42499999999</v>
      </c>
      <c r="L64" s="191">
        <v>766.61900000000003</v>
      </c>
      <c r="M64" s="191">
        <v>120584.80599999997</v>
      </c>
      <c r="N64" s="191">
        <v>0</v>
      </c>
      <c r="O64" s="191">
        <v>120584.80599999997</v>
      </c>
    </row>
    <row r="65" spans="1:15" x14ac:dyDescent="0.25">
      <c r="A65" s="196" t="s">
        <v>958</v>
      </c>
      <c r="B65" s="196" t="s">
        <v>957</v>
      </c>
      <c r="C65" s="195" t="s">
        <v>770</v>
      </c>
      <c r="D65" s="195" t="s">
        <v>956</v>
      </c>
      <c r="E65" s="195" t="s">
        <v>773</v>
      </c>
      <c r="F65" s="194" t="s">
        <v>767</v>
      </c>
      <c r="G65" s="193">
        <v>2017</v>
      </c>
      <c r="H65" s="191">
        <v>64</v>
      </c>
      <c r="I65" s="191">
        <v>143418.74349687499</v>
      </c>
      <c r="J65" s="191">
        <v>1215.9204999999943</v>
      </c>
      <c r="K65" s="191">
        <v>142202.82150000005</v>
      </c>
      <c r="L65" s="191">
        <v>0</v>
      </c>
      <c r="M65" s="191">
        <v>142202.82150000005</v>
      </c>
      <c r="N65" s="191">
        <v>0</v>
      </c>
      <c r="O65" s="191">
        <v>142202.82150000005</v>
      </c>
    </row>
    <row r="66" spans="1:15" x14ac:dyDescent="0.25">
      <c r="A66" s="196" t="s">
        <v>955</v>
      </c>
      <c r="B66" s="196" t="s">
        <v>954</v>
      </c>
      <c r="C66" s="195" t="s">
        <v>770</v>
      </c>
      <c r="D66" s="195" t="s">
        <v>953</v>
      </c>
      <c r="E66" s="195" t="s">
        <v>802</v>
      </c>
      <c r="F66" s="194" t="s">
        <v>767</v>
      </c>
      <c r="G66" s="193">
        <v>2017</v>
      </c>
      <c r="H66" s="191">
        <v>2.5</v>
      </c>
      <c r="I66" s="191">
        <v>12971.923232323234</v>
      </c>
      <c r="J66" s="191">
        <v>0</v>
      </c>
      <c r="K66" s="191">
        <v>12971.923232323234</v>
      </c>
      <c r="L66" s="191">
        <v>0</v>
      </c>
      <c r="M66" s="191">
        <v>12971.923232323234</v>
      </c>
      <c r="N66" s="191">
        <v>129.71923232323232</v>
      </c>
      <c r="O66" s="191">
        <v>12842.204</v>
      </c>
    </row>
    <row r="67" spans="1:15" x14ac:dyDescent="0.25">
      <c r="A67" s="196" t="s">
        <v>952</v>
      </c>
      <c r="B67" s="196" t="s">
        <v>951</v>
      </c>
      <c r="C67" s="195" t="s">
        <v>770</v>
      </c>
      <c r="D67" s="195" t="s">
        <v>950</v>
      </c>
      <c r="E67" s="195" t="s">
        <v>253</v>
      </c>
      <c r="F67" s="194" t="s">
        <v>767</v>
      </c>
      <c r="G67" s="193">
        <v>2017</v>
      </c>
      <c r="H67" s="191">
        <v>111</v>
      </c>
      <c r="I67" s="191">
        <v>317019.86</v>
      </c>
      <c r="J67" s="191">
        <v>0</v>
      </c>
      <c r="K67" s="191">
        <v>317019.86</v>
      </c>
      <c r="L67" s="191">
        <v>209.87700000000001</v>
      </c>
      <c r="M67" s="191">
        <v>316809.98300000001</v>
      </c>
      <c r="N67" s="191">
        <v>0</v>
      </c>
      <c r="O67" s="191">
        <v>316809.98300000001</v>
      </c>
    </row>
    <row r="68" spans="1:15" x14ac:dyDescent="0.25">
      <c r="A68" s="196" t="s">
        <v>949</v>
      </c>
      <c r="B68" s="196" t="s">
        <v>948</v>
      </c>
      <c r="C68" s="195" t="s">
        <v>770</v>
      </c>
      <c r="D68" s="195" t="s">
        <v>947</v>
      </c>
      <c r="E68" s="195" t="s">
        <v>253</v>
      </c>
      <c r="F68" s="194" t="s">
        <v>767</v>
      </c>
      <c r="G68" s="193">
        <v>2017</v>
      </c>
      <c r="H68" s="191">
        <v>59.8</v>
      </c>
      <c r="I68" s="191">
        <v>171057.88753000001</v>
      </c>
      <c r="J68" s="191">
        <v>0</v>
      </c>
      <c r="K68" s="191">
        <v>171057.88753000001</v>
      </c>
      <c r="L68" s="191">
        <v>456.45399999999995</v>
      </c>
      <c r="M68" s="191">
        <v>170601.43353000004</v>
      </c>
      <c r="N68" s="191">
        <v>0</v>
      </c>
      <c r="O68" s="191">
        <v>170601.43353000004</v>
      </c>
    </row>
    <row r="69" spans="1:15" x14ac:dyDescent="0.25">
      <c r="A69" s="196" t="s">
        <v>946</v>
      </c>
      <c r="B69" s="196" t="s">
        <v>945</v>
      </c>
      <c r="C69" s="195" t="s">
        <v>770</v>
      </c>
      <c r="D69" s="195" t="s">
        <v>944</v>
      </c>
      <c r="E69" s="195" t="s">
        <v>131</v>
      </c>
      <c r="F69" s="194" t="s">
        <v>767</v>
      </c>
      <c r="G69" s="193">
        <v>2017</v>
      </c>
      <c r="H69" s="191">
        <v>2</v>
      </c>
      <c r="I69" s="191">
        <v>30259.700000000004</v>
      </c>
      <c r="J69" s="191">
        <v>28593.160000000003</v>
      </c>
      <c r="K69" s="191">
        <v>1666.54</v>
      </c>
      <c r="L69" s="191">
        <v>1949.5199999999995</v>
      </c>
      <c r="M69" s="191">
        <v>-282.97999999999934</v>
      </c>
      <c r="N69" s="191">
        <v>30542.68</v>
      </c>
      <c r="O69" s="191">
        <v>1666.54</v>
      </c>
    </row>
    <row r="70" spans="1:15" x14ac:dyDescent="0.25">
      <c r="A70" s="196" t="s">
        <v>943</v>
      </c>
      <c r="B70" s="196" t="s">
        <v>942</v>
      </c>
      <c r="C70" s="195" t="s">
        <v>770</v>
      </c>
      <c r="D70" s="195" t="s">
        <v>941</v>
      </c>
      <c r="E70" s="195" t="s">
        <v>773</v>
      </c>
      <c r="F70" s="194" t="s">
        <v>767</v>
      </c>
      <c r="G70" s="193">
        <v>2017</v>
      </c>
      <c r="H70" s="191">
        <v>75</v>
      </c>
      <c r="I70" s="191">
        <v>182730.26249999998</v>
      </c>
      <c r="J70" s="191">
        <v>0</v>
      </c>
      <c r="K70" s="191">
        <v>182730.26249999998</v>
      </c>
      <c r="L70" s="191">
        <v>934.85450000000014</v>
      </c>
      <c r="M70" s="191">
        <v>181795.408</v>
      </c>
      <c r="N70" s="191">
        <v>37.97</v>
      </c>
      <c r="O70" s="191">
        <v>181757.43800000002</v>
      </c>
    </row>
    <row r="71" spans="1:15" x14ac:dyDescent="0.25">
      <c r="A71" s="196" t="s">
        <v>940</v>
      </c>
      <c r="B71" s="196" t="s">
        <v>939</v>
      </c>
      <c r="C71" s="195" t="s">
        <v>770</v>
      </c>
      <c r="D71" s="195" t="s">
        <v>938</v>
      </c>
      <c r="E71" s="195" t="s">
        <v>253</v>
      </c>
      <c r="F71" s="194" t="s">
        <v>767</v>
      </c>
      <c r="G71" s="193">
        <v>2017</v>
      </c>
      <c r="H71" s="191">
        <v>133.86000000000001</v>
      </c>
      <c r="I71" s="191">
        <v>443016.79232000001</v>
      </c>
      <c r="J71" s="191">
        <v>0</v>
      </c>
      <c r="K71" s="191">
        <v>443016.79232000001</v>
      </c>
      <c r="L71" s="191">
        <v>722.31464000000005</v>
      </c>
      <c r="M71" s="191">
        <v>442294.47767999995</v>
      </c>
      <c r="N71" s="191">
        <v>0</v>
      </c>
      <c r="O71" s="191">
        <v>442294.47767999995</v>
      </c>
    </row>
    <row r="72" spans="1:15" x14ac:dyDescent="0.25">
      <c r="A72" s="196" t="s">
        <v>937</v>
      </c>
      <c r="B72" s="196" t="s">
        <v>936</v>
      </c>
      <c r="C72" s="195" t="s">
        <v>770</v>
      </c>
      <c r="D72" s="195" t="s">
        <v>935</v>
      </c>
      <c r="E72" s="195" t="s">
        <v>768</v>
      </c>
      <c r="F72" s="194" t="s">
        <v>767</v>
      </c>
      <c r="G72" s="193">
        <v>2017</v>
      </c>
      <c r="H72" s="191">
        <v>100</v>
      </c>
      <c r="I72" s="191">
        <v>238775.67881453456</v>
      </c>
      <c r="J72" s="191">
        <v>21012.840983350245</v>
      </c>
      <c r="K72" s="191">
        <v>238775.67881453456</v>
      </c>
      <c r="L72" s="191">
        <v>11656.631021068408</v>
      </c>
      <c r="M72" s="191">
        <v>217762.83783118433</v>
      </c>
      <c r="N72" s="191">
        <v>21012.840983350245</v>
      </c>
      <c r="O72" s="191">
        <v>217762.83783118433</v>
      </c>
    </row>
    <row r="73" spans="1:15" x14ac:dyDescent="0.25">
      <c r="A73" s="196" t="s">
        <v>934</v>
      </c>
      <c r="B73" s="196" t="s">
        <v>933</v>
      </c>
      <c r="C73" s="195" t="s">
        <v>770</v>
      </c>
      <c r="D73" s="195" t="s">
        <v>932</v>
      </c>
      <c r="E73" s="195" t="s">
        <v>802</v>
      </c>
      <c r="F73" s="194" t="s">
        <v>767</v>
      </c>
      <c r="G73" s="193">
        <v>2017</v>
      </c>
      <c r="H73" s="191">
        <v>10</v>
      </c>
      <c r="I73" s="191">
        <v>36574.576874999999</v>
      </c>
      <c r="J73" s="191">
        <v>0</v>
      </c>
      <c r="K73" s="191">
        <v>36574.576874999999</v>
      </c>
      <c r="L73" s="191">
        <v>9.3432446289062501</v>
      </c>
      <c r="M73" s="191">
        <v>36524.642809168246</v>
      </c>
      <c r="N73" s="191">
        <v>0</v>
      </c>
      <c r="O73" s="191">
        <v>36314.641478999991</v>
      </c>
    </row>
    <row r="74" spans="1:15" x14ac:dyDescent="0.25">
      <c r="A74" s="196" t="s">
        <v>931</v>
      </c>
      <c r="B74" s="196" t="s">
        <v>930</v>
      </c>
      <c r="C74" s="195" t="s">
        <v>770</v>
      </c>
      <c r="D74" s="195" t="s">
        <v>929</v>
      </c>
      <c r="E74" s="195" t="s">
        <v>768</v>
      </c>
      <c r="F74" s="194" t="s">
        <v>767</v>
      </c>
      <c r="G74" s="193">
        <v>2017</v>
      </c>
      <c r="H74" s="191">
        <v>50</v>
      </c>
      <c r="I74" s="191">
        <v>85288.696769115442</v>
      </c>
      <c r="J74" s="191">
        <v>6936.132748115434</v>
      </c>
      <c r="K74" s="191">
        <v>78352.564020999998</v>
      </c>
      <c r="L74" s="191">
        <v>7552.3658296056146</v>
      </c>
      <c r="M74" s="191">
        <v>70800.198191394389</v>
      </c>
      <c r="N74" s="191">
        <v>14488.49857772105</v>
      </c>
      <c r="O74" s="191">
        <v>78352.564020999998</v>
      </c>
    </row>
    <row r="75" spans="1:15" x14ac:dyDescent="0.25">
      <c r="A75" s="196" t="s">
        <v>928</v>
      </c>
      <c r="B75" s="196" t="s">
        <v>927</v>
      </c>
      <c r="C75" s="195" t="s">
        <v>770</v>
      </c>
      <c r="D75" s="195" t="s">
        <v>926</v>
      </c>
      <c r="E75" s="195" t="s">
        <v>253</v>
      </c>
      <c r="F75" s="194" t="s">
        <v>767</v>
      </c>
      <c r="G75" s="193">
        <v>2017</v>
      </c>
      <c r="H75" s="191">
        <v>27</v>
      </c>
      <c r="I75" s="191">
        <v>85211.869000000006</v>
      </c>
      <c r="J75" s="191">
        <v>134.65175000000002</v>
      </c>
      <c r="K75" s="191">
        <v>85211.869000000006</v>
      </c>
      <c r="L75" s="191">
        <v>134.65175000000002</v>
      </c>
      <c r="M75" s="191">
        <v>85211.869000000006</v>
      </c>
      <c r="N75" s="191">
        <v>134.65175000000002</v>
      </c>
      <c r="O75" s="191">
        <v>85211.869000000006</v>
      </c>
    </row>
    <row r="76" spans="1:15" x14ac:dyDescent="0.25">
      <c r="A76" s="196" t="s">
        <v>925</v>
      </c>
      <c r="B76" s="196" t="s">
        <v>924</v>
      </c>
      <c r="C76" s="195" t="s">
        <v>770</v>
      </c>
      <c r="D76" s="195" t="s">
        <v>923</v>
      </c>
      <c r="E76" s="195" t="s">
        <v>253</v>
      </c>
      <c r="F76" s="194" t="s">
        <v>767</v>
      </c>
      <c r="G76" s="193">
        <v>2017</v>
      </c>
      <c r="H76" s="191">
        <v>80</v>
      </c>
      <c r="I76" s="191">
        <v>271094.76800799998</v>
      </c>
      <c r="J76" s="191">
        <v>0</v>
      </c>
      <c r="K76" s="191">
        <v>271094.76800799998</v>
      </c>
      <c r="L76" s="191">
        <v>85.968000000000004</v>
      </c>
      <c r="M76" s="191">
        <v>271008.80000799999</v>
      </c>
      <c r="N76" s="191">
        <v>0</v>
      </c>
      <c r="O76" s="191">
        <v>271008.80000799999</v>
      </c>
    </row>
    <row r="77" spans="1:15" x14ac:dyDescent="0.25">
      <c r="A77" s="196" t="s">
        <v>922</v>
      </c>
      <c r="B77" s="196" t="s">
        <v>921</v>
      </c>
      <c r="C77" s="195" t="s">
        <v>770</v>
      </c>
      <c r="D77" s="195" t="s">
        <v>921</v>
      </c>
      <c r="E77" s="195" t="s">
        <v>773</v>
      </c>
      <c r="F77" s="194" t="s">
        <v>767</v>
      </c>
      <c r="G77" s="193">
        <v>2017</v>
      </c>
      <c r="H77" s="191">
        <v>10</v>
      </c>
      <c r="I77" s="191">
        <v>21585.008901999998</v>
      </c>
      <c r="J77" s="191">
        <v>0</v>
      </c>
      <c r="K77" s="191">
        <v>21585.008901999998</v>
      </c>
      <c r="L77" s="191">
        <v>82.262625000000014</v>
      </c>
      <c r="M77" s="191">
        <v>21502.746276999998</v>
      </c>
      <c r="N77" s="191">
        <v>30.863</v>
      </c>
      <c r="O77" s="191">
        <v>21585.008901999998</v>
      </c>
    </row>
    <row r="78" spans="1:15" x14ac:dyDescent="0.25">
      <c r="A78" s="196" t="s">
        <v>920</v>
      </c>
      <c r="B78" s="196" t="s">
        <v>919</v>
      </c>
      <c r="C78" s="195" t="s">
        <v>770</v>
      </c>
      <c r="D78" s="195" t="s">
        <v>918</v>
      </c>
      <c r="E78" s="195" t="s">
        <v>802</v>
      </c>
      <c r="F78" s="194" t="s">
        <v>767</v>
      </c>
      <c r="G78" s="193">
        <v>2017</v>
      </c>
      <c r="H78" s="191">
        <v>2.415</v>
      </c>
      <c r="I78" s="191">
        <v>0</v>
      </c>
      <c r="J78" s="191">
        <v>-51571</v>
      </c>
      <c r="K78" s="191">
        <v>51571</v>
      </c>
      <c r="L78" s="191">
        <v>-4533946</v>
      </c>
      <c r="M78" s="191">
        <v>4585517</v>
      </c>
      <c r="N78" s="191">
        <v>4585517</v>
      </c>
      <c r="O78" s="191">
        <v>0</v>
      </c>
    </row>
    <row r="79" spans="1:15" x14ac:dyDescent="0.25">
      <c r="A79" s="196" t="s">
        <v>917</v>
      </c>
      <c r="B79" s="196" t="s">
        <v>916</v>
      </c>
      <c r="C79" s="195" t="s">
        <v>770</v>
      </c>
      <c r="D79" s="195" t="s">
        <v>915</v>
      </c>
      <c r="E79" s="195" t="s">
        <v>253</v>
      </c>
      <c r="F79" s="194" t="s">
        <v>767</v>
      </c>
      <c r="G79" s="193">
        <v>2017</v>
      </c>
      <c r="H79" s="191">
        <v>138.96</v>
      </c>
      <c r="I79" s="191">
        <v>104867.887</v>
      </c>
      <c r="J79" s="191">
        <v>2997.6130000000003</v>
      </c>
      <c r="K79" s="191">
        <v>101870.274</v>
      </c>
      <c r="L79" s="191">
        <v>44.903000000000006</v>
      </c>
      <c r="M79" s="191">
        <v>101825.371</v>
      </c>
      <c r="N79" s="191">
        <v>0</v>
      </c>
      <c r="O79" s="191">
        <v>101905.72803</v>
      </c>
    </row>
    <row r="80" spans="1:15" ht="24.75" x14ac:dyDescent="0.25">
      <c r="A80" s="196" t="s">
        <v>914</v>
      </c>
      <c r="B80" s="196" t="s">
        <v>913</v>
      </c>
      <c r="C80" s="195" t="s">
        <v>770</v>
      </c>
      <c r="D80" s="195" t="s">
        <v>912</v>
      </c>
      <c r="E80" s="195" t="s">
        <v>253</v>
      </c>
      <c r="F80" s="194" t="s">
        <v>767</v>
      </c>
      <c r="G80" s="193">
        <v>2017</v>
      </c>
      <c r="H80" s="191">
        <v>96.48</v>
      </c>
      <c r="I80" s="191">
        <v>81451.952000000005</v>
      </c>
      <c r="J80" s="191">
        <v>2636.3670000000002</v>
      </c>
      <c r="K80" s="191">
        <v>78815.585000000006</v>
      </c>
      <c r="L80" s="191">
        <v>59.94</v>
      </c>
      <c r="M80" s="191">
        <v>78755.645000000004</v>
      </c>
      <c r="N80" s="191">
        <v>0</v>
      </c>
      <c r="O80" s="191">
        <v>78822.672010000009</v>
      </c>
    </row>
    <row r="81" spans="1:16" x14ac:dyDescent="0.25">
      <c r="A81" s="196" t="s">
        <v>911</v>
      </c>
      <c r="B81" s="196" t="s">
        <v>910</v>
      </c>
      <c r="C81" s="195" t="s">
        <v>770</v>
      </c>
      <c r="D81" s="195" t="s">
        <v>909</v>
      </c>
      <c r="E81" s="195" t="s">
        <v>833</v>
      </c>
      <c r="F81" s="194" t="s">
        <v>767</v>
      </c>
      <c r="G81" s="193">
        <v>2017</v>
      </c>
      <c r="H81" s="191">
        <v>4.2480000000000002</v>
      </c>
      <c r="I81" s="191">
        <v>15327.490787499999</v>
      </c>
      <c r="J81" s="191">
        <v>0</v>
      </c>
      <c r="K81" s="191">
        <v>15327.490787499999</v>
      </c>
      <c r="L81" s="191">
        <v>543.47126749999995</v>
      </c>
      <c r="M81" s="191">
        <v>14784.01952</v>
      </c>
      <c r="N81" s="191">
        <v>0</v>
      </c>
      <c r="O81" s="191">
        <v>14784.01952</v>
      </c>
      <c r="P81" s="183">
        <f>O81/(H81*8760)</f>
        <v>0.39728659632467384</v>
      </c>
    </row>
    <row r="82" spans="1:16" ht="24.75" x14ac:dyDescent="0.25">
      <c r="A82" s="196" t="s">
        <v>908</v>
      </c>
      <c r="B82" s="196" t="s">
        <v>907</v>
      </c>
      <c r="C82" s="195" t="s">
        <v>770</v>
      </c>
      <c r="D82" s="195" t="s">
        <v>906</v>
      </c>
      <c r="E82" s="195" t="s">
        <v>905</v>
      </c>
      <c r="F82" s="194" t="s">
        <v>767</v>
      </c>
      <c r="G82" s="193">
        <v>2017</v>
      </c>
      <c r="H82" s="191">
        <v>75</v>
      </c>
      <c r="I82" s="191">
        <v>830203.11260369548</v>
      </c>
      <c r="J82" s="191">
        <v>0</v>
      </c>
      <c r="K82" s="191">
        <v>830203.11260369548</v>
      </c>
      <c r="L82" s="191">
        <v>138922.29478763984</v>
      </c>
      <c r="M82" s="191">
        <v>969125.40739133535</v>
      </c>
      <c r="N82" s="191">
        <v>781865.4529336954</v>
      </c>
      <c r="O82" s="191">
        <v>187731.61095399997</v>
      </c>
    </row>
    <row r="83" spans="1:16" x14ac:dyDescent="0.25">
      <c r="A83" s="196" t="s">
        <v>904</v>
      </c>
      <c r="B83" s="196" t="s">
        <v>903</v>
      </c>
      <c r="C83" s="195" t="s">
        <v>770</v>
      </c>
      <c r="D83" s="195" t="s">
        <v>902</v>
      </c>
      <c r="E83" s="195" t="s">
        <v>901</v>
      </c>
      <c r="F83" s="194" t="s">
        <v>767</v>
      </c>
      <c r="G83" s="193">
        <v>2017</v>
      </c>
      <c r="H83" s="191">
        <v>5.0999999999999996</v>
      </c>
      <c r="I83" s="191">
        <v>10391</v>
      </c>
      <c r="J83" s="191">
        <v>0</v>
      </c>
      <c r="K83" s="191">
        <v>10391</v>
      </c>
      <c r="L83" s="191">
        <v>83507</v>
      </c>
      <c r="M83" s="191">
        <v>0</v>
      </c>
      <c r="N83" s="191">
        <v>93898</v>
      </c>
      <c r="O83" s="191">
        <v>0</v>
      </c>
    </row>
    <row r="84" spans="1:16" x14ac:dyDescent="0.25">
      <c r="A84" s="196" t="s">
        <v>900</v>
      </c>
      <c r="B84" s="196" t="s">
        <v>899</v>
      </c>
      <c r="C84" s="195" t="s">
        <v>770</v>
      </c>
      <c r="D84" s="195" t="s">
        <v>898</v>
      </c>
      <c r="E84" s="195" t="s">
        <v>773</v>
      </c>
      <c r="F84" s="194" t="s">
        <v>767</v>
      </c>
      <c r="G84" s="193">
        <v>2017</v>
      </c>
      <c r="H84" s="191">
        <v>10</v>
      </c>
      <c r="I84" s="191">
        <v>20717.605040000002</v>
      </c>
      <c r="J84" s="191">
        <v>0</v>
      </c>
      <c r="K84" s="191">
        <v>20717.605040000002</v>
      </c>
      <c r="L84" s="191">
        <v>142.68472</v>
      </c>
      <c r="M84" s="191">
        <v>20717.605040000002</v>
      </c>
      <c r="N84" s="191">
        <v>113.73269000000001</v>
      </c>
      <c r="O84" s="191">
        <v>20717.605040000002</v>
      </c>
    </row>
    <row r="85" spans="1:16" x14ac:dyDescent="0.25">
      <c r="A85" s="196" t="s">
        <v>897</v>
      </c>
      <c r="B85" s="196" t="s">
        <v>896</v>
      </c>
      <c r="C85" s="195" t="s">
        <v>770</v>
      </c>
      <c r="D85" s="195" t="s">
        <v>896</v>
      </c>
      <c r="E85" s="195" t="s">
        <v>773</v>
      </c>
      <c r="F85" s="194" t="s">
        <v>767</v>
      </c>
      <c r="G85" s="193">
        <v>2017</v>
      </c>
      <c r="H85" s="191">
        <v>20</v>
      </c>
      <c r="I85" s="191">
        <v>41982.508999999991</v>
      </c>
      <c r="J85" s="191">
        <v>0</v>
      </c>
      <c r="K85" s="191">
        <v>41982.508999999991</v>
      </c>
      <c r="L85" s="191">
        <v>300.75925000000001</v>
      </c>
      <c r="M85" s="191">
        <v>41982.508999999991</v>
      </c>
      <c r="N85" s="191">
        <v>192.06117</v>
      </c>
      <c r="O85" s="191">
        <v>41982.508999999991</v>
      </c>
    </row>
    <row r="86" spans="1:16" x14ac:dyDescent="0.25">
      <c r="A86" s="196" t="s">
        <v>895</v>
      </c>
      <c r="B86" s="196" t="s">
        <v>894</v>
      </c>
      <c r="C86" s="195" t="s">
        <v>770</v>
      </c>
      <c r="D86" s="195" t="s">
        <v>893</v>
      </c>
      <c r="E86" s="195" t="s">
        <v>773</v>
      </c>
      <c r="F86" s="194" t="s">
        <v>767</v>
      </c>
      <c r="G86" s="193">
        <v>2017</v>
      </c>
      <c r="H86" s="191">
        <v>75</v>
      </c>
      <c r="I86" s="191">
        <v>170023.99404047197</v>
      </c>
      <c r="J86" s="191">
        <v>0</v>
      </c>
      <c r="K86" s="191">
        <v>170023.99404047197</v>
      </c>
      <c r="L86" s="191">
        <v>727.67416357000002</v>
      </c>
      <c r="M86" s="191">
        <v>170023.99404047197</v>
      </c>
      <c r="N86" s="191">
        <v>0</v>
      </c>
      <c r="O86" s="191">
        <v>170023.99404047197</v>
      </c>
    </row>
    <row r="87" spans="1:16" x14ac:dyDescent="0.25">
      <c r="A87" s="196" t="s">
        <v>892</v>
      </c>
      <c r="B87" s="196" t="s">
        <v>891</v>
      </c>
      <c r="C87" s="195" t="s">
        <v>804</v>
      </c>
      <c r="D87" s="195" t="s">
        <v>890</v>
      </c>
      <c r="E87" s="195" t="s">
        <v>833</v>
      </c>
      <c r="F87" s="194" t="s">
        <v>767</v>
      </c>
      <c r="G87" s="193">
        <v>2017</v>
      </c>
      <c r="H87" s="191">
        <v>40</v>
      </c>
      <c r="I87" s="191">
        <v>0</v>
      </c>
      <c r="J87" s="191">
        <v>0</v>
      </c>
      <c r="K87" s="191">
        <v>0</v>
      </c>
      <c r="L87" s="191">
        <v>3.24</v>
      </c>
      <c r="M87" s="191">
        <v>-3.24</v>
      </c>
      <c r="N87" s="191">
        <v>3.24</v>
      </c>
      <c r="O87" s="191">
        <v>0</v>
      </c>
      <c r="P87" s="183">
        <f>O87/(H87*8760)</f>
        <v>0</v>
      </c>
    </row>
    <row r="88" spans="1:16" x14ac:dyDescent="0.25">
      <c r="A88" s="196" t="s">
        <v>889</v>
      </c>
      <c r="B88" s="196" t="s">
        <v>888</v>
      </c>
      <c r="C88" s="195" t="s">
        <v>770</v>
      </c>
      <c r="D88" s="195" t="s">
        <v>887</v>
      </c>
      <c r="E88" s="195" t="s">
        <v>833</v>
      </c>
      <c r="F88" s="194" t="s">
        <v>767</v>
      </c>
      <c r="G88" s="193">
        <v>2017</v>
      </c>
      <c r="H88" s="191">
        <v>13</v>
      </c>
      <c r="I88" s="191">
        <v>4330.3919999999998</v>
      </c>
      <c r="J88" s="191">
        <v>0</v>
      </c>
      <c r="K88" s="191">
        <v>4330.3919999999998</v>
      </c>
      <c r="L88" s="191">
        <v>0</v>
      </c>
      <c r="M88" s="191">
        <v>4330.3919999999998</v>
      </c>
      <c r="N88" s="191">
        <v>0</v>
      </c>
      <c r="O88" s="191">
        <v>4330.3919999999998</v>
      </c>
      <c r="P88" s="183">
        <f>O88/(H88*8760)</f>
        <v>3.8025922023182293E-2</v>
      </c>
    </row>
    <row r="89" spans="1:16" x14ac:dyDescent="0.25">
      <c r="A89" s="196" t="s">
        <v>886</v>
      </c>
      <c r="B89" s="196" t="s">
        <v>885</v>
      </c>
      <c r="C89" s="195" t="s">
        <v>770</v>
      </c>
      <c r="D89" s="195" t="s">
        <v>884</v>
      </c>
      <c r="E89" s="195" t="s">
        <v>253</v>
      </c>
      <c r="F89" s="194" t="s">
        <v>767</v>
      </c>
      <c r="G89" s="193">
        <v>2017</v>
      </c>
      <c r="H89" s="191">
        <v>86.6</v>
      </c>
      <c r="I89" s="191">
        <v>250053.76015399999</v>
      </c>
      <c r="J89" s="191">
        <v>0</v>
      </c>
      <c r="K89" s="191">
        <v>250053.76015399999</v>
      </c>
      <c r="L89" s="191">
        <v>384.18799999999999</v>
      </c>
      <c r="M89" s="191">
        <v>249669.57215399999</v>
      </c>
      <c r="N89" s="191">
        <v>0</v>
      </c>
      <c r="O89" s="191">
        <v>249669.57215399999</v>
      </c>
    </row>
    <row r="90" spans="1:16" x14ac:dyDescent="0.25">
      <c r="A90" s="196" t="s">
        <v>883</v>
      </c>
      <c r="B90" s="196" t="s">
        <v>882</v>
      </c>
      <c r="C90" s="195" t="s">
        <v>770</v>
      </c>
      <c r="D90" s="195" t="s">
        <v>881</v>
      </c>
      <c r="E90" s="196" t="s">
        <v>773</v>
      </c>
      <c r="F90" s="194" t="s">
        <v>767</v>
      </c>
      <c r="G90" s="193">
        <v>2017</v>
      </c>
      <c r="H90" s="191">
        <v>64</v>
      </c>
      <c r="I90" s="191">
        <v>150559.6253175</v>
      </c>
      <c r="J90" s="191">
        <v>1170.102062500011</v>
      </c>
      <c r="K90" s="191">
        <v>149389.52525000001</v>
      </c>
      <c r="L90" s="191">
        <v>0</v>
      </c>
      <c r="M90" s="191">
        <v>149389.52525000001</v>
      </c>
      <c r="N90" s="191">
        <v>0</v>
      </c>
      <c r="O90" s="191">
        <v>149389.52525000001</v>
      </c>
    </row>
    <row r="91" spans="1:16" x14ac:dyDescent="0.25">
      <c r="A91" s="196" t="s">
        <v>880</v>
      </c>
      <c r="B91" s="196" t="s">
        <v>879</v>
      </c>
      <c r="C91" s="195" t="s">
        <v>770</v>
      </c>
      <c r="D91" s="195" t="s">
        <v>878</v>
      </c>
      <c r="E91" s="195" t="s">
        <v>833</v>
      </c>
      <c r="F91" s="194" t="s">
        <v>767</v>
      </c>
      <c r="G91" s="193">
        <v>2017</v>
      </c>
      <c r="H91" s="192">
        <v>10.7</v>
      </c>
      <c r="I91" s="191">
        <v>7454.7800000000007</v>
      </c>
      <c r="J91" s="191">
        <v>399.28999999999996</v>
      </c>
      <c r="K91" s="191">
        <v>7055.49</v>
      </c>
      <c r="L91" s="191">
        <v>0</v>
      </c>
      <c r="M91" s="191">
        <v>7055.49</v>
      </c>
      <c r="N91" s="191">
        <v>0</v>
      </c>
      <c r="O91" s="191">
        <v>7055.49</v>
      </c>
      <c r="P91" s="183">
        <f>O91/(H91*8760)</f>
        <v>7.5273012418384327E-2</v>
      </c>
    </row>
    <row r="92" spans="1:16" x14ac:dyDescent="0.25">
      <c r="A92" s="196" t="s">
        <v>877</v>
      </c>
      <c r="B92" s="196" t="s">
        <v>876</v>
      </c>
      <c r="C92" s="195" t="s">
        <v>770</v>
      </c>
      <c r="D92" s="195" t="s">
        <v>875</v>
      </c>
      <c r="E92" s="195" t="s">
        <v>773</v>
      </c>
      <c r="F92" s="194" t="s">
        <v>767</v>
      </c>
      <c r="G92" s="193">
        <v>2017</v>
      </c>
      <c r="H92" s="192">
        <v>75</v>
      </c>
      <c r="I92" s="191">
        <v>146726.672017</v>
      </c>
      <c r="J92" s="191">
        <v>0</v>
      </c>
      <c r="K92" s="191">
        <v>146726.672017</v>
      </c>
      <c r="L92" s="191">
        <v>1073.0819999999999</v>
      </c>
      <c r="M92" s="191">
        <v>145653.59001699998</v>
      </c>
      <c r="N92" s="191">
        <v>0</v>
      </c>
      <c r="O92" s="191">
        <v>145653.59001699998</v>
      </c>
    </row>
    <row r="93" spans="1:16" x14ac:dyDescent="0.25">
      <c r="A93" s="196" t="s">
        <v>873</v>
      </c>
      <c r="B93" s="196" t="s">
        <v>872</v>
      </c>
      <c r="C93" s="195" t="s">
        <v>770</v>
      </c>
      <c r="D93" s="195" t="s">
        <v>874</v>
      </c>
      <c r="E93" s="195" t="s">
        <v>792</v>
      </c>
      <c r="F93" s="194" t="s">
        <v>767</v>
      </c>
      <c r="G93" s="193">
        <v>2017</v>
      </c>
      <c r="H93" s="192">
        <v>4</v>
      </c>
      <c r="I93" s="191">
        <v>60857</v>
      </c>
      <c r="J93" s="191">
        <v>0</v>
      </c>
      <c r="K93" s="191">
        <v>60857</v>
      </c>
      <c r="L93" s="191">
        <v>8144</v>
      </c>
      <c r="M93" s="191">
        <v>55423</v>
      </c>
      <c r="N93" s="191">
        <v>66006</v>
      </c>
      <c r="O93" s="191">
        <v>2996</v>
      </c>
    </row>
    <row r="94" spans="1:16" x14ac:dyDescent="0.25">
      <c r="A94" s="196" t="s">
        <v>873</v>
      </c>
      <c r="B94" s="196" t="s">
        <v>872</v>
      </c>
      <c r="C94" s="195" t="s">
        <v>770</v>
      </c>
      <c r="D94" s="195" t="s">
        <v>871</v>
      </c>
      <c r="E94" s="195" t="s">
        <v>792</v>
      </c>
      <c r="F94" s="194" t="s">
        <v>767</v>
      </c>
      <c r="G94" s="193">
        <v>2017</v>
      </c>
      <c r="H94" s="192">
        <v>3.5</v>
      </c>
      <c r="I94" s="191">
        <v>85537.72</v>
      </c>
      <c r="J94" s="191">
        <v>0</v>
      </c>
      <c r="K94" s="191">
        <v>85555</v>
      </c>
      <c r="L94" s="191">
        <v>3482.8999999999996</v>
      </c>
      <c r="M94" s="191">
        <v>82072.099999999991</v>
      </c>
      <c r="N94" s="191">
        <v>71474.203689999995</v>
      </c>
      <c r="O94" s="191">
        <v>14175.86131</v>
      </c>
    </row>
    <row r="95" spans="1:16" x14ac:dyDescent="0.25">
      <c r="A95" s="196" t="s">
        <v>870</v>
      </c>
      <c r="B95" s="196" t="s">
        <v>869</v>
      </c>
      <c r="C95" s="195" t="s">
        <v>770</v>
      </c>
      <c r="D95" s="195" t="s">
        <v>868</v>
      </c>
      <c r="E95" s="195" t="s">
        <v>773</v>
      </c>
      <c r="F95" s="194" t="s">
        <v>767</v>
      </c>
      <c r="G95" s="193">
        <v>2017</v>
      </c>
      <c r="H95" s="192">
        <v>75</v>
      </c>
      <c r="I95" s="191">
        <v>186582.82770000002</v>
      </c>
      <c r="J95" s="191">
        <v>2012.0666768999999</v>
      </c>
      <c r="K95" s="191">
        <v>184570.76102310003</v>
      </c>
      <c r="L95" s="191">
        <v>2306.8263231000001</v>
      </c>
      <c r="M95" s="191">
        <v>172427.45259148104</v>
      </c>
      <c r="N95" s="191">
        <v>151.15480000000002</v>
      </c>
      <c r="O95" s="191">
        <v>179586.87547821802</v>
      </c>
    </row>
    <row r="96" spans="1:16" x14ac:dyDescent="0.25">
      <c r="A96" s="196" t="s">
        <v>867</v>
      </c>
      <c r="B96" s="196" t="s">
        <v>866</v>
      </c>
      <c r="C96" s="195" t="s">
        <v>770</v>
      </c>
      <c r="D96" s="195" t="s">
        <v>865</v>
      </c>
      <c r="E96" s="195" t="s">
        <v>253</v>
      </c>
      <c r="F96" s="194" t="s">
        <v>767</v>
      </c>
      <c r="G96" s="193">
        <v>2017</v>
      </c>
      <c r="H96" s="192">
        <v>138.6</v>
      </c>
      <c r="I96" s="191">
        <v>329489.94500000007</v>
      </c>
      <c r="J96" s="191">
        <v>0</v>
      </c>
      <c r="K96" s="191">
        <v>329489.94500000007</v>
      </c>
      <c r="L96" s="191">
        <v>1403.9540000000004</v>
      </c>
      <c r="M96" s="191">
        <v>329489.94500000007</v>
      </c>
      <c r="N96" s="191">
        <v>0</v>
      </c>
      <c r="O96" s="191">
        <v>321318.712</v>
      </c>
    </row>
    <row r="97" spans="1:16" x14ac:dyDescent="0.25">
      <c r="A97" s="196" t="s">
        <v>864</v>
      </c>
      <c r="B97" s="196" t="s">
        <v>863</v>
      </c>
      <c r="C97" s="195" t="s">
        <v>770</v>
      </c>
      <c r="D97" s="195" t="s">
        <v>862</v>
      </c>
      <c r="E97" s="195" t="s">
        <v>253</v>
      </c>
      <c r="F97" s="194" t="s">
        <v>767</v>
      </c>
      <c r="G97" s="193">
        <v>2017</v>
      </c>
      <c r="H97" s="192">
        <v>27</v>
      </c>
      <c r="I97" s="191">
        <v>71416.50242199999</v>
      </c>
      <c r="J97" s="191">
        <v>0</v>
      </c>
      <c r="K97" s="191">
        <v>71416.50242199999</v>
      </c>
      <c r="L97" s="191">
        <v>88.842099999999988</v>
      </c>
      <c r="M97" s="191">
        <v>71327.660321999996</v>
      </c>
      <c r="N97" s="191">
        <v>0</v>
      </c>
      <c r="O97" s="191">
        <v>71416.50242199999</v>
      </c>
    </row>
    <row r="98" spans="1:16" x14ac:dyDescent="0.25">
      <c r="A98" s="196" t="s">
        <v>861</v>
      </c>
      <c r="B98" s="196" t="s">
        <v>860</v>
      </c>
      <c r="C98" s="195" t="s">
        <v>770</v>
      </c>
      <c r="D98" s="195" t="s">
        <v>860</v>
      </c>
      <c r="E98" s="195" t="s">
        <v>773</v>
      </c>
      <c r="F98" s="194" t="s">
        <v>767</v>
      </c>
      <c r="G98" s="193">
        <v>2017</v>
      </c>
      <c r="H98" s="192">
        <v>7</v>
      </c>
      <c r="I98" s="191">
        <v>11919.713000000002</v>
      </c>
      <c r="J98" s="191">
        <v>0</v>
      </c>
      <c r="K98" s="191">
        <v>11919.713000000002</v>
      </c>
      <c r="L98" s="191">
        <v>0</v>
      </c>
      <c r="M98" s="191">
        <v>11919.713000000002</v>
      </c>
      <c r="N98" s="191">
        <v>0</v>
      </c>
      <c r="O98" s="191">
        <v>11919.713000000002</v>
      </c>
    </row>
    <row r="99" spans="1:16" x14ac:dyDescent="0.25">
      <c r="A99" s="196" t="s">
        <v>859</v>
      </c>
      <c r="B99" s="196" t="s">
        <v>858</v>
      </c>
      <c r="C99" s="195" t="s">
        <v>770</v>
      </c>
      <c r="D99" s="195" t="s">
        <v>857</v>
      </c>
      <c r="E99" s="195" t="s">
        <v>773</v>
      </c>
      <c r="F99" s="194" t="s">
        <v>767</v>
      </c>
      <c r="G99" s="193">
        <v>2017</v>
      </c>
      <c r="H99" s="192">
        <v>48.5</v>
      </c>
      <c r="I99" s="191">
        <v>97408.195000000007</v>
      </c>
      <c r="J99" s="191">
        <v>0</v>
      </c>
      <c r="K99" s="191">
        <v>97408.195000000007</v>
      </c>
      <c r="L99" s="191">
        <v>599.19500000000016</v>
      </c>
      <c r="M99" s="191">
        <v>96809</v>
      </c>
      <c r="N99" s="191">
        <v>0</v>
      </c>
      <c r="O99" s="191">
        <v>96809</v>
      </c>
    </row>
    <row r="100" spans="1:16" x14ac:dyDescent="0.25">
      <c r="A100" s="196" t="s">
        <v>856</v>
      </c>
      <c r="B100" s="196" t="s">
        <v>855</v>
      </c>
      <c r="C100" s="195" t="s">
        <v>770</v>
      </c>
      <c r="D100" s="195" t="s">
        <v>854</v>
      </c>
      <c r="E100" s="195" t="s">
        <v>773</v>
      </c>
      <c r="F100" s="194" t="s">
        <v>767</v>
      </c>
      <c r="G100" s="193">
        <v>2017</v>
      </c>
      <c r="H100" s="192">
        <v>48.5</v>
      </c>
      <c r="I100" s="191">
        <v>91830.391319999995</v>
      </c>
      <c r="J100" s="191">
        <v>0</v>
      </c>
      <c r="K100" s="191">
        <v>91830.391319999995</v>
      </c>
      <c r="L100" s="191">
        <v>576.67500000000018</v>
      </c>
      <c r="M100" s="191">
        <v>91253.716319999992</v>
      </c>
      <c r="N100" s="191">
        <v>0</v>
      </c>
      <c r="O100" s="191">
        <v>91253.716319999992</v>
      </c>
    </row>
    <row r="101" spans="1:16" ht="15.75" customHeight="1" x14ac:dyDescent="0.25">
      <c r="A101" s="196" t="s">
        <v>853</v>
      </c>
      <c r="B101" s="196" t="s">
        <v>852</v>
      </c>
      <c r="C101" s="195" t="s">
        <v>770</v>
      </c>
      <c r="D101" s="195" t="s">
        <v>851</v>
      </c>
      <c r="E101" s="195" t="s">
        <v>253</v>
      </c>
      <c r="F101" s="194" t="s">
        <v>767</v>
      </c>
      <c r="G101" s="193">
        <v>2017</v>
      </c>
      <c r="H101" s="192">
        <v>138</v>
      </c>
      <c r="I101" s="191">
        <v>40357.99</v>
      </c>
      <c r="J101" s="191">
        <v>0</v>
      </c>
      <c r="K101" s="191">
        <v>40357.99</v>
      </c>
      <c r="L101" s="191">
        <v>18.785</v>
      </c>
      <c r="M101" s="191">
        <v>40339.204999999994</v>
      </c>
      <c r="N101" s="191">
        <v>0</v>
      </c>
      <c r="O101" s="191">
        <v>40339.204999999994</v>
      </c>
    </row>
    <row r="102" spans="1:16" x14ac:dyDescent="0.25">
      <c r="A102" s="196" t="s">
        <v>850</v>
      </c>
      <c r="B102" s="196" t="s">
        <v>849</v>
      </c>
      <c r="C102" s="195" t="s">
        <v>770</v>
      </c>
      <c r="D102" s="195" t="s">
        <v>848</v>
      </c>
      <c r="E102" s="195" t="s">
        <v>253</v>
      </c>
      <c r="F102" s="194" t="s">
        <v>767</v>
      </c>
      <c r="G102" s="193">
        <v>2017</v>
      </c>
      <c r="H102" s="192">
        <v>138.22999999999999</v>
      </c>
      <c r="I102" s="191">
        <v>41138.535000000003</v>
      </c>
      <c r="J102" s="191">
        <v>0</v>
      </c>
      <c r="K102" s="191">
        <v>41138.535000000003</v>
      </c>
      <c r="L102" s="191">
        <v>25.31</v>
      </c>
      <c r="M102" s="191">
        <v>41113.225000000006</v>
      </c>
      <c r="N102" s="191">
        <v>0</v>
      </c>
      <c r="O102" s="191">
        <v>41113.225000000006</v>
      </c>
    </row>
    <row r="103" spans="1:16" x14ac:dyDescent="0.25">
      <c r="A103" s="196" t="s">
        <v>847</v>
      </c>
      <c r="B103" s="196" t="s">
        <v>846</v>
      </c>
      <c r="C103" s="195" t="s">
        <v>770</v>
      </c>
      <c r="D103" s="195" t="s">
        <v>845</v>
      </c>
      <c r="E103" s="195" t="s">
        <v>253</v>
      </c>
      <c r="F103" s="194" t="s">
        <v>767</v>
      </c>
      <c r="G103" s="193">
        <v>2017</v>
      </c>
      <c r="H103" s="192">
        <v>79.05</v>
      </c>
      <c r="I103" s="191">
        <v>293126.16894000006</v>
      </c>
      <c r="J103" s="191">
        <v>220.58600000000001</v>
      </c>
      <c r="K103" s="191">
        <v>292905.58293999999</v>
      </c>
      <c r="L103" s="191">
        <v>222.57300000000004</v>
      </c>
      <c r="M103" s="191">
        <v>292683.00994000002</v>
      </c>
      <c r="N103" s="191">
        <v>0</v>
      </c>
      <c r="O103" s="191">
        <v>292683.00994000002</v>
      </c>
    </row>
    <row r="104" spans="1:16" ht="24.75" x14ac:dyDescent="0.25">
      <c r="A104" s="196" t="s">
        <v>843</v>
      </c>
      <c r="B104" s="196" t="s">
        <v>842</v>
      </c>
      <c r="C104" s="195" t="s">
        <v>770</v>
      </c>
      <c r="D104" s="195" t="s">
        <v>844</v>
      </c>
      <c r="E104" s="195" t="s">
        <v>840</v>
      </c>
      <c r="F104" s="194" t="s">
        <v>767</v>
      </c>
      <c r="G104" s="193">
        <v>2017</v>
      </c>
      <c r="H104" s="192">
        <v>2</v>
      </c>
      <c r="I104" s="191">
        <v>228123.61000000002</v>
      </c>
      <c r="J104" s="191">
        <v>1331.0726400000001</v>
      </c>
      <c r="K104" s="191">
        <v>226792.53736000002</v>
      </c>
      <c r="L104" s="191">
        <v>317983.06100000005</v>
      </c>
      <c r="M104" s="191">
        <v>0</v>
      </c>
      <c r="N104" s="191">
        <v>546106.67099999997</v>
      </c>
      <c r="O104" s="191">
        <v>8360.9599999999991</v>
      </c>
    </row>
    <row r="105" spans="1:16" ht="24.75" x14ac:dyDescent="0.25">
      <c r="A105" s="196" t="s">
        <v>843</v>
      </c>
      <c r="B105" s="196" t="s">
        <v>842</v>
      </c>
      <c r="C105" s="195" t="s">
        <v>770</v>
      </c>
      <c r="D105" s="195" t="s">
        <v>841</v>
      </c>
      <c r="E105" s="195" t="s">
        <v>840</v>
      </c>
      <c r="F105" s="194" t="s">
        <v>767</v>
      </c>
      <c r="G105" s="193">
        <v>2017</v>
      </c>
      <c r="H105" s="192">
        <v>2</v>
      </c>
      <c r="I105" s="191">
        <v>852887.00635199994</v>
      </c>
      <c r="J105" s="191">
        <v>0</v>
      </c>
      <c r="K105" s="191">
        <v>852887.00635199994</v>
      </c>
      <c r="L105" s="191">
        <v>26616.463369999972</v>
      </c>
      <c r="M105" s="191">
        <v>56998.388558999904</v>
      </c>
      <c r="N105" s="191">
        <v>822505.08116300008</v>
      </c>
      <c r="O105" s="191">
        <v>87478.294413999916</v>
      </c>
    </row>
    <row r="106" spans="1:16" ht="15.75" x14ac:dyDescent="0.25">
      <c r="A106" s="196" t="s">
        <v>836</v>
      </c>
      <c r="B106" s="196" t="s">
        <v>835</v>
      </c>
      <c r="C106" s="195" t="s">
        <v>770</v>
      </c>
      <c r="D106" s="195" t="s">
        <v>839</v>
      </c>
      <c r="E106" s="195" t="s">
        <v>146</v>
      </c>
      <c r="F106" s="194" t="s">
        <v>767</v>
      </c>
      <c r="G106" s="193">
        <v>2017</v>
      </c>
      <c r="H106" s="351">
        <v>128</v>
      </c>
      <c r="I106" s="191">
        <v>624420.30299999996</v>
      </c>
      <c r="J106" s="191">
        <v>0</v>
      </c>
      <c r="K106" s="191">
        <v>624420.30299999996</v>
      </c>
      <c r="L106" s="191">
        <v>0</v>
      </c>
      <c r="M106" s="191">
        <v>624420.30299999996</v>
      </c>
      <c r="N106" s="191">
        <v>500423.13701900002</v>
      </c>
      <c r="O106" s="191">
        <v>123997.165981</v>
      </c>
      <c r="P106" s="210">
        <f>M106/(H106*8760)</f>
        <v>0.55688169145976019</v>
      </c>
    </row>
    <row r="107" spans="1:16" ht="15.75" x14ac:dyDescent="0.25">
      <c r="A107" s="196" t="s">
        <v>836</v>
      </c>
      <c r="B107" s="196" t="s">
        <v>835</v>
      </c>
      <c r="C107" s="195" t="s">
        <v>770</v>
      </c>
      <c r="D107" s="195" t="s">
        <v>838</v>
      </c>
      <c r="E107" s="195" t="s">
        <v>146</v>
      </c>
      <c r="F107" s="194" t="s">
        <v>767</v>
      </c>
      <c r="G107" s="193">
        <v>2017</v>
      </c>
      <c r="H107" s="351">
        <v>600</v>
      </c>
      <c r="I107" s="191">
        <v>3846458.7125905789</v>
      </c>
      <c r="J107" s="191">
        <v>0</v>
      </c>
      <c r="K107" s="191">
        <v>3846458.7125905789</v>
      </c>
      <c r="L107" s="191">
        <v>0</v>
      </c>
      <c r="M107" s="191">
        <v>3846458.7125905789</v>
      </c>
      <c r="N107" s="191">
        <v>3704578.9715905795</v>
      </c>
      <c r="O107" s="191">
        <v>141879.74100000001</v>
      </c>
      <c r="P107" s="210">
        <f>M107/(H107*8760)</f>
        <v>0.73182243390231716</v>
      </c>
    </row>
    <row r="108" spans="1:16" ht="15.75" x14ac:dyDescent="0.25">
      <c r="A108" s="196" t="s">
        <v>836</v>
      </c>
      <c r="B108" s="196" t="s">
        <v>835</v>
      </c>
      <c r="C108" s="195" t="s">
        <v>770</v>
      </c>
      <c r="D108" s="195" t="s">
        <v>837</v>
      </c>
      <c r="E108" s="195" t="s">
        <v>833</v>
      </c>
      <c r="F108" s="194" t="s">
        <v>767</v>
      </c>
      <c r="G108" s="193">
        <v>2017</v>
      </c>
      <c r="H108" s="351">
        <v>175</v>
      </c>
      <c r="I108" s="191">
        <v>815852.91600000008</v>
      </c>
      <c r="J108" s="191">
        <v>21223.614999999976</v>
      </c>
      <c r="K108" s="191">
        <v>794629.30099999998</v>
      </c>
      <c r="L108" s="191">
        <v>0</v>
      </c>
      <c r="M108" s="191">
        <v>794629.30099999998</v>
      </c>
      <c r="N108" s="191">
        <v>794572.74835200002</v>
      </c>
      <c r="O108" s="191">
        <v>56.552647999999998</v>
      </c>
      <c r="P108" s="210">
        <f>M108/(H108*8760)</f>
        <v>0.51834918525766471</v>
      </c>
    </row>
    <row r="109" spans="1:16" ht="15.75" x14ac:dyDescent="0.25">
      <c r="A109" s="196" t="s">
        <v>836</v>
      </c>
      <c r="B109" s="196" t="s">
        <v>835</v>
      </c>
      <c r="C109" s="195" t="s">
        <v>770</v>
      </c>
      <c r="D109" s="195" t="s">
        <v>834</v>
      </c>
      <c r="E109" s="195" t="s">
        <v>833</v>
      </c>
      <c r="F109" s="194" t="s">
        <v>767</v>
      </c>
      <c r="G109" s="193">
        <v>2017</v>
      </c>
      <c r="H109" s="351">
        <v>252</v>
      </c>
      <c r="I109" s="191">
        <v>1777011.8069999998</v>
      </c>
      <c r="J109" s="191">
        <v>19036.461664987524</v>
      </c>
      <c r="K109" s="191">
        <v>1757975.3453350123</v>
      </c>
      <c r="L109" s="191">
        <v>0</v>
      </c>
      <c r="M109" s="191">
        <v>1757975.3453350123</v>
      </c>
      <c r="N109" s="191">
        <v>1359504.5843350124</v>
      </c>
      <c r="O109" s="191">
        <v>398470.761</v>
      </c>
      <c r="P109" s="210">
        <f>M109/(H109*8760)</f>
        <v>0.79635760733085648</v>
      </c>
    </row>
    <row r="110" spans="1:16" x14ac:dyDescent="0.25">
      <c r="A110" s="196" t="s">
        <v>832</v>
      </c>
      <c r="B110" s="196" t="s">
        <v>831</v>
      </c>
      <c r="C110" s="195" t="s">
        <v>770</v>
      </c>
      <c r="D110" s="195" t="s">
        <v>830</v>
      </c>
      <c r="E110" s="195" t="s">
        <v>773</v>
      </c>
      <c r="F110" s="194" t="s">
        <v>767</v>
      </c>
      <c r="G110" s="193">
        <v>2017</v>
      </c>
      <c r="H110" s="192">
        <v>75</v>
      </c>
      <c r="I110" s="191">
        <v>145984.744484</v>
      </c>
      <c r="J110" s="191">
        <v>0</v>
      </c>
      <c r="K110" s="191">
        <v>145984.744484</v>
      </c>
      <c r="L110" s="191">
        <v>589.51736000000574</v>
      </c>
      <c r="M110" s="191">
        <v>145395.22712399997</v>
      </c>
      <c r="N110" s="191">
        <v>0</v>
      </c>
      <c r="O110" s="191">
        <v>145395.22712399997</v>
      </c>
    </row>
    <row r="111" spans="1:16" x14ac:dyDescent="0.25">
      <c r="A111" s="196" t="s">
        <v>829</v>
      </c>
      <c r="B111" s="196" t="s">
        <v>828</v>
      </c>
      <c r="C111" s="195" t="s">
        <v>770</v>
      </c>
      <c r="D111" s="195" t="s">
        <v>827</v>
      </c>
      <c r="E111" s="195" t="s">
        <v>773</v>
      </c>
      <c r="F111" s="194" t="s">
        <v>767</v>
      </c>
      <c r="G111" s="193">
        <v>2017</v>
      </c>
      <c r="H111" s="192">
        <v>10</v>
      </c>
      <c r="I111" s="191">
        <v>21461.508039999997</v>
      </c>
      <c r="J111" s="191">
        <v>0</v>
      </c>
      <c r="K111" s="191">
        <v>21461.508039999997</v>
      </c>
      <c r="L111" s="191">
        <v>81.064166666666665</v>
      </c>
      <c r="M111" s="191">
        <v>21380.443873333337</v>
      </c>
      <c r="N111" s="191">
        <v>27.298999999999999</v>
      </c>
      <c r="O111" s="191">
        <v>21461.508039999997</v>
      </c>
    </row>
    <row r="112" spans="1:16" x14ac:dyDescent="0.25">
      <c r="A112" s="196" t="s">
        <v>826</v>
      </c>
      <c r="B112" s="196" t="s">
        <v>825</v>
      </c>
      <c r="C112" s="195" t="s">
        <v>770</v>
      </c>
      <c r="D112" s="195" t="s">
        <v>824</v>
      </c>
      <c r="E112" s="195" t="s">
        <v>773</v>
      </c>
      <c r="F112" s="194" t="s">
        <v>767</v>
      </c>
      <c r="G112" s="193">
        <v>2017</v>
      </c>
      <c r="H112" s="192">
        <v>36.799999999999997</v>
      </c>
      <c r="I112" s="191">
        <v>88866.88708</v>
      </c>
      <c r="J112" s="191">
        <v>0</v>
      </c>
      <c r="K112" s="191">
        <v>82487.993679999985</v>
      </c>
      <c r="L112" s="191">
        <v>331.48039999999844</v>
      </c>
      <c r="M112" s="191">
        <v>82147.910559999975</v>
      </c>
      <c r="N112" s="191">
        <v>0</v>
      </c>
      <c r="O112" s="191">
        <v>82147.910559999975</v>
      </c>
    </row>
    <row r="113" spans="1:15" x14ac:dyDescent="0.25">
      <c r="A113" s="196" t="s">
        <v>823</v>
      </c>
      <c r="B113" s="196" t="s">
        <v>822</v>
      </c>
      <c r="C113" s="195" t="s">
        <v>770</v>
      </c>
      <c r="D113" s="195" t="s">
        <v>821</v>
      </c>
      <c r="E113" s="195" t="s">
        <v>773</v>
      </c>
      <c r="F113" s="194" t="s">
        <v>767</v>
      </c>
      <c r="G113" s="193">
        <v>2017</v>
      </c>
      <c r="H113" s="192">
        <v>69.599999999999994</v>
      </c>
      <c r="I113" s="191">
        <v>158612.76344000001</v>
      </c>
      <c r="J113" s="191">
        <v>0</v>
      </c>
      <c r="K113" s="191">
        <v>158612.76344000001</v>
      </c>
      <c r="L113" s="191">
        <v>578.45688000000632</v>
      </c>
      <c r="M113" s="191">
        <v>158034.30655999997</v>
      </c>
      <c r="N113" s="191">
        <v>0</v>
      </c>
      <c r="O113" s="191">
        <v>158034.30655999997</v>
      </c>
    </row>
    <row r="114" spans="1:15" x14ac:dyDescent="0.25">
      <c r="A114" s="196" t="s">
        <v>820</v>
      </c>
      <c r="B114" s="196" t="s">
        <v>819</v>
      </c>
      <c r="C114" s="195" t="s">
        <v>770</v>
      </c>
      <c r="D114" s="195" t="s">
        <v>818</v>
      </c>
      <c r="E114" s="195" t="s">
        <v>773</v>
      </c>
      <c r="F114" s="194" t="s">
        <v>767</v>
      </c>
      <c r="G114" s="193">
        <v>2017</v>
      </c>
      <c r="H114" s="192">
        <v>5</v>
      </c>
      <c r="I114" s="191">
        <v>10635.072630000001</v>
      </c>
      <c r="J114" s="191">
        <v>0</v>
      </c>
      <c r="K114" s="191">
        <v>10635.072630000001</v>
      </c>
      <c r="L114" s="191">
        <v>33.427999999999997</v>
      </c>
      <c r="M114" s="191">
        <v>10635.072630000001</v>
      </c>
      <c r="N114" s="191">
        <v>33.427999999999997</v>
      </c>
      <c r="O114" s="191">
        <v>10635.072630000001</v>
      </c>
    </row>
    <row r="115" spans="1:15" x14ac:dyDescent="0.25">
      <c r="A115" s="196" t="s">
        <v>817</v>
      </c>
      <c r="B115" s="196" t="s">
        <v>816</v>
      </c>
      <c r="C115" s="195" t="s">
        <v>770</v>
      </c>
      <c r="D115" s="195" t="s">
        <v>815</v>
      </c>
      <c r="E115" s="195" t="s">
        <v>773</v>
      </c>
      <c r="F115" s="194" t="s">
        <v>767</v>
      </c>
      <c r="G115" s="193">
        <v>2017</v>
      </c>
      <c r="H115" s="192">
        <v>75</v>
      </c>
      <c r="I115" s="191">
        <v>158252.18637600006</v>
      </c>
      <c r="J115" s="191">
        <v>0</v>
      </c>
      <c r="K115" s="191">
        <v>158252.18637600006</v>
      </c>
      <c r="L115" s="191">
        <v>0</v>
      </c>
      <c r="M115" s="191">
        <v>158252.18637600006</v>
      </c>
      <c r="N115" s="191">
        <v>0</v>
      </c>
      <c r="O115" s="191">
        <v>158252.18637600006</v>
      </c>
    </row>
    <row r="116" spans="1:15" x14ac:dyDescent="0.25">
      <c r="A116" s="196" t="s">
        <v>814</v>
      </c>
      <c r="B116" s="196" t="s">
        <v>813</v>
      </c>
      <c r="C116" s="195" t="s">
        <v>770</v>
      </c>
      <c r="D116" s="195" t="s">
        <v>812</v>
      </c>
      <c r="E116" s="195" t="s">
        <v>773</v>
      </c>
      <c r="F116" s="194" t="s">
        <v>767</v>
      </c>
      <c r="G116" s="193">
        <v>2017</v>
      </c>
      <c r="H116" s="192">
        <v>75</v>
      </c>
      <c r="I116" s="191">
        <v>184923.49873000005</v>
      </c>
      <c r="J116" s="191">
        <v>0</v>
      </c>
      <c r="K116" s="191">
        <v>184923.49873000005</v>
      </c>
      <c r="L116" s="191">
        <v>0</v>
      </c>
      <c r="M116" s="191">
        <v>184923.49873000005</v>
      </c>
      <c r="N116" s="191">
        <v>0</v>
      </c>
      <c r="O116" s="191">
        <v>184923.49873000005</v>
      </c>
    </row>
    <row r="117" spans="1:15" x14ac:dyDescent="0.25">
      <c r="A117" s="196" t="s">
        <v>811</v>
      </c>
      <c r="B117" s="196" t="s">
        <v>810</v>
      </c>
      <c r="C117" s="195" t="s">
        <v>770</v>
      </c>
      <c r="D117" s="195" t="s">
        <v>810</v>
      </c>
      <c r="E117" s="195" t="s">
        <v>802</v>
      </c>
      <c r="F117" s="194" t="s">
        <v>767</v>
      </c>
      <c r="G117" s="193">
        <v>2017</v>
      </c>
      <c r="H117" s="192">
        <v>4.3099999999999996</v>
      </c>
      <c r="I117" s="191">
        <v>31055.950000000008</v>
      </c>
      <c r="J117" s="191">
        <v>0</v>
      </c>
      <c r="K117" s="191">
        <v>31055.950000000008</v>
      </c>
      <c r="L117" s="191">
        <v>122.70400000000001</v>
      </c>
      <c r="M117" s="191">
        <v>30933.245999999999</v>
      </c>
      <c r="N117" s="191">
        <v>5.7</v>
      </c>
      <c r="O117" s="191">
        <v>30927.545999999998</v>
      </c>
    </row>
    <row r="118" spans="1:15" x14ac:dyDescent="0.25">
      <c r="A118" s="196" t="s">
        <v>809</v>
      </c>
      <c r="B118" s="196" t="s">
        <v>808</v>
      </c>
      <c r="C118" s="195" t="s">
        <v>770</v>
      </c>
      <c r="D118" s="195" t="s">
        <v>807</v>
      </c>
      <c r="E118" s="195" t="s">
        <v>773</v>
      </c>
      <c r="F118" s="194" t="s">
        <v>767</v>
      </c>
      <c r="G118" s="193">
        <v>2017</v>
      </c>
      <c r="H118" s="192">
        <v>8.9</v>
      </c>
      <c r="I118" s="191">
        <v>18783.633999999998</v>
      </c>
      <c r="J118" s="191">
        <v>0</v>
      </c>
      <c r="K118" s="191">
        <v>18783.633999999998</v>
      </c>
      <c r="L118" s="191">
        <v>111.12299999999999</v>
      </c>
      <c r="M118" s="191">
        <v>18672.511000000002</v>
      </c>
      <c r="N118" s="191">
        <v>0</v>
      </c>
      <c r="O118" s="191">
        <v>18672.511000000002</v>
      </c>
    </row>
    <row r="119" spans="1:15" x14ac:dyDescent="0.25">
      <c r="A119" s="196" t="s">
        <v>806</v>
      </c>
      <c r="B119" s="196" t="s">
        <v>805</v>
      </c>
      <c r="C119" s="195" t="s">
        <v>804</v>
      </c>
      <c r="D119" s="195" t="s">
        <v>803</v>
      </c>
      <c r="E119" s="195" t="s">
        <v>802</v>
      </c>
      <c r="F119" s="194" t="s">
        <v>767</v>
      </c>
      <c r="G119" s="193">
        <v>2017</v>
      </c>
      <c r="H119" s="192">
        <v>3.35</v>
      </c>
      <c r="I119" s="191">
        <v>9885.3604300000006</v>
      </c>
      <c r="J119" s="191">
        <v>0</v>
      </c>
      <c r="K119" s="191">
        <v>9885.3604300000006</v>
      </c>
      <c r="L119" s="191">
        <v>0</v>
      </c>
      <c r="M119" s="191">
        <v>0</v>
      </c>
      <c r="N119" s="191">
        <v>0</v>
      </c>
      <c r="O119" s="191">
        <v>9885.3604300000006</v>
      </c>
    </row>
    <row r="120" spans="1:15" x14ac:dyDescent="0.25">
      <c r="A120" s="196" t="s">
        <v>801</v>
      </c>
      <c r="B120" s="196" t="s">
        <v>800</v>
      </c>
      <c r="C120" s="195" t="s">
        <v>770</v>
      </c>
      <c r="D120" s="195" t="s">
        <v>799</v>
      </c>
      <c r="E120" s="195" t="s">
        <v>773</v>
      </c>
      <c r="F120" s="194" t="s">
        <v>767</v>
      </c>
      <c r="G120" s="193">
        <v>2017</v>
      </c>
      <c r="H120" s="192">
        <v>60</v>
      </c>
      <c r="I120" s="191">
        <v>116393.06302200002</v>
      </c>
      <c r="J120" s="191">
        <v>0</v>
      </c>
      <c r="K120" s="191">
        <v>116393.06302200002</v>
      </c>
      <c r="L120" s="191">
        <v>1077.2</v>
      </c>
      <c r="M120" s="191">
        <v>115315.86302200001</v>
      </c>
      <c r="N120" s="191">
        <v>0</v>
      </c>
      <c r="O120" s="191">
        <v>115315.86302200001</v>
      </c>
    </row>
    <row r="121" spans="1:15" x14ac:dyDescent="0.25">
      <c r="A121" s="196" t="s">
        <v>795</v>
      </c>
      <c r="B121" s="196" t="s">
        <v>794</v>
      </c>
      <c r="C121" s="195" t="s">
        <v>770</v>
      </c>
      <c r="D121" s="195" t="s">
        <v>798</v>
      </c>
      <c r="E121" s="195" t="s">
        <v>792</v>
      </c>
      <c r="F121" s="194" t="s">
        <v>767</v>
      </c>
      <c r="G121" s="193">
        <v>2017</v>
      </c>
      <c r="H121" s="192">
        <v>12</v>
      </c>
      <c r="I121" s="191">
        <v>32778</v>
      </c>
      <c r="J121" s="191">
        <v>0</v>
      </c>
      <c r="K121" s="191">
        <v>32778</v>
      </c>
      <c r="L121" s="191">
        <v>7788.3</v>
      </c>
      <c r="M121" s="191">
        <v>40566.300000000003</v>
      </c>
      <c r="N121" s="191">
        <v>39675.400000000009</v>
      </c>
      <c r="O121" s="191">
        <v>890.90000000000009</v>
      </c>
    </row>
    <row r="122" spans="1:15" x14ac:dyDescent="0.25">
      <c r="A122" s="196" t="s">
        <v>795</v>
      </c>
      <c r="B122" s="196" t="s">
        <v>794</v>
      </c>
      <c r="C122" s="195" t="s">
        <v>770</v>
      </c>
      <c r="D122" s="195" t="s">
        <v>797</v>
      </c>
      <c r="E122" s="195" t="s">
        <v>792</v>
      </c>
      <c r="F122" s="194" t="s">
        <v>767</v>
      </c>
      <c r="G122" s="193">
        <v>2017</v>
      </c>
      <c r="H122" s="192">
        <v>12</v>
      </c>
      <c r="I122" s="191">
        <v>16800</v>
      </c>
      <c r="J122" s="191">
        <v>0</v>
      </c>
      <c r="K122" s="191">
        <v>16800</v>
      </c>
      <c r="L122" s="191">
        <v>4990.0999999999995</v>
      </c>
      <c r="M122" s="191">
        <v>21790.100000000002</v>
      </c>
      <c r="N122" s="191">
        <v>21790.100000000002</v>
      </c>
      <c r="O122" s="191">
        <v>0</v>
      </c>
    </row>
    <row r="123" spans="1:15" x14ac:dyDescent="0.25">
      <c r="A123" s="196" t="s">
        <v>795</v>
      </c>
      <c r="B123" s="196" t="s">
        <v>794</v>
      </c>
      <c r="C123" s="195" t="s">
        <v>770</v>
      </c>
      <c r="D123" s="195" t="s">
        <v>796</v>
      </c>
      <c r="E123" s="195" t="s">
        <v>792</v>
      </c>
      <c r="F123" s="194" t="s">
        <v>767</v>
      </c>
      <c r="G123" s="193">
        <v>2017</v>
      </c>
      <c r="H123" s="192">
        <v>32</v>
      </c>
      <c r="I123" s="191">
        <v>78800</v>
      </c>
      <c r="J123" s="191">
        <v>0</v>
      </c>
      <c r="K123" s="191">
        <v>78800</v>
      </c>
      <c r="L123" s="191">
        <v>7440.8000000000011</v>
      </c>
      <c r="M123" s="191">
        <v>86240.800000000017</v>
      </c>
      <c r="N123" s="191">
        <v>71739.899999999994</v>
      </c>
      <c r="O123" s="191">
        <v>14500.9</v>
      </c>
    </row>
    <row r="124" spans="1:15" x14ac:dyDescent="0.25">
      <c r="A124" s="196" t="s">
        <v>795</v>
      </c>
      <c r="B124" s="196" t="s">
        <v>794</v>
      </c>
      <c r="C124" s="195" t="s">
        <v>770</v>
      </c>
      <c r="D124" s="195" t="s">
        <v>793</v>
      </c>
      <c r="E124" s="195" t="s">
        <v>792</v>
      </c>
      <c r="F124" s="194" t="s">
        <v>767</v>
      </c>
      <c r="G124" s="193">
        <v>2017</v>
      </c>
      <c r="H124" s="192">
        <v>22.5</v>
      </c>
      <c r="I124" s="191">
        <v>42929.600000000006</v>
      </c>
      <c r="J124" s="191">
        <v>0</v>
      </c>
      <c r="K124" s="191">
        <v>42929.600000000006</v>
      </c>
      <c r="L124" s="191">
        <v>10784.400000000001</v>
      </c>
      <c r="M124" s="191">
        <v>53714.000000000007</v>
      </c>
      <c r="N124" s="191">
        <v>50765.399999999994</v>
      </c>
      <c r="O124" s="191">
        <v>2948.5999999999995</v>
      </c>
    </row>
    <row r="125" spans="1:15" x14ac:dyDescent="0.25">
      <c r="A125" s="196" t="s">
        <v>791</v>
      </c>
      <c r="B125" s="196" t="s">
        <v>790</v>
      </c>
      <c r="C125" s="195" t="s">
        <v>770</v>
      </c>
      <c r="D125" s="195" t="s">
        <v>789</v>
      </c>
      <c r="E125" s="195" t="s">
        <v>253</v>
      </c>
      <c r="F125" s="194" t="s">
        <v>767</v>
      </c>
      <c r="G125" s="193">
        <v>2017</v>
      </c>
      <c r="H125" s="192">
        <v>94.8</v>
      </c>
      <c r="I125" s="191">
        <v>340331</v>
      </c>
      <c r="J125" s="191">
        <v>0</v>
      </c>
      <c r="K125" s="191">
        <v>340331</v>
      </c>
      <c r="L125" s="191">
        <v>528.84299999999996</v>
      </c>
      <c r="M125" s="191">
        <v>339802.15700000001</v>
      </c>
      <c r="N125" s="191">
        <v>2863.5711899999988</v>
      </c>
      <c r="O125" s="191">
        <v>336938.58580999996</v>
      </c>
    </row>
    <row r="126" spans="1:15" x14ac:dyDescent="0.25">
      <c r="A126" s="196" t="s">
        <v>788</v>
      </c>
      <c r="B126" s="196" t="s">
        <v>787</v>
      </c>
      <c r="C126" s="195" t="s">
        <v>770</v>
      </c>
      <c r="D126" s="195" t="s">
        <v>786</v>
      </c>
      <c r="E126" s="195" t="s">
        <v>131</v>
      </c>
      <c r="F126" s="194" t="s">
        <v>767</v>
      </c>
      <c r="G126" s="193">
        <v>2017</v>
      </c>
      <c r="H126" s="192">
        <v>5</v>
      </c>
      <c r="I126" s="191">
        <v>41145.648000000001</v>
      </c>
      <c r="J126" s="191">
        <v>0</v>
      </c>
      <c r="K126" s="191">
        <v>41145.648000000001</v>
      </c>
      <c r="L126" s="191">
        <v>2922.1311999999998</v>
      </c>
      <c r="M126" s="191">
        <v>0</v>
      </c>
      <c r="N126" s="191">
        <v>42919.327259999998</v>
      </c>
      <c r="O126" s="191">
        <v>1148.4519399999999</v>
      </c>
    </row>
    <row r="127" spans="1:15" x14ac:dyDescent="0.25">
      <c r="A127" s="196" t="s">
        <v>785</v>
      </c>
      <c r="B127" s="196" t="s">
        <v>784</v>
      </c>
      <c r="C127" s="195" t="s">
        <v>770</v>
      </c>
      <c r="D127" s="195" t="s">
        <v>783</v>
      </c>
      <c r="E127" s="195" t="s">
        <v>253</v>
      </c>
      <c r="F127" s="194" t="s">
        <v>767</v>
      </c>
      <c r="G127" s="193">
        <v>2017</v>
      </c>
      <c r="H127" s="192">
        <v>65.400000000000006</v>
      </c>
      <c r="I127" s="191">
        <v>184742.21</v>
      </c>
      <c r="J127" s="191">
        <v>0</v>
      </c>
      <c r="K127" s="191">
        <v>184742.21</v>
      </c>
      <c r="L127" s="191">
        <v>604.45499999999993</v>
      </c>
      <c r="M127" s="191">
        <v>184742.21</v>
      </c>
      <c r="N127" s="191">
        <v>72</v>
      </c>
      <c r="O127" s="191">
        <v>182409.54843522096</v>
      </c>
    </row>
    <row r="128" spans="1:15" x14ac:dyDescent="0.25">
      <c r="A128" s="196" t="s">
        <v>782</v>
      </c>
      <c r="B128" s="196" t="s">
        <v>781</v>
      </c>
      <c r="C128" s="195" t="s">
        <v>770</v>
      </c>
      <c r="D128" s="195" t="s">
        <v>780</v>
      </c>
      <c r="E128" s="195" t="s">
        <v>773</v>
      </c>
      <c r="F128" s="194" t="s">
        <v>767</v>
      </c>
      <c r="G128" s="193">
        <v>2017</v>
      </c>
      <c r="H128" s="192">
        <v>8.82</v>
      </c>
      <c r="I128" s="191">
        <v>19601.809999999998</v>
      </c>
      <c r="J128" s="191">
        <v>81.070000000000022</v>
      </c>
      <c r="K128" s="191">
        <v>19682.879999999997</v>
      </c>
      <c r="L128" s="191">
        <v>0</v>
      </c>
      <c r="M128" s="191">
        <v>19601.809999999998</v>
      </c>
      <c r="N128" s="191">
        <v>0</v>
      </c>
      <c r="O128" s="191">
        <v>19601.809999999998</v>
      </c>
    </row>
    <row r="129" spans="1:17" x14ac:dyDescent="0.25">
      <c r="A129" s="196" t="s">
        <v>779</v>
      </c>
      <c r="B129" s="196" t="s">
        <v>778</v>
      </c>
      <c r="C129" s="195" t="s">
        <v>770</v>
      </c>
      <c r="D129" s="195" t="s">
        <v>777</v>
      </c>
      <c r="E129" s="195" t="s">
        <v>253</v>
      </c>
      <c r="F129" s="194" t="s">
        <v>767</v>
      </c>
      <c r="G129" s="193">
        <v>2017</v>
      </c>
      <c r="H129" s="192">
        <v>23.4</v>
      </c>
      <c r="I129" s="191">
        <v>95641.610249999998</v>
      </c>
      <c r="J129" s="191">
        <v>0</v>
      </c>
      <c r="K129" s="191">
        <v>95641.610249999998</v>
      </c>
      <c r="L129" s="191">
        <v>103.21000000000001</v>
      </c>
      <c r="M129" s="191">
        <v>95538.400249999977</v>
      </c>
      <c r="N129" s="191">
        <v>0</v>
      </c>
      <c r="O129" s="191">
        <v>95538.400249999977</v>
      </c>
    </row>
    <row r="130" spans="1:17" x14ac:dyDescent="0.25">
      <c r="A130" s="196" t="s">
        <v>776</v>
      </c>
      <c r="B130" s="196" t="s">
        <v>775</v>
      </c>
      <c r="C130" s="195" t="s">
        <v>770</v>
      </c>
      <c r="D130" s="195" t="s">
        <v>774</v>
      </c>
      <c r="E130" s="195" t="s">
        <v>773</v>
      </c>
      <c r="F130" s="194" t="s">
        <v>767</v>
      </c>
      <c r="G130" s="193">
        <v>2017</v>
      </c>
      <c r="H130" s="192">
        <v>74</v>
      </c>
      <c r="I130" s="191">
        <v>206664.64517100001</v>
      </c>
      <c r="J130" s="191">
        <v>0</v>
      </c>
      <c r="K130" s="191">
        <v>206664.64517100001</v>
      </c>
      <c r="L130" s="191">
        <v>0</v>
      </c>
      <c r="M130" s="191">
        <v>206664.64517100001</v>
      </c>
      <c r="N130" s="191">
        <v>0</v>
      </c>
      <c r="O130" s="191">
        <v>206664.64517100001</v>
      </c>
    </row>
    <row r="131" spans="1:17" ht="15.75" thickBot="1" x14ac:dyDescent="0.3">
      <c r="A131" s="190" t="s">
        <v>772</v>
      </c>
      <c r="B131" s="190" t="s">
        <v>771</v>
      </c>
      <c r="C131" s="189" t="s">
        <v>770</v>
      </c>
      <c r="D131" s="189" t="s">
        <v>769</v>
      </c>
      <c r="E131" s="189" t="s">
        <v>768</v>
      </c>
      <c r="F131" s="188" t="s">
        <v>767</v>
      </c>
      <c r="G131" s="187">
        <v>2017</v>
      </c>
      <c r="H131" s="186">
        <v>100</v>
      </c>
      <c r="I131" s="185">
        <v>205620.72691409368</v>
      </c>
      <c r="J131" s="185">
        <v>22768.658161720305</v>
      </c>
      <c r="K131" s="185">
        <v>182852.06875237339</v>
      </c>
      <c r="L131" s="185">
        <v>2666.0811282309546</v>
      </c>
      <c r="M131" s="185">
        <v>205620.72691409368</v>
      </c>
      <c r="N131" s="185">
        <v>22768.658161720305</v>
      </c>
      <c r="O131" s="185">
        <v>182852.06875237339</v>
      </c>
    </row>
    <row r="133" spans="1:17" x14ac:dyDescent="0.25">
      <c r="H133" s="183" t="s">
        <v>766</v>
      </c>
    </row>
    <row r="134" spans="1:17" x14ac:dyDescent="0.25">
      <c r="H134" s="183" t="s">
        <v>765</v>
      </c>
      <c r="O134" s="352" t="s">
        <v>1825</v>
      </c>
      <c r="P134" s="352" t="s">
        <v>1826</v>
      </c>
      <c r="Q134" s="352" t="s">
        <v>1827</v>
      </c>
    </row>
    <row r="135" spans="1:17" x14ac:dyDescent="0.25">
      <c r="H135" s="184">
        <f>H27+H47+H48+H49+H50+H88+H91+H18+H171+H17+H11</f>
        <v>2476.6999999999998</v>
      </c>
      <c r="N135" s="352" t="s">
        <v>1823</v>
      </c>
      <c r="O135" s="353">
        <f>O27+O47+O48+O49+O50+O88+O91+O18+O171+O17+O11+O81</f>
        <v>182863.88152000002</v>
      </c>
      <c r="P135" s="353">
        <f>O135/0.3*3.6/1000</f>
        <v>2194.3665782400008</v>
      </c>
    </row>
    <row r="136" spans="1:17" x14ac:dyDescent="0.25">
      <c r="N136" s="352" t="s">
        <v>1824</v>
      </c>
      <c r="O136" s="353">
        <f>O27+O47+O48+O49+O50+O88+O91+O18+O171+O17+O11+O81+N108+N109</f>
        <v>2336941.2142070122</v>
      </c>
      <c r="P136" s="353">
        <f>O136/0.3*3.6/1000</f>
        <v>28043.294570484151</v>
      </c>
      <c r="Q136" s="353">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 workbookViewId="1"/>
  </sheetViews>
  <sheetFormatPr defaultColWidth="14.42578125" defaultRowHeight="15" customHeight="1" x14ac:dyDescent="0.2"/>
  <cols>
    <col min="1" max="3" width="14.42578125" style="208"/>
    <col min="4" max="4" width="23" style="208" customWidth="1"/>
    <col min="5" max="16384" width="14.42578125" style="208"/>
  </cols>
  <sheetData>
    <row r="1" spans="1:16" ht="15" customHeight="1" x14ac:dyDescent="0.2">
      <c r="A1" s="231" t="s">
        <v>1070</v>
      </c>
      <c r="B1" s="228" t="s">
        <v>1069</v>
      </c>
      <c r="C1" s="228" t="s">
        <v>1068</v>
      </c>
      <c r="D1" s="228" t="s">
        <v>1067</v>
      </c>
      <c r="E1" s="228" t="s">
        <v>1066</v>
      </c>
      <c r="F1" s="230" t="s">
        <v>1133</v>
      </c>
      <c r="G1" s="229" t="s">
        <v>137</v>
      </c>
      <c r="H1" s="228" t="s">
        <v>1065</v>
      </c>
      <c r="I1" s="228" t="s">
        <v>1132</v>
      </c>
      <c r="J1" s="228" t="s">
        <v>1131</v>
      </c>
      <c r="K1" s="228" t="s">
        <v>1130</v>
      </c>
      <c r="L1" s="228" t="s">
        <v>1129</v>
      </c>
      <c r="M1" s="228" t="s">
        <v>1060</v>
      </c>
      <c r="N1" s="228" t="s">
        <v>1059</v>
      </c>
      <c r="O1" s="228" t="s">
        <v>1128</v>
      </c>
      <c r="P1" s="228" t="s">
        <v>1057</v>
      </c>
    </row>
    <row r="2" spans="1:16" ht="15" customHeight="1" x14ac:dyDescent="0.2">
      <c r="A2" s="227" t="s">
        <v>963</v>
      </c>
      <c r="B2" s="226" t="s">
        <v>530</v>
      </c>
      <c r="C2" s="226" t="s">
        <v>962</v>
      </c>
      <c r="D2" s="226" t="s">
        <v>458</v>
      </c>
      <c r="E2" s="226" t="s">
        <v>146</v>
      </c>
      <c r="F2" s="217" t="s">
        <v>1096</v>
      </c>
      <c r="G2" s="217" t="s">
        <v>1084</v>
      </c>
      <c r="H2" s="224">
        <v>2018</v>
      </c>
      <c r="I2" s="223">
        <v>1980</v>
      </c>
      <c r="J2" s="223">
        <v>11778390.859999999</v>
      </c>
      <c r="K2" s="223">
        <v>915105.89</v>
      </c>
      <c r="L2" s="223">
        <v>10863284.970000001</v>
      </c>
      <c r="M2" s="224">
        <v>0</v>
      </c>
      <c r="N2" s="223">
        <v>10863284.970000001</v>
      </c>
      <c r="O2" s="224">
        <v>0</v>
      </c>
      <c r="P2" s="223">
        <v>10863284.970000001</v>
      </c>
    </row>
    <row r="3" spans="1:16" ht="15" customHeight="1" x14ac:dyDescent="0.2">
      <c r="A3" s="227" t="s">
        <v>963</v>
      </c>
      <c r="B3" s="226" t="s">
        <v>530</v>
      </c>
      <c r="C3" s="226" t="s">
        <v>962</v>
      </c>
      <c r="D3" s="226" t="s">
        <v>514</v>
      </c>
      <c r="E3" s="226" t="s">
        <v>146</v>
      </c>
      <c r="F3" s="217" t="s">
        <v>1096</v>
      </c>
      <c r="G3" s="217" t="s">
        <v>1084</v>
      </c>
      <c r="H3" s="224">
        <v>2018</v>
      </c>
      <c r="I3" s="223">
        <v>1520</v>
      </c>
      <c r="J3" s="223">
        <v>8127675.9699999997</v>
      </c>
      <c r="K3" s="223">
        <v>640966.31999999995</v>
      </c>
      <c r="L3" s="223">
        <v>7486709.6500000004</v>
      </c>
      <c r="M3" s="224">
        <v>0</v>
      </c>
      <c r="N3" s="223">
        <v>7486709.6500000004</v>
      </c>
      <c r="O3" s="224">
        <v>0</v>
      </c>
      <c r="P3" s="223">
        <v>7486709.6500000004</v>
      </c>
    </row>
    <row r="4" spans="1:16" ht="15" customHeight="1" x14ac:dyDescent="0.2">
      <c r="A4" s="227" t="s">
        <v>963</v>
      </c>
      <c r="B4" s="226" t="s">
        <v>530</v>
      </c>
      <c r="C4" s="226" t="s">
        <v>962</v>
      </c>
      <c r="D4" s="226" t="s">
        <v>508</v>
      </c>
      <c r="E4" s="226" t="s">
        <v>146</v>
      </c>
      <c r="F4" s="217" t="s">
        <v>1096</v>
      </c>
      <c r="G4" s="217" t="s">
        <v>1084</v>
      </c>
      <c r="H4" s="224">
        <v>2018</v>
      </c>
      <c r="I4" s="223">
        <v>3450</v>
      </c>
      <c r="J4" s="223">
        <v>11698000.35</v>
      </c>
      <c r="K4" s="223">
        <v>1086090.8400000001</v>
      </c>
      <c r="L4" s="223">
        <v>10611909.51</v>
      </c>
      <c r="M4" s="224">
        <v>0</v>
      </c>
      <c r="N4" s="223">
        <v>10611909.51</v>
      </c>
      <c r="O4" s="224">
        <v>0</v>
      </c>
      <c r="P4" s="223">
        <v>10611909.51</v>
      </c>
    </row>
    <row r="5" spans="1:16" ht="15" customHeight="1" x14ac:dyDescent="0.2">
      <c r="A5" s="227" t="s">
        <v>963</v>
      </c>
      <c r="B5" s="226" t="s">
        <v>530</v>
      </c>
      <c r="C5" s="226" t="s">
        <v>962</v>
      </c>
      <c r="D5" s="226" t="s">
        <v>447</v>
      </c>
      <c r="E5" s="226" t="s">
        <v>146</v>
      </c>
      <c r="F5" s="217" t="s">
        <v>1096</v>
      </c>
      <c r="G5" s="217" t="s">
        <v>1084</v>
      </c>
      <c r="H5" s="224">
        <v>2018</v>
      </c>
      <c r="I5" s="223">
        <v>1130</v>
      </c>
      <c r="J5" s="223">
        <v>2644796.23</v>
      </c>
      <c r="K5" s="223">
        <v>237762.33</v>
      </c>
      <c r="L5" s="223">
        <v>2407033.9</v>
      </c>
      <c r="M5" s="224">
        <v>0</v>
      </c>
      <c r="N5" s="223">
        <v>2407033.9</v>
      </c>
      <c r="O5" s="224">
        <v>0</v>
      </c>
      <c r="P5" s="223">
        <v>2407033.9</v>
      </c>
    </row>
    <row r="6" spans="1:16" ht="15" customHeight="1" x14ac:dyDescent="0.2">
      <c r="A6" s="227" t="s">
        <v>963</v>
      </c>
      <c r="B6" s="226" t="s">
        <v>530</v>
      </c>
      <c r="C6" s="226" t="s">
        <v>962</v>
      </c>
      <c r="D6" s="226" t="s">
        <v>451</v>
      </c>
      <c r="E6" s="226" t="s">
        <v>146</v>
      </c>
      <c r="F6" s="217" t="s">
        <v>1096</v>
      </c>
      <c r="G6" s="217" t="s">
        <v>1084</v>
      </c>
      <c r="H6" s="224">
        <v>2018</v>
      </c>
      <c r="I6" s="223">
        <v>1900</v>
      </c>
      <c r="J6" s="223">
        <v>8601265.8000000007</v>
      </c>
      <c r="K6" s="223">
        <v>616233.37</v>
      </c>
      <c r="L6" s="223">
        <v>7985032.4299999997</v>
      </c>
      <c r="M6" s="224">
        <v>0</v>
      </c>
      <c r="N6" s="223">
        <v>7985032.4299999997</v>
      </c>
      <c r="O6" s="224">
        <v>0</v>
      </c>
      <c r="P6" s="223">
        <v>7985032.4299999997</v>
      </c>
    </row>
    <row r="7" spans="1:16" ht="15" customHeight="1" x14ac:dyDescent="0.2">
      <c r="A7" s="227" t="s">
        <v>963</v>
      </c>
      <c r="B7" s="226" t="s">
        <v>530</v>
      </c>
      <c r="C7" s="226" t="s">
        <v>962</v>
      </c>
      <c r="D7" s="226" t="s">
        <v>497</v>
      </c>
      <c r="E7" s="226" t="s">
        <v>146</v>
      </c>
      <c r="F7" s="217" t="s">
        <v>1096</v>
      </c>
      <c r="G7" s="217" t="s">
        <v>1084</v>
      </c>
      <c r="H7" s="224">
        <v>2018</v>
      </c>
      <c r="I7" s="223">
        <v>3840</v>
      </c>
      <c r="J7" s="223">
        <v>24612913.059999999</v>
      </c>
      <c r="K7" s="223">
        <v>1918505.09</v>
      </c>
      <c r="L7" s="223">
        <v>22694407.969999999</v>
      </c>
      <c r="M7" s="224">
        <v>0</v>
      </c>
      <c r="N7" s="223">
        <v>22694407.969999999</v>
      </c>
      <c r="O7" s="224">
        <v>0</v>
      </c>
      <c r="P7" s="223">
        <v>22694407.969999999</v>
      </c>
    </row>
    <row r="8" spans="1:16" ht="15" customHeight="1" x14ac:dyDescent="0.2">
      <c r="A8" s="227" t="s">
        <v>963</v>
      </c>
      <c r="B8" s="226" t="s">
        <v>530</v>
      </c>
      <c r="C8" s="226" t="s">
        <v>962</v>
      </c>
      <c r="D8" s="226" t="s">
        <v>448</v>
      </c>
      <c r="E8" s="226" t="s">
        <v>146</v>
      </c>
      <c r="F8" s="217" t="s">
        <v>1096</v>
      </c>
      <c r="G8" s="217" t="s">
        <v>1084</v>
      </c>
      <c r="H8" s="224">
        <v>2018</v>
      </c>
      <c r="I8" s="223">
        <v>1000</v>
      </c>
      <c r="J8" s="223">
        <v>2318905.87</v>
      </c>
      <c r="K8" s="223">
        <v>165328.51</v>
      </c>
      <c r="L8" s="223">
        <v>2153577.36</v>
      </c>
      <c r="M8" s="224">
        <v>0</v>
      </c>
      <c r="N8" s="223">
        <v>2153577.36</v>
      </c>
      <c r="O8" s="224">
        <v>0</v>
      </c>
      <c r="P8" s="223">
        <v>2153577.36</v>
      </c>
    </row>
    <row r="9" spans="1:16" ht="15" customHeight="1" x14ac:dyDescent="0.2">
      <c r="A9" s="227" t="s">
        <v>963</v>
      </c>
      <c r="B9" s="226" t="s">
        <v>530</v>
      </c>
      <c r="C9" s="226" t="s">
        <v>962</v>
      </c>
      <c r="D9" s="226" t="s">
        <v>452</v>
      </c>
      <c r="E9" s="226" t="s">
        <v>146</v>
      </c>
      <c r="F9" s="217" t="s">
        <v>1096</v>
      </c>
      <c r="G9" s="217" t="s">
        <v>1084</v>
      </c>
      <c r="H9" s="224">
        <v>2018</v>
      </c>
      <c r="I9" s="223">
        <v>2850</v>
      </c>
      <c r="J9" s="223">
        <v>13465249.300000001</v>
      </c>
      <c r="K9" s="223">
        <v>870173.16</v>
      </c>
      <c r="L9" s="223">
        <v>12595076.140000001</v>
      </c>
      <c r="M9" s="224">
        <v>0</v>
      </c>
      <c r="N9" s="223">
        <v>12595076.140000001</v>
      </c>
      <c r="O9" s="224">
        <v>0</v>
      </c>
      <c r="P9" s="223">
        <v>12595076.140000001</v>
      </c>
    </row>
    <row r="10" spans="1:16" ht="15" customHeight="1" x14ac:dyDescent="0.2">
      <c r="A10" s="227" t="s">
        <v>963</v>
      </c>
      <c r="B10" s="226" t="s">
        <v>530</v>
      </c>
      <c r="C10" s="226" t="s">
        <v>962</v>
      </c>
      <c r="D10" s="226" t="s">
        <v>483</v>
      </c>
      <c r="E10" s="226" t="s">
        <v>146</v>
      </c>
      <c r="F10" s="217" t="s">
        <v>1097</v>
      </c>
      <c r="G10" s="217" t="s">
        <v>1084</v>
      </c>
      <c r="H10" s="224">
        <v>2018</v>
      </c>
      <c r="I10" s="223">
        <v>3558</v>
      </c>
      <c r="J10" s="223">
        <v>20827205.899999999</v>
      </c>
      <c r="K10" s="223">
        <v>1172157.79</v>
      </c>
      <c r="L10" s="223">
        <v>19655048.109999999</v>
      </c>
      <c r="M10" s="224">
        <v>0</v>
      </c>
      <c r="N10" s="223">
        <v>19655048.109999999</v>
      </c>
      <c r="O10" s="224">
        <v>0</v>
      </c>
      <c r="P10" s="223">
        <v>19655048.109999999</v>
      </c>
    </row>
    <row r="11" spans="1:16" ht="15" customHeight="1" x14ac:dyDescent="0.2">
      <c r="A11" s="227" t="s">
        <v>963</v>
      </c>
      <c r="B11" s="226" t="s">
        <v>530</v>
      </c>
      <c r="C11" s="226" t="s">
        <v>962</v>
      </c>
      <c r="D11" s="226" t="s">
        <v>449</v>
      </c>
      <c r="E11" s="226" t="s">
        <v>146</v>
      </c>
      <c r="F11" s="217" t="s">
        <v>1096</v>
      </c>
      <c r="G11" s="217" t="s">
        <v>1084</v>
      </c>
      <c r="H11" s="224">
        <v>2018</v>
      </c>
      <c r="I11" s="223">
        <v>3843</v>
      </c>
      <c r="J11" s="223">
        <v>26301014.129999999</v>
      </c>
      <c r="K11" s="223">
        <v>1909230.08</v>
      </c>
      <c r="L11" s="223">
        <v>24391784.050000001</v>
      </c>
      <c r="M11" s="224">
        <v>0</v>
      </c>
      <c r="N11" s="223">
        <v>24391784.050000001</v>
      </c>
      <c r="O11" s="224">
        <v>0</v>
      </c>
      <c r="P11" s="223">
        <v>24391784.050000001</v>
      </c>
    </row>
    <row r="12" spans="1:16" ht="15" customHeight="1" x14ac:dyDescent="0.2">
      <c r="A12" s="227" t="s">
        <v>963</v>
      </c>
      <c r="B12" s="226" t="s">
        <v>530</v>
      </c>
      <c r="C12" s="226" t="s">
        <v>962</v>
      </c>
      <c r="D12" s="226" t="s">
        <v>476</v>
      </c>
      <c r="E12" s="226" t="s">
        <v>146</v>
      </c>
      <c r="F12" s="217" t="s">
        <v>1095</v>
      </c>
      <c r="G12" s="217" t="s">
        <v>1084</v>
      </c>
      <c r="H12" s="224">
        <v>2018</v>
      </c>
      <c r="I12" s="223">
        <v>3690</v>
      </c>
      <c r="J12" s="223">
        <v>29602780.120000001</v>
      </c>
      <c r="K12" s="223">
        <v>2586669.4</v>
      </c>
      <c r="L12" s="223">
        <v>27016110.719999999</v>
      </c>
      <c r="M12" s="224">
        <v>0</v>
      </c>
      <c r="N12" s="223">
        <v>27016110.719999999</v>
      </c>
      <c r="O12" s="224">
        <v>0</v>
      </c>
      <c r="P12" s="223">
        <v>27016110.719999999</v>
      </c>
    </row>
    <row r="13" spans="1:16" ht="15" customHeight="1" x14ac:dyDescent="0.2">
      <c r="A13" s="227" t="s">
        <v>963</v>
      </c>
      <c r="B13" s="226" t="s">
        <v>530</v>
      </c>
      <c r="C13" s="226" t="s">
        <v>962</v>
      </c>
      <c r="D13" s="226" t="s">
        <v>455</v>
      </c>
      <c r="E13" s="226" t="s">
        <v>146</v>
      </c>
      <c r="F13" s="217" t="s">
        <v>1096</v>
      </c>
      <c r="G13" s="217" t="s">
        <v>1084</v>
      </c>
      <c r="H13" s="224">
        <v>2018</v>
      </c>
      <c r="I13" s="223">
        <v>3450</v>
      </c>
      <c r="J13" s="223">
        <v>20761579.800000001</v>
      </c>
      <c r="K13" s="223">
        <v>1218096.32</v>
      </c>
      <c r="L13" s="223">
        <v>19543483.48</v>
      </c>
      <c r="M13" s="224">
        <v>0</v>
      </c>
      <c r="N13" s="223">
        <v>19543483.48</v>
      </c>
      <c r="O13" s="224">
        <v>0</v>
      </c>
      <c r="P13" s="223">
        <v>19543483.48</v>
      </c>
    </row>
    <row r="14" spans="1:16" ht="15" customHeight="1" x14ac:dyDescent="0.2">
      <c r="A14" s="227" t="s">
        <v>963</v>
      </c>
      <c r="B14" s="226" t="s">
        <v>530</v>
      </c>
      <c r="C14" s="226" t="s">
        <v>962</v>
      </c>
      <c r="D14" s="226" t="s">
        <v>460</v>
      </c>
      <c r="E14" s="226" t="s">
        <v>146</v>
      </c>
      <c r="F14" s="217" t="s">
        <v>1096</v>
      </c>
      <c r="G14" s="217" t="s">
        <v>1084</v>
      </c>
      <c r="H14" s="224">
        <v>2018</v>
      </c>
      <c r="I14" s="223">
        <v>3510</v>
      </c>
      <c r="J14" s="223">
        <v>17465880.77</v>
      </c>
      <c r="K14" s="223">
        <v>1226462.5900000001</v>
      </c>
      <c r="L14" s="223">
        <v>16239418.18</v>
      </c>
      <c r="M14" s="224">
        <v>0</v>
      </c>
      <c r="N14" s="223">
        <v>16239418.18</v>
      </c>
      <c r="O14" s="224">
        <v>0</v>
      </c>
      <c r="P14" s="223">
        <v>16239418.18</v>
      </c>
    </row>
    <row r="15" spans="1:16" ht="15" customHeight="1" x14ac:dyDescent="0.2">
      <c r="A15" s="227" t="s">
        <v>963</v>
      </c>
      <c r="B15" s="226" t="s">
        <v>530</v>
      </c>
      <c r="C15" s="226" t="s">
        <v>962</v>
      </c>
      <c r="D15" s="226" t="s">
        <v>584</v>
      </c>
      <c r="E15" s="226" t="s">
        <v>833</v>
      </c>
      <c r="F15" s="217" t="s">
        <v>1088</v>
      </c>
      <c r="G15" s="217" t="s">
        <v>1084</v>
      </c>
      <c r="H15" s="224">
        <v>2018</v>
      </c>
      <c r="I15" s="224">
        <v>171</v>
      </c>
      <c r="J15" s="223">
        <v>1258</v>
      </c>
      <c r="K15" s="224">
        <v>0</v>
      </c>
      <c r="L15" s="223">
        <v>1258</v>
      </c>
      <c r="M15" s="224">
        <v>0</v>
      </c>
      <c r="N15" s="223">
        <v>1258</v>
      </c>
      <c r="O15" s="224">
        <v>0</v>
      </c>
      <c r="P15" s="223">
        <v>1258</v>
      </c>
    </row>
    <row r="16" spans="1:16" ht="15" customHeight="1" x14ac:dyDescent="0.2">
      <c r="A16" s="227" t="s">
        <v>963</v>
      </c>
      <c r="B16" s="226" t="s">
        <v>530</v>
      </c>
      <c r="C16" s="226" t="s">
        <v>962</v>
      </c>
      <c r="D16" s="226" t="s">
        <v>582</v>
      </c>
      <c r="E16" s="226" t="s">
        <v>833</v>
      </c>
      <c r="F16" s="217" t="s">
        <v>1088</v>
      </c>
      <c r="G16" s="217" t="s">
        <v>1084</v>
      </c>
      <c r="H16" s="224">
        <v>2018</v>
      </c>
      <c r="I16" s="224">
        <v>588</v>
      </c>
      <c r="J16" s="223">
        <v>340236.39</v>
      </c>
      <c r="K16" s="223">
        <v>1622.2</v>
      </c>
      <c r="L16" s="223">
        <v>338614.19</v>
      </c>
      <c r="M16" s="224">
        <v>0</v>
      </c>
      <c r="N16" s="223">
        <v>338614.19</v>
      </c>
      <c r="O16" s="224">
        <v>0</v>
      </c>
      <c r="P16" s="223">
        <v>338614.19</v>
      </c>
    </row>
    <row r="17" spans="1:17" ht="15" customHeight="1" x14ac:dyDescent="0.2">
      <c r="A17" s="227" t="s">
        <v>963</v>
      </c>
      <c r="B17" s="226" t="s">
        <v>530</v>
      </c>
      <c r="C17" s="226" t="s">
        <v>962</v>
      </c>
      <c r="D17" s="226" t="s">
        <v>580</v>
      </c>
      <c r="E17" s="226" t="s">
        <v>833</v>
      </c>
      <c r="F17" s="217" t="s">
        <v>1088</v>
      </c>
      <c r="G17" s="217" t="s">
        <v>1084</v>
      </c>
      <c r="H17" s="224">
        <v>2018</v>
      </c>
      <c r="I17" s="224">
        <v>438</v>
      </c>
      <c r="J17" s="223">
        <v>173101.81</v>
      </c>
      <c r="K17" s="223">
        <v>1141.8</v>
      </c>
      <c r="L17" s="223">
        <v>171960.01</v>
      </c>
      <c r="M17" s="224">
        <v>0</v>
      </c>
      <c r="N17" s="223">
        <v>171960.01</v>
      </c>
      <c r="O17" s="224">
        <v>0</v>
      </c>
      <c r="P17" s="223">
        <v>171960.01</v>
      </c>
    </row>
    <row r="18" spans="1:17" ht="15" customHeight="1" x14ac:dyDescent="0.2">
      <c r="A18" s="227" t="s">
        <v>963</v>
      </c>
      <c r="B18" s="226" t="s">
        <v>530</v>
      </c>
      <c r="C18" s="226" t="s">
        <v>962</v>
      </c>
      <c r="D18" s="226" t="s">
        <v>578</v>
      </c>
      <c r="E18" s="226" t="s">
        <v>833</v>
      </c>
      <c r="F18" s="217" t="s">
        <v>1086</v>
      </c>
      <c r="G18" s="217" t="s">
        <v>1084</v>
      </c>
      <c r="H18" s="224">
        <v>2018</v>
      </c>
      <c r="I18" s="224">
        <v>171</v>
      </c>
      <c r="J18" s="223">
        <v>1189</v>
      </c>
      <c r="K18" s="224">
        <v>-3</v>
      </c>
      <c r="L18" s="223">
        <v>1192</v>
      </c>
      <c r="M18" s="224">
        <v>0</v>
      </c>
      <c r="N18" s="223">
        <v>1192</v>
      </c>
      <c r="O18" s="224">
        <v>0</v>
      </c>
      <c r="P18" s="223">
        <v>1192</v>
      </c>
    </row>
    <row r="19" spans="1:17" ht="15" customHeight="1" x14ac:dyDescent="0.2">
      <c r="A19" s="227" t="s">
        <v>963</v>
      </c>
      <c r="B19" s="226" t="s">
        <v>530</v>
      </c>
      <c r="C19" s="226" t="s">
        <v>962</v>
      </c>
      <c r="D19" s="226" t="s">
        <v>574</v>
      </c>
      <c r="E19" s="226" t="s">
        <v>802</v>
      </c>
      <c r="F19" s="217" t="s">
        <v>1127</v>
      </c>
      <c r="G19" s="217" t="s">
        <v>1084</v>
      </c>
      <c r="H19" s="224">
        <v>2018</v>
      </c>
      <c r="I19" s="224">
        <v>360</v>
      </c>
      <c r="J19" s="223">
        <v>529767</v>
      </c>
      <c r="K19" s="224">
        <v>650.86</v>
      </c>
      <c r="L19" s="223">
        <v>529116.14</v>
      </c>
      <c r="M19" s="224">
        <v>0</v>
      </c>
      <c r="N19" s="223">
        <v>529116.14</v>
      </c>
      <c r="O19" s="224">
        <v>0</v>
      </c>
      <c r="P19" s="223">
        <v>529116.14</v>
      </c>
    </row>
    <row r="20" spans="1:17" ht="15" customHeight="1" x14ac:dyDescent="0.2">
      <c r="A20" s="227" t="s">
        <v>963</v>
      </c>
      <c r="B20" s="226" t="s">
        <v>530</v>
      </c>
      <c r="C20" s="226" t="s">
        <v>962</v>
      </c>
      <c r="D20" s="226" t="s">
        <v>969</v>
      </c>
      <c r="E20" s="226" t="s">
        <v>802</v>
      </c>
      <c r="F20" s="217" t="s">
        <v>1085</v>
      </c>
      <c r="G20" s="217" t="s">
        <v>1084</v>
      </c>
      <c r="H20" s="224">
        <v>2018</v>
      </c>
      <c r="I20" s="224">
        <v>240</v>
      </c>
      <c r="J20" s="223">
        <v>550949</v>
      </c>
      <c r="K20" s="223">
        <v>5376.91</v>
      </c>
      <c r="L20" s="223">
        <v>545572.09</v>
      </c>
      <c r="M20" s="224">
        <v>0</v>
      </c>
      <c r="N20" s="223">
        <v>545572.09</v>
      </c>
      <c r="O20" s="224">
        <v>0</v>
      </c>
      <c r="P20" s="223">
        <v>545572.09</v>
      </c>
    </row>
    <row r="21" spans="1:17" ht="15" customHeight="1" x14ac:dyDescent="0.2">
      <c r="A21" s="227" t="s">
        <v>963</v>
      </c>
      <c r="B21" s="226" t="s">
        <v>530</v>
      </c>
      <c r="C21" s="226" t="s">
        <v>962</v>
      </c>
      <c r="D21" s="226" t="s">
        <v>586</v>
      </c>
      <c r="E21" s="226" t="s">
        <v>968</v>
      </c>
      <c r="F21" s="217" t="s">
        <v>1088</v>
      </c>
      <c r="G21" s="217" t="s">
        <v>1084</v>
      </c>
      <c r="H21" s="224">
        <v>2018</v>
      </c>
      <c r="I21" s="223">
        <v>1870</v>
      </c>
      <c r="J21" s="223">
        <v>11090472</v>
      </c>
      <c r="K21" s="223">
        <v>529100</v>
      </c>
      <c r="L21" s="223">
        <v>10561372</v>
      </c>
      <c r="M21" s="224">
        <v>0</v>
      </c>
      <c r="N21" s="223">
        <v>10561372</v>
      </c>
      <c r="O21" s="224">
        <v>0</v>
      </c>
      <c r="P21" s="223">
        <v>10561372</v>
      </c>
    </row>
    <row r="22" spans="1:17" ht="15" customHeight="1" x14ac:dyDescent="0.2">
      <c r="A22" s="227" t="s">
        <v>963</v>
      </c>
      <c r="B22" s="226" t="s">
        <v>530</v>
      </c>
      <c r="C22" s="226" t="s">
        <v>962</v>
      </c>
      <c r="D22" s="226" t="s">
        <v>568</v>
      </c>
      <c r="E22" s="226" t="s">
        <v>964</v>
      </c>
      <c r="F22" s="217" t="s">
        <v>1090</v>
      </c>
      <c r="G22" s="217" t="s">
        <v>1084</v>
      </c>
      <c r="H22" s="224">
        <v>2018</v>
      </c>
      <c r="I22" s="223">
        <v>1000</v>
      </c>
      <c r="J22" s="223">
        <v>1154748</v>
      </c>
      <c r="K22" s="223">
        <v>1373.95</v>
      </c>
      <c r="L22" s="223">
        <v>1153374.05</v>
      </c>
      <c r="M22" s="223">
        <v>1613750.4</v>
      </c>
      <c r="N22" s="223">
        <v>-460376.35</v>
      </c>
      <c r="O22" s="224">
        <v>0</v>
      </c>
      <c r="P22" s="223">
        <v>-460376.35</v>
      </c>
    </row>
    <row r="23" spans="1:17" ht="15" customHeight="1" x14ac:dyDescent="0.2">
      <c r="A23" s="227" t="s">
        <v>963</v>
      </c>
      <c r="B23" s="226" t="s">
        <v>530</v>
      </c>
      <c r="C23" s="226" t="s">
        <v>962</v>
      </c>
      <c r="D23" s="226" t="s">
        <v>566</v>
      </c>
      <c r="E23" s="226" t="s">
        <v>964</v>
      </c>
      <c r="F23" s="217" t="s">
        <v>1088</v>
      </c>
      <c r="G23" s="217" t="s">
        <v>1084</v>
      </c>
      <c r="H23" s="224">
        <v>2018</v>
      </c>
      <c r="I23" s="224">
        <v>400</v>
      </c>
      <c r="J23" s="223">
        <v>882477</v>
      </c>
      <c r="K23" s="224">
        <v>-190.07</v>
      </c>
      <c r="L23" s="223">
        <v>882667.07</v>
      </c>
      <c r="M23" s="223">
        <v>1147189.73</v>
      </c>
      <c r="N23" s="223">
        <v>-264522.65999999997</v>
      </c>
      <c r="O23" s="224">
        <v>0</v>
      </c>
      <c r="P23" s="223">
        <v>-264522.65999999997</v>
      </c>
    </row>
    <row r="24" spans="1:17" ht="15" customHeight="1" x14ac:dyDescent="0.2">
      <c r="A24" s="227" t="s">
        <v>963</v>
      </c>
      <c r="B24" s="226" t="s">
        <v>530</v>
      </c>
      <c r="C24" s="226" t="s">
        <v>962</v>
      </c>
      <c r="D24" s="226" t="s">
        <v>572</v>
      </c>
      <c r="E24" s="226" t="s">
        <v>802</v>
      </c>
      <c r="F24" s="217" t="s">
        <v>1086</v>
      </c>
      <c r="G24" s="217" t="s">
        <v>1084</v>
      </c>
      <c r="H24" s="224">
        <v>2018</v>
      </c>
      <c r="I24" s="224">
        <v>2.1</v>
      </c>
      <c r="J24" s="223">
        <v>1129.32</v>
      </c>
      <c r="K24" s="224">
        <v>0</v>
      </c>
      <c r="L24" s="223">
        <v>1129.32</v>
      </c>
      <c r="M24" s="224">
        <v>0</v>
      </c>
      <c r="N24" s="223">
        <v>1129.32</v>
      </c>
      <c r="O24" s="224">
        <v>0</v>
      </c>
      <c r="P24" s="223">
        <v>1129.32</v>
      </c>
    </row>
    <row r="25" spans="1:17" ht="15" customHeight="1" x14ac:dyDescent="0.2">
      <c r="A25" s="227" t="s">
        <v>963</v>
      </c>
      <c r="B25" s="226" t="s">
        <v>530</v>
      </c>
      <c r="C25" s="226" t="s">
        <v>962</v>
      </c>
      <c r="D25" s="226" t="s">
        <v>967</v>
      </c>
      <c r="E25" s="226" t="s">
        <v>802</v>
      </c>
      <c r="F25" s="217" t="s">
        <v>1086</v>
      </c>
      <c r="G25" s="217" t="s">
        <v>1084</v>
      </c>
      <c r="H25" s="224">
        <v>2018</v>
      </c>
      <c r="I25" s="224">
        <v>42</v>
      </c>
      <c r="J25" s="224">
        <v>0</v>
      </c>
      <c r="K25" s="224">
        <v>0</v>
      </c>
      <c r="L25" s="224">
        <v>0</v>
      </c>
      <c r="M25" s="224">
        <v>0</v>
      </c>
      <c r="N25" s="224">
        <v>0</v>
      </c>
      <c r="O25" s="224">
        <v>0</v>
      </c>
      <c r="P25" s="224">
        <v>0</v>
      </c>
    </row>
    <row r="26" spans="1:17" ht="15" customHeight="1" x14ac:dyDescent="0.2">
      <c r="A26" s="227" t="s">
        <v>963</v>
      </c>
      <c r="B26" s="226" t="s">
        <v>530</v>
      </c>
      <c r="C26" s="226" t="s">
        <v>962</v>
      </c>
      <c r="D26" s="226" t="s">
        <v>575</v>
      </c>
      <c r="E26" s="226" t="s">
        <v>802</v>
      </c>
      <c r="F26" s="217" t="s">
        <v>1086</v>
      </c>
      <c r="G26" s="217" t="s">
        <v>1084</v>
      </c>
      <c r="H26" s="224">
        <v>2018</v>
      </c>
      <c r="I26" s="224">
        <v>6</v>
      </c>
      <c r="J26" s="224">
        <v>0</v>
      </c>
      <c r="K26" s="224">
        <v>0</v>
      </c>
      <c r="L26" s="224">
        <v>0</v>
      </c>
      <c r="M26" s="224">
        <v>0</v>
      </c>
      <c r="N26" s="224">
        <v>0</v>
      </c>
      <c r="O26" s="224">
        <v>0</v>
      </c>
      <c r="P26" s="224">
        <v>0</v>
      </c>
    </row>
    <row r="27" spans="1:17" ht="15" customHeight="1" x14ac:dyDescent="0.2">
      <c r="A27" s="227" t="s">
        <v>963</v>
      </c>
      <c r="B27" s="226" t="s">
        <v>530</v>
      </c>
      <c r="C27" s="226" t="s">
        <v>962</v>
      </c>
      <c r="D27" s="226" t="s">
        <v>571</v>
      </c>
      <c r="E27" s="226" t="s">
        <v>802</v>
      </c>
      <c r="F27" s="217" t="s">
        <v>1086</v>
      </c>
      <c r="G27" s="217" t="s">
        <v>1084</v>
      </c>
      <c r="H27" s="224">
        <v>2018</v>
      </c>
      <c r="I27" s="224">
        <v>11</v>
      </c>
      <c r="J27" s="224">
        <v>0</v>
      </c>
      <c r="K27" s="224">
        <v>0</v>
      </c>
      <c r="L27" s="224">
        <v>0</v>
      </c>
      <c r="M27" s="224">
        <v>0</v>
      </c>
      <c r="N27" s="224">
        <v>0</v>
      </c>
      <c r="O27" s="224">
        <v>0</v>
      </c>
      <c r="P27" s="224">
        <v>0</v>
      </c>
    </row>
    <row r="28" spans="1:17" ht="15" customHeight="1" x14ac:dyDescent="0.2">
      <c r="A28" s="227" t="s">
        <v>963</v>
      </c>
      <c r="B28" s="226" t="s">
        <v>530</v>
      </c>
      <c r="C28" s="226" t="s">
        <v>962</v>
      </c>
      <c r="D28" s="226" t="s">
        <v>1126</v>
      </c>
      <c r="E28" s="226" t="s">
        <v>253</v>
      </c>
      <c r="F28" s="217" t="s">
        <v>1088</v>
      </c>
      <c r="G28" s="217" t="s">
        <v>1084</v>
      </c>
      <c r="H28" s="224">
        <v>2018</v>
      </c>
      <c r="I28" s="224">
        <v>105.8</v>
      </c>
      <c r="J28" s="223">
        <v>335790.32</v>
      </c>
      <c r="K28" s="223">
        <v>2797.84</v>
      </c>
      <c r="L28" s="223">
        <v>332992.46999999997</v>
      </c>
      <c r="M28" s="224">
        <v>672.1</v>
      </c>
      <c r="N28" s="223">
        <v>332320.37</v>
      </c>
      <c r="O28" s="224">
        <v>0</v>
      </c>
      <c r="P28" s="223">
        <v>332320.37</v>
      </c>
    </row>
    <row r="29" spans="1:17" ht="15" customHeight="1" x14ac:dyDescent="0.2">
      <c r="A29" s="227" t="s">
        <v>963</v>
      </c>
      <c r="B29" s="226" t="s">
        <v>530</v>
      </c>
      <c r="C29" s="226" t="s">
        <v>962</v>
      </c>
      <c r="D29" s="226" t="s">
        <v>468</v>
      </c>
      <c r="E29" s="226" t="s">
        <v>146</v>
      </c>
      <c r="F29" s="217" t="s">
        <v>1095</v>
      </c>
      <c r="G29" s="217" t="s">
        <v>1084</v>
      </c>
      <c r="H29" s="224">
        <v>2018</v>
      </c>
      <c r="I29" s="223">
        <v>4500</v>
      </c>
      <c r="J29" s="223">
        <v>13799324.470000001</v>
      </c>
      <c r="K29" s="223">
        <v>1243806.3500000001</v>
      </c>
      <c r="L29" s="223">
        <v>12555518.119999999</v>
      </c>
      <c r="M29" s="224">
        <v>0</v>
      </c>
      <c r="N29" s="223">
        <v>12555518.119999999</v>
      </c>
      <c r="O29" s="224">
        <v>0</v>
      </c>
      <c r="P29" s="223">
        <v>12555518.119999999</v>
      </c>
    </row>
    <row r="30" spans="1:17" ht="15" customHeight="1" x14ac:dyDescent="0.2">
      <c r="A30" s="227" t="s">
        <v>963</v>
      </c>
      <c r="B30" s="226" t="s">
        <v>530</v>
      </c>
      <c r="C30" s="226" t="s">
        <v>962</v>
      </c>
      <c r="D30" s="226" t="s">
        <v>965</v>
      </c>
      <c r="E30" s="226" t="s">
        <v>964</v>
      </c>
      <c r="F30" s="217" t="s">
        <v>1090</v>
      </c>
      <c r="G30" s="217" t="s">
        <v>1084</v>
      </c>
      <c r="H30" s="224">
        <v>2018</v>
      </c>
      <c r="I30" s="223">
        <v>1332</v>
      </c>
      <c r="J30" s="223">
        <v>2704940</v>
      </c>
      <c r="K30" s="223">
        <v>33458.839999999997</v>
      </c>
      <c r="L30" s="223">
        <v>2671481.16</v>
      </c>
      <c r="M30" s="223">
        <v>3348082.8</v>
      </c>
      <c r="N30" s="223">
        <v>-676601.64</v>
      </c>
      <c r="O30" s="224">
        <v>0</v>
      </c>
      <c r="P30" s="223">
        <v>-676601.64</v>
      </c>
    </row>
    <row r="31" spans="1:17" ht="15" customHeight="1" x14ac:dyDescent="0.25">
      <c r="A31" s="227" t="s">
        <v>963</v>
      </c>
      <c r="B31" s="226" t="s">
        <v>530</v>
      </c>
      <c r="C31" s="226" t="s">
        <v>962</v>
      </c>
      <c r="D31" s="226" t="s">
        <v>559</v>
      </c>
      <c r="E31" s="226" t="s">
        <v>146</v>
      </c>
      <c r="F31" s="217" t="s">
        <v>1096</v>
      </c>
      <c r="G31" s="217" t="s">
        <v>1084</v>
      </c>
      <c r="H31" s="224">
        <v>2018</v>
      </c>
      <c r="I31" s="225">
        <v>723</v>
      </c>
      <c r="J31" s="223">
        <v>3899915.64</v>
      </c>
      <c r="K31" s="223">
        <v>402669.64</v>
      </c>
      <c r="L31" s="223">
        <v>3497246</v>
      </c>
      <c r="M31" s="224">
        <v>0</v>
      </c>
      <c r="N31" s="223">
        <v>3497246</v>
      </c>
      <c r="O31" s="224">
        <v>0</v>
      </c>
      <c r="P31" s="223">
        <v>3497246</v>
      </c>
      <c r="Q31" s="210">
        <f>P31/(I31*8760)</f>
        <v>0.55218394942432913</v>
      </c>
    </row>
    <row r="32" spans="1:17" ht="15" customHeight="1" x14ac:dyDescent="0.2">
      <c r="A32" s="222" t="s">
        <v>1056</v>
      </c>
      <c r="B32" s="221" t="s">
        <v>770</v>
      </c>
      <c r="C32" s="219" t="s">
        <v>1055</v>
      </c>
      <c r="D32" s="219" t="s">
        <v>1054</v>
      </c>
      <c r="E32" s="219" t="s">
        <v>1053</v>
      </c>
      <c r="F32" s="218" t="s">
        <v>1086</v>
      </c>
      <c r="G32" s="217" t="s">
        <v>1084</v>
      </c>
      <c r="H32" s="216">
        <v>2018</v>
      </c>
      <c r="I32" s="216">
        <v>0.8</v>
      </c>
      <c r="J32" s="215">
        <v>7017.39</v>
      </c>
      <c r="K32" s="216">
        <v>0</v>
      </c>
      <c r="L32" s="215">
        <v>7017.39</v>
      </c>
      <c r="M32" s="216">
        <v>174.2</v>
      </c>
      <c r="N32" s="215">
        <v>7017.39</v>
      </c>
      <c r="O32" s="215">
        <v>7191.59</v>
      </c>
      <c r="P32" s="216">
        <v>0</v>
      </c>
    </row>
    <row r="33" spans="1:16" ht="15" customHeight="1" x14ac:dyDescent="0.2">
      <c r="A33" s="220" t="s">
        <v>886</v>
      </c>
      <c r="B33" s="219" t="s">
        <v>770</v>
      </c>
      <c r="C33" s="219" t="s">
        <v>885</v>
      </c>
      <c r="D33" s="219" t="s">
        <v>884</v>
      </c>
      <c r="E33" s="219" t="s">
        <v>253</v>
      </c>
      <c r="F33" s="218" t="s">
        <v>1086</v>
      </c>
      <c r="G33" s="217" t="s">
        <v>1084</v>
      </c>
      <c r="H33" s="216">
        <v>2018</v>
      </c>
      <c r="I33" s="216">
        <v>86.6</v>
      </c>
      <c r="J33" s="215">
        <v>244175.71</v>
      </c>
      <c r="K33" s="216">
        <v>0</v>
      </c>
      <c r="L33" s="215">
        <v>244175.71</v>
      </c>
      <c r="M33" s="216">
        <v>571.67999999999995</v>
      </c>
      <c r="N33" s="215">
        <v>243604.03</v>
      </c>
      <c r="O33" s="216">
        <v>6</v>
      </c>
      <c r="P33" s="215">
        <v>243598.03</v>
      </c>
    </row>
    <row r="34" spans="1:16" ht="15" customHeight="1" x14ac:dyDescent="0.2">
      <c r="A34" s="220" t="s">
        <v>1052</v>
      </c>
      <c r="B34" s="219" t="s">
        <v>770</v>
      </c>
      <c r="C34" s="219" t="s">
        <v>1051</v>
      </c>
      <c r="D34" s="219" t="s">
        <v>1050</v>
      </c>
      <c r="E34" s="219" t="s">
        <v>768</v>
      </c>
      <c r="F34" s="218" t="s">
        <v>1085</v>
      </c>
      <c r="G34" s="217" t="s">
        <v>1084</v>
      </c>
      <c r="H34" s="216">
        <v>2018</v>
      </c>
      <c r="I34" s="216">
        <v>50</v>
      </c>
      <c r="J34" s="215">
        <v>230595.59</v>
      </c>
      <c r="K34" s="215">
        <v>23349.52</v>
      </c>
      <c r="L34" s="215">
        <v>207246.07</v>
      </c>
      <c r="M34" s="215">
        <v>5110.34</v>
      </c>
      <c r="N34" s="215">
        <v>207246.07</v>
      </c>
      <c r="O34" s="216">
        <v>0</v>
      </c>
      <c r="P34" s="215">
        <v>207246.07</v>
      </c>
    </row>
    <row r="35" spans="1:16" ht="15" customHeight="1" x14ac:dyDescent="0.2">
      <c r="A35" s="220" t="s">
        <v>1049</v>
      </c>
      <c r="B35" s="219" t="s">
        <v>770</v>
      </c>
      <c r="C35" s="219" t="s">
        <v>1048</v>
      </c>
      <c r="D35" s="219" t="s">
        <v>1047</v>
      </c>
      <c r="E35" s="219" t="s">
        <v>773</v>
      </c>
      <c r="F35" s="218" t="s">
        <v>1085</v>
      </c>
      <c r="G35" s="217" t="s">
        <v>1084</v>
      </c>
      <c r="H35" s="216">
        <v>2018</v>
      </c>
      <c r="I35" s="216">
        <v>75</v>
      </c>
      <c r="J35" s="215">
        <v>150738</v>
      </c>
      <c r="K35" s="216">
        <v>0</v>
      </c>
      <c r="L35" s="215">
        <v>150738</v>
      </c>
      <c r="M35" s="215">
        <v>1064.1199999999999</v>
      </c>
      <c r="N35" s="215">
        <v>149673.88</v>
      </c>
      <c r="O35" s="216">
        <v>0</v>
      </c>
      <c r="P35" s="215">
        <v>149673.88</v>
      </c>
    </row>
    <row r="36" spans="1:16" ht="15" customHeight="1" x14ac:dyDescent="0.2">
      <c r="A36" s="220" t="s">
        <v>829</v>
      </c>
      <c r="B36" s="219" t="s">
        <v>770</v>
      </c>
      <c r="C36" s="219" t="s">
        <v>1046</v>
      </c>
      <c r="D36" s="219" t="s">
        <v>1045</v>
      </c>
      <c r="E36" s="219" t="s">
        <v>773</v>
      </c>
      <c r="F36" s="218" t="s">
        <v>1085</v>
      </c>
      <c r="G36" s="217" t="s">
        <v>1084</v>
      </c>
      <c r="H36" s="216">
        <v>2018</v>
      </c>
      <c r="I36" s="216">
        <v>10</v>
      </c>
      <c r="J36" s="215">
        <v>27261.72</v>
      </c>
      <c r="K36" s="216">
        <v>0</v>
      </c>
      <c r="L36" s="215">
        <v>27261.72</v>
      </c>
      <c r="M36" s="216">
        <v>101.32</v>
      </c>
      <c r="N36" s="215">
        <v>27261.72</v>
      </c>
      <c r="O36" s="216">
        <v>29.88</v>
      </c>
      <c r="P36" s="215">
        <v>27261.72</v>
      </c>
    </row>
    <row r="37" spans="1:16" ht="15" customHeight="1" x14ac:dyDescent="0.2">
      <c r="A37" s="220" t="s">
        <v>1044</v>
      </c>
      <c r="B37" s="219" t="s">
        <v>770</v>
      </c>
      <c r="C37" s="219" t="s">
        <v>1043</v>
      </c>
      <c r="D37" s="219" t="s">
        <v>1042</v>
      </c>
      <c r="E37" s="219" t="s">
        <v>773</v>
      </c>
      <c r="F37" s="218" t="s">
        <v>1085</v>
      </c>
      <c r="G37" s="217" t="s">
        <v>1084</v>
      </c>
      <c r="H37" s="216">
        <v>2018</v>
      </c>
      <c r="I37" s="216">
        <v>19.98</v>
      </c>
      <c r="J37" s="215">
        <v>53464.91</v>
      </c>
      <c r="K37" s="216">
        <v>0</v>
      </c>
      <c r="L37" s="215">
        <v>53464.91</v>
      </c>
      <c r="M37" s="216">
        <v>175.33</v>
      </c>
      <c r="N37" s="215">
        <v>53464.91</v>
      </c>
      <c r="O37" s="216">
        <v>33.69</v>
      </c>
      <c r="P37" s="215">
        <v>53464.91</v>
      </c>
    </row>
    <row r="38" spans="1:16" ht="15" customHeight="1" x14ac:dyDescent="0.2">
      <c r="A38" s="220" t="s">
        <v>1041</v>
      </c>
      <c r="B38" s="219" t="s">
        <v>770</v>
      </c>
      <c r="C38" s="219" t="s">
        <v>1040</v>
      </c>
      <c r="D38" s="219" t="s">
        <v>531</v>
      </c>
      <c r="E38" s="219" t="s">
        <v>146</v>
      </c>
      <c r="F38" s="218" t="s">
        <v>1115</v>
      </c>
      <c r="G38" s="217" t="s">
        <v>1084</v>
      </c>
      <c r="H38" s="216">
        <v>2018</v>
      </c>
      <c r="I38" s="216">
        <v>600</v>
      </c>
      <c r="J38" s="215">
        <v>1857223</v>
      </c>
      <c r="K38" s="215">
        <v>150128</v>
      </c>
      <c r="L38" s="215">
        <v>1707095</v>
      </c>
      <c r="M38" s="216">
        <v>0</v>
      </c>
      <c r="N38" s="215">
        <v>1707095</v>
      </c>
      <c r="O38" s="216">
        <v>0</v>
      </c>
      <c r="P38" s="215">
        <v>1707095</v>
      </c>
    </row>
    <row r="39" spans="1:16" x14ac:dyDescent="0.2">
      <c r="A39" s="220" t="s">
        <v>1039</v>
      </c>
      <c r="B39" s="219" t="s">
        <v>770</v>
      </c>
      <c r="C39" s="219" t="s">
        <v>1038</v>
      </c>
      <c r="D39" s="219" t="s">
        <v>1037</v>
      </c>
      <c r="E39" s="219" t="s">
        <v>253</v>
      </c>
      <c r="F39" s="218" t="s">
        <v>1086</v>
      </c>
      <c r="G39" s="217" t="s">
        <v>1084</v>
      </c>
      <c r="H39" s="216">
        <v>2018</v>
      </c>
      <c r="I39" s="216">
        <v>133.69999999999999</v>
      </c>
      <c r="J39" s="215">
        <v>412035.51</v>
      </c>
      <c r="K39" s="216">
        <v>0</v>
      </c>
      <c r="L39" s="215">
        <v>412035.51</v>
      </c>
      <c r="M39" s="216">
        <v>295.79000000000002</v>
      </c>
      <c r="N39" s="215">
        <v>411739.73</v>
      </c>
      <c r="O39" s="216">
        <v>282.14999999999998</v>
      </c>
      <c r="P39" s="215">
        <v>403587.3</v>
      </c>
    </row>
    <row r="40" spans="1:16" x14ac:dyDescent="0.2">
      <c r="A40" s="220" t="s">
        <v>1036</v>
      </c>
      <c r="B40" s="219" t="s">
        <v>770</v>
      </c>
      <c r="C40" s="219" t="s">
        <v>1125</v>
      </c>
      <c r="D40" s="219" t="s">
        <v>1034</v>
      </c>
      <c r="E40" s="219" t="s">
        <v>253</v>
      </c>
      <c r="F40" s="218" t="s">
        <v>1088</v>
      </c>
      <c r="G40" s="217" t="s">
        <v>1084</v>
      </c>
      <c r="H40" s="216">
        <v>2018</v>
      </c>
      <c r="I40" s="216">
        <v>90.8</v>
      </c>
      <c r="J40" s="215">
        <v>287529.33</v>
      </c>
      <c r="K40" s="216">
        <v>0</v>
      </c>
      <c r="L40" s="215">
        <v>287529.33</v>
      </c>
      <c r="M40" s="216">
        <v>385.34</v>
      </c>
      <c r="N40" s="215">
        <v>287143.99</v>
      </c>
      <c r="O40" s="216">
        <v>385.34</v>
      </c>
      <c r="P40" s="215">
        <v>287529.33</v>
      </c>
    </row>
    <row r="41" spans="1:16" x14ac:dyDescent="0.2">
      <c r="A41" s="220" t="s">
        <v>1033</v>
      </c>
      <c r="B41" s="219" t="s">
        <v>770</v>
      </c>
      <c r="C41" s="219" t="s">
        <v>1032</v>
      </c>
      <c r="D41" s="219" t="s">
        <v>1031</v>
      </c>
      <c r="E41" s="219" t="s">
        <v>773</v>
      </c>
      <c r="F41" s="218" t="s">
        <v>1088</v>
      </c>
      <c r="G41" s="217" t="s">
        <v>1084</v>
      </c>
      <c r="H41" s="216">
        <v>2018</v>
      </c>
      <c r="I41" s="216">
        <v>9</v>
      </c>
      <c r="J41" s="215">
        <v>18691.12</v>
      </c>
      <c r="K41" s="216">
        <v>135.21</v>
      </c>
      <c r="L41" s="215">
        <v>18826.330000000002</v>
      </c>
      <c r="M41" s="216">
        <v>0</v>
      </c>
      <c r="N41" s="215">
        <v>18691.12</v>
      </c>
      <c r="O41" s="216">
        <v>0</v>
      </c>
      <c r="P41" s="215">
        <v>18691.12</v>
      </c>
    </row>
    <row r="42" spans="1:16" x14ac:dyDescent="0.2">
      <c r="A42" s="220" t="s">
        <v>981</v>
      </c>
      <c r="B42" s="219" t="s">
        <v>770</v>
      </c>
      <c r="C42" s="219" t="s">
        <v>1124</v>
      </c>
      <c r="D42" s="219" t="s">
        <v>979</v>
      </c>
      <c r="E42" s="219" t="s">
        <v>253</v>
      </c>
      <c r="F42" s="218" t="s">
        <v>1086</v>
      </c>
      <c r="G42" s="217" t="s">
        <v>1084</v>
      </c>
      <c r="H42" s="216">
        <v>2018</v>
      </c>
      <c r="I42" s="216">
        <v>1.8</v>
      </c>
      <c r="J42" s="215">
        <v>5559.23</v>
      </c>
      <c r="K42" s="216">
        <v>0</v>
      </c>
      <c r="L42" s="215">
        <v>5559.23</v>
      </c>
      <c r="M42" s="216">
        <v>0</v>
      </c>
      <c r="N42" s="215">
        <v>5559.23</v>
      </c>
      <c r="O42" s="216">
        <v>0</v>
      </c>
      <c r="P42" s="215">
        <v>5559.23</v>
      </c>
    </row>
    <row r="43" spans="1:16" x14ac:dyDescent="0.2">
      <c r="A43" s="220" t="s">
        <v>1030</v>
      </c>
      <c r="B43" s="219" t="s">
        <v>770</v>
      </c>
      <c r="C43" s="219" t="s">
        <v>1029</v>
      </c>
      <c r="D43" s="219" t="s">
        <v>1028</v>
      </c>
      <c r="E43" s="219" t="s">
        <v>833</v>
      </c>
      <c r="F43" s="217" t="s">
        <v>1090</v>
      </c>
      <c r="G43" s="217" t="s">
        <v>1084</v>
      </c>
      <c r="H43" s="216">
        <v>2018</v>
      </c>
      <c r="I43" s="216">
        <v>670</v>
      </c>
      <c r="J43" s="215">
        <v>270194.19</v>
      </c>
      <c r="K43" s="215">
        <v>2990.47</v>
      </c>
      <c r="L43" s="215">
        <v>267203.71000000002</v>
      </c>
      <c r="M43" s="215">
        <v>12944.81</v>
      </c>
      <c r="N43" s="215">
        <v>267203.71000000002</v>
      </c>
      <c r="O43" s="216">
        <v>0</v>
      </c>
      <c r="P43" s="215">
        <v>267203.71000000002</v>
      </c>
    </row>
    <row r="44" spans="1:16" x14ac:dyDescent="0.2">
      <c r="A44" s="220" t="s">
        <v>1026</v>
      </c>
      <c r="B44" s="219" t="s">
        <v>770</v>
      </c>
      <c r="C44" s="219" t="s">
        <v>1025</v>
      </c>
      <c r="D44" s="219" t="s">
        <v>1027</v>
      </c>
      <c r="E44" s="219" t="s">
        <v>802</v>
      </c>
      <c r="F44" s="218" t="s">
        <v>1097</v>
      </c>
      <c r="G44" s="217" t="s">
        <v>1084</v>
      </c>
      <c r="H44" s="216">
        <v>2018</v>
      </c>
      <c r="I44" s="216">
        <v>4</v>
      </c>
      <c r="J44" s="215">
        <v>28112.14</v>
      </c>
      <c r="K44" s="216">
        <v>0</v>
      </c>
      <c r="L44" s="215">
        <v>28112.14</v>
      </c>
      <c r="M44" s="216">
        <v>0</v>
      </c>
      <c r="N44" s="215">
        <v>28112.14</v>
      </c>
      <c r="O44" s="216">
        <v>11.45</v>
      </c>
      <c r="P44" s="215">
        <v>28100.69</v>
      </c>
    </row>
    <row r="45" spans="1:16" x14ac:dyDescent="0.2">
      <c r="A45" s="220" t="s">
        <v>1026</v>
      </c>
      <c r="B45" s="219" t="s">
        <v>770</v>
      </c>
      <c r="C45" s="219" t="s">
        <v>1025</v>
      </c>
      <c r="D45" s="219" t="s">
        <v>1024</v>
      </c>
      <c r="E45" s="219" t="s">
        <v>802</v>
      </c>
      <c r="F45" s="218" t="s">
        <v>1097</v>
      </c>
      <c r="G45" s="217" t="s">
        <v>1084</v>
      </c>
      <c r="H45" s="216">
        <v>2018</v>
      </c>
      <c r="I45" s="216">
        <v>3</v>
      </c>
      <c r="J45" s="215">
        <v>17759.64</v>
      </c>
      <c r="K45" s="216">
        <v>0</v>
      </c>
      <c r="L45" s="215">
        <v>17759.64</v>
      </c>
      <c r="M45" s="216">
        <v>0</v>
      </c>
      <c r="N45" s="215">
        <v>17759.64</v>
      </c>
      <c r="O45" s="216">
        <v>10.1</v>
      </c>
      <c r="P45" s="215">
        <v>17749.54</v>
      </c>
    </row>
    <row r="46" spans="1:16" x14ac:dyDescent="0.2">
      <c r="A46" s="220" t="s">
        <v>1023</v>
      </c>
      <c r="B46" s="219" t="s">
        <v>770</v>
      </c>
      <c r="C46" s="219" t="s">
        <v>1022</v>
      </c>
      <c r="D46" s="219" t="s">
        <v>1021</v>
      </c>
      <c r="E46" s="219" t="s">
        <v>253</v>
      </c>
      <c r="F46" s="218" t="s">
        <v>1085</v>
      </c>
      <c r="G46" s="217" t="s">
        <v>1084</v>
      </c>
      <c r="H46" s="216">
        <v>2018</v>
      </c>
      <c r="I46" s="216">
        <v>135.19999999999999</v>
      </c>
      <c r="J46" s="215">
        <v>336163.48</v>
      </c>
      <c r="K46" s="216">
        <v>0</v>
      </c>
      <c r="L46" s="215">
        <v>336163.48</v>
      </c>
      <c r="M46" s="215">
        <v>1514.49</v>
      </c>
      <c r="N46" s="215">
        <v>336163.48</v>
      </c>
      <c r="O46" s="215">
        <v>1514.49</v>
      </c>
      <c r="P46" s="215">
        <v>336163.48</v>
      </c>
    </row>
    <row r="47" spans="1:16" x14ac:dyDescent="0.2">
      <c r="A47" s="222" t="s">
        <v>1020</v>
      </c>
      <c r="B47" s="221" t="s">
        <v>770</v>
      </c>
      <c r="C47" s="219" t="s">
        <v>1019</v>
      </c>
      <c r="D47" s="219" t="s">
        <v>1123</v>
      </c>
      <c r="E47" s="219" t="s">
        <v>130</v>
      </c>
      <c r="F47" s="218" t="s">
        <v>1115</v>
      </c>
      <c r="G47" s="217" t="s">
        <v>1084</v>
      </c>
      <c r="H47" s="216">
        <v>2018</v>
      </c>
      <c r="I47" s="216">
        <v>4.2</v>
      </c>
      <c r="J47" s="215">
        <v>18919.62</v>
      </c>
      <c r="K47" s="215">
        <v>3059.41</v>
      </c>
      <c r="L47" s="215">
        <v>15860.21</v>
      </c>
      <c r="M47" s="216">
        <v>0</v>
      </c>
      <c r="N47" s="215">
        <v>15860.21</v>
      </c>
      <c r="O47" s="216">
        <v>0</v>
      </c>
      <c r="P47" s="215">
        <v>15860.21</v>
      </c>
    </row>
    <row r="48" spans="1:16" x14ac:dyDescent="0.2">
      <c r="A48" s="220" t="s">
        <v>1017</v>
      </c>
      <c r="B48" s="219" t="s">
        <v>770</v>
      </c>
      <c r="C48" s="219" t="s">
        <v>1016</v>
      </c>
      <c r="D48" s="219" t="s">
        <v>1015</v>
      </c>
      <c r="E48" s="219" t="s">
        <v>253</v>
      </c>
      <c r="F48" s="218" t="s">
        <v>1085</v>
      </c>
      <c r="G48" s="217" t="s">
        <v>1084</v>
      </c>
      <c r="H48" s="216">
        <v>2018</v>
      </c>
      <c r="I48" s="216">
        <v>21</v>
      </c>
      <c r="J48" s="215">
        <v>59884.14</v>
      </c>
      <c r="K48" s="216">
        <v>0</v>
      </c>
      <c r="L48" s="215">
        <v>59884.14</v>
      </c>
      <c r="M48" s="216">
        <v>130.03</v>
      </c>
      <c r="N48" s="215">
        <v>59754.11</v>
      </c>
      <c r="O48" s="216">
        <v>0</v>
      </c>
      <c r="P48" s="215">
        <v>59754.11</v>
      </c>
    </row>
    <row r="49" spans="1:16" x14ac:dyDescent="0.2">
      <c r="A49" s="220">
        <v>820655</v>
      </c>
      <c r="B49" s="219" t="s">
        <v>804</v>
      </c>
      <c r="C49" s="219" t="s">
        <v>1011</v>
      </c>
      <c r="D49" s="219" t="s">
        <v>1014</v>
      </c>
      <c r="E49" s="219" t="s">
        <v>833</v>
      </c>
      <c r="F49" s="218" t="s">
        <v>1088</v>
      </c>
      <c r="G49" s="217" t="s">
        <v>1084</v>
      </c>
      <c r="H49" s="216">
        <v>2018</v>
      </c>
      <c r="I49" s="216">
        <v>40</v>
      </c>
      <c r="J49" s="216">
        <v>158.16999999999999</v>
      </c>
      <c r="K49" s="216">
        <v>89.28</v>
      </c>
      <c r="L49" s="216">
        <v>68.89</v>
      </c>
      <c r="M49" s="216">
        <v>0</v>
      </c>
      <c r="N49" s="216">
        <v>68.89</v>
      </c>
      <c r="O49" s="216">
        <v>0</v>
      </c>
      <c r="P49" s="216">
        <v>68.89</v>
      </c>
    </row>
    <row r="50" spans="1:16" x14ac:dyDescent="0.2">
      <c r="A50" s="220">
        <v>820655</v>
      </c>
      <c r="B50" s="219" t="s">
        <v>804</v>
      </c>
      <c r="C50" s="219" t="s">
        <v>1011</v>
      </c>
      <c r="D50" s="219" t="s">
        <v>1013</v>
      </c>
      <c r="E50" s="219" t="s">
        <v>833</v>
      </c>
      <c r="F50" s="218" t="s">
        <v>1088</v>
      </c>
      <c r="G50" s="217" t="s">
        <v>1084</v>
      </c>
      <c r="H50" s="216">
        <v>2018</v>
      </c>
      <c r="I50" s="216">
        <v>40</v>
      </c>
      <c r="J50" s="216">
        <v>157.04</v>
      </c>
      <c r="K50" s="216">
        <v>18.350000000000001</v>
      </c>
      <c r="L50" s="216">
        <v>138.69</v>
      </c>
      <c r="M50" s="216">
        <v>0</v>
      </c>
      <c r="N50" s="216">
        <v>138.69</v>
      </c>
      <c r="O50" s="216">
        <v>0</v>
      </c>
      <c r="P50" s="216">
        <v>138.69</v>
      </c>
    </row>
    <row r="51" spans="1:16" x14ac:dyDescent="0.2">
      <c r="A51" s="220">
        <v>820655</v>
      </c>
      <c r="B51" s="219" t="s">
        <v>804</v>
      </c>
      <c r="C51" s="219" t="s">
        <v>1011</v>
      </c>
      <c r="D51" s="219" t="s">
        <v>1010</v>
      </c>
      <c r="E51" s="219" t="s">
        <v>964</v>
      </c>
      <c r="F51" s="218" t="s">
        <v>1088</v>
      </c>
      <c r="G51" s="217" t="s">
        <v>1084</v>
      </c>
      <c r="H51" s="216">
        <v>2018</v>
      </c>
      <c r="I51" s="216">
        <v>180</v>
      </c>
      <c r="J51" s="215">
        <v>69519.759999999995</v>
      </c>
      <c r="K51" s="216">
        <v>821.56</v>
      </c>
      <c r="L51" s="215">
        <v>68698.2</v>
      </c>
      <c r="M51" s="215">
        <v>61116.4</v>
      </c>
      <c r="N51" s="215">
        <v>7581.8</v>
      </c>
      <c r="O51" s="216">
        <v>0</v>
      </c>
      <c r="P51" s="215">
        <v>7581.8</v>
      </c>
    </row>
    <row r="52" spans="1:16" x14ac:dyDescent="0.2">
      <c r="A52" s="220" t="s">
        <v>1008</v>
      </c>
      <c r="B52" s="219" t="s">
        <v>804</v>
      </c>
      <c r="C52" s="219" t="s">
        <v>1121</v>
      </c>
      <c r="D52" s="219" t="s">
        <v>1122</v>
      </c>
      <c r="E52" s="219" t="s">
        <v>146</v>
      </c>
      <c r="F52" s="218" t="s">
        <v>1115</v>
      </c>
      <c r="G52" s="217" t="s">
        <v>1084</v>
      </c>
      <c r="H52" s="216">
        <v>2018</v>
      </c>
      <c r="I52" s="216">
        <v>300</v>
      </c>
      <c r="J52" s="216">
        <v>0</v>
      </c>
      <c r="K52" s="216">
        <v>0</v>
      </c>
      <c r="L52" s="216">
        <v>0</v>
      </c>
      <c r="M52" s="215">
        <v>3503.9</v>
      </c>
      <c r="N52" s="215">
        <v>-3503.9</v>
      </c>
      <c r="O52" s="216">
        <v>0</v>
      </c>
      <c r="P52" s="216"/>
    </row>
    <row r="53" spans="1:16" x14ac:dyDescent="0.2">
      <c r="A53" s="220" t="s">
        <v>1008</v>
      </c>
      <c r="B53" s="219" t="s">
        <v>804</v>
      </c>
      <c r="C53" s="219" t="s">
        <v>1121</v>
      </c>
      <c r="D53" s="219" t="s">
        <v>1006</v>
      </c>
      <c r="E53" s="219" t="s">
        <v>1005</v>
      </c>
      <c r="F53" s="218" t="s">
        <v>1115</v>
      </c>
      <c r="G53" s="217" t="s">
        <v>1084</v>
      </c>
      <c r="H53" s="216">
        <v>2018</v>
      </c>
      <c r="I53" s="216">
        <v>204</v>
      </c>
      <c r="J53" s="216">
        <v>0</v>
      </c>
      <c r="K53" s="216">
        <v>0</v>
      </c>
      <c r="L53" s="216">
        <v>0</v>
      </c>
      <c r="M53" s="216">
        <v>0</v>
      </c>
      <c r="N53" s="216">
        <v>0</v>
      </c>
      <c r="O53" s="215">
        <v>2174</v>
      </c>
      <c r="P53" s="216"/>
    </row>
    <row r="54" spans="1:16" x14ac:dyDescent="0.2">
      <c r="A54" s="220" t="s">
        <v>1004</v>
      </c>
      <c r="B54" s="219" t="s">
        <v>770</v>
      </c>
      <c r="C54" s="219" t="s">
        <v>1003</v>
      </c>
      <c r="D54" s="219" t="s">
        <v>1120</v>
      </c>
      <c r="E54" s="219" t="s">
        <v>802</v>
      </c>
      <c r="F54" s="218" t="s">
        <v>1088</v>
      </c>
      <c r="G54" s="217" t="s">
        <v>1084</v>
      </c>
      <c r="H54" s="216">
        <v>2018</v>
      </c>
      <c r="I54" s="216">
        <v>1.5</v>
      </c>
      <c r="J54" s="215">
        <v>4819.1000000000004</v>
      </c>
      <c r="K54" s="216">
        <v>55.91</v>
      </c>
      <c r="L54" s="215">
        <v>4763.1899999999996</v>
      </c>
      <c r="M54" s="216">
        <v>0</v>
      </c>
      <c r="N54" s="215">
        <v>4763.1899999999996</v>
      </c>
      <c r="O54" s="216">
        <v>0</v>
      </c>
      <c r="P54" s="215">
        <v>4763.1899999999996</v>
      </c>
    </row>
    <row r="55" spans="1:16" x14ac:dyDescent="0.2">
      <c r="A55" s="220" t="s">
        <v>1001</v>
      </c>
      <c r="B55" s="219" t="s">
        <v>770</v>
      </c>
      <c r="C55" s="219" t="s">
        <v>1000</v>
      </c>
      <c r="D55" s="219" t="s">
        <v>1119</v>
      </c>
      <c r="E55" s="219" t="s">
        <v>773</v>
      </c>
      <c r="F55" s="218" t="s">
        <v>1095</v>
      </c>
      <c r="G55" s="217" t="s">
        <v>1084</v>
      </c>
      <c r="H55" s="216">
        <v>2018</v>
      </c>
      <c r="I55" s="216">
        <v>30</v>
      </c>
      <c r="J55" s="215">
        <v>59888.800000000003</v>
      </c>
      <c r="K55" s="216">
        <v>0</v>
      </c>
      <c r="L55" s="215">
        <v>59888.800000000003</v>
      </c>
      <c r="M55" s="216">
        <v>425.2</v>
      </c>
      <c r="N55" s="215">
        <v>59463.6</v>
      </c>
      <c r="O55" s="216">
        <v>0</v>
      </c>
      <c r="P55" s="215">
        <v>59463.6</v>
      </c>
    </row>
    <row r="56" spans="1:16" x14ac:dyDescent="0.2">
      <c r="A56" s="220" t="s">
        <v>999</v>
      </c>
      <c r="B56" s="219" t="s">
        <v>770</v>
      </c>
      <c r="C56" s="219" t="s">
        <v>998</v>
      </c>
      <c r="D56" s="219" t="s">
        <v>997</v>
      </c>
      <c r="E56" s="219" t="s">
        <v>253</v>
      </c>
      <c r="F56" s="218" t="s">
        <v>1085</v>
      </c>
      <c r="G56" s="217" t="s">
        <v>1084</v>
      </c>
      <c r="H56" s="216">
        <v>2018</v>
      </c>
      <c r="I56" s="216">
        <v>75</v>
      </c>
      <c r="J56" s="215">
        <v>228711.26</v>
      </c>
      <c r="K56" s="216">
        <v>540.02</v>
      </c>
      <c r="L56" s="215">
        <v>228171.24</v>
      </c>
      <c r="M56" s="216">
        <v>0</v>
      </c>
      <c r="N56" s="215">
        <v>228171.24</v>
      </c>
      <c r="O56" s="216">
        <v>540.02</v>
      </c>
      <c r="P56" s="215">
        <v>228171.24</v>
      </c>
    </row>
    <row r="57" spans="1:16" x14ac:dyDescent="0.2">
      <c r="A57" s="220" t="s">
        <v>996</v>
      </c>
      <c r="B57" s="219" t="s">
        <v>770</v>
      </c>
      <c r="C57" s="219" t="s">
        <v>995</v>
      </c>
      <c r="D57" s="219" t="s">
        <v>1118</v>
      </c>
      <c r="E57" s="219" t="s">
        <v>773</v>
      </c>
      <c r="F57" s="218" t="s">
        <v>1088</v>
      </c>
      <c r="G57" s="217" t="s">
        <v>1084</v>
      </c>
      <c r="H57" s="216">
        <v>2018</v>
      </c>
      <c r="I57" s="216">
        <v>36</v>
      </c>
      <c r="J57" s="215">
        <v>70552.17</v>
      </c>
      <c r="K57" s="216">
        <v>0</v>
      </c>
      <c r="L57" s="215">
        <v>70552.17</v>
      </c>
      <c r="M57" s="216">
        <v>153.01</v>
      </c>
      <c r="N57" s="215">
        <v>70399.16</v>
      </c>
      <c r="O57" s="216">
        <v>0</v>
      </c>
      <c r="P57" s="215">
        <v>70552.17</v>
      </c>
    </row>
    <row r="58" spans="1:16" x14ac:dyDescent="0.2">
      <c r="A58" s="220" t="s">
        <v>993</v>
      </c>
      <c r="B58" s="219" t="s">
        <v>770</v>
      </c>
      <c r="C58" s="219" t="s">
        <v>992</v>
      </c>
      <c r="D58" s="219" t="s">
        <v>1117</v>
      </c>
      <c r="E58" s="219" t="s">
        <v>253</v>
      </c>
      <c r="F58" s="218" t="s">
        <v>1088</v>
      </c>
      <c r="G58" s="217" t="s">
        <v>1084</v>
      </c>
      <c r="H58" s="216">
        <v>2018</v>
      </c>
      <c r="I58" s="216">
        <v>5.2</v>
      </c>
      <c r="J58" s="215">
        <v>7786.4</v>
      </c>
      <c r="K58" s="216">
        <v>0</v>
      </c>
      <c r="L58" s="215">
        <v>7786.4</v>
      </c>
      <c r="M58" s="216">
        <v>57.93</v>
      </c>
      <c r="N58" s="215">
        <v>7728.48</v>
      </c>
      <c r="O58" s="216">
        <v>0</v>
      </c>
      <c r="P58" s="215">
        <v>7728.48</v>
      </c>
    </row>
    <row r="59" spans="1:16" x14ac:dyDescent="0.2">
      <c r="A59" s="220" t="s">
        <v>990</v>
      </c>
      <c r="B59" s="219" t="s">
        <v>770</v>
      </c>
      <c r="C59" s="219" t="s">
        <v>989</v>
      </c>
      <c r="D59" s="219" t="s">
        <v>988</v>
      </c>
      <c r="E59" s="219" t="s">
        <v>833</v>
      </c>
      <c r="F59" s="218" t="s">
        <v>1086</v>
      </c>
      <c r="G59" s="217" t="s">
        <v>1084</v>
      </c>
      <c r="H59" s="216">
        <v>2018</v>
      </c>
      <c r="I59" s="216">
        <v>335</v>
      </c>
      <c r="J59" s="215">
        <v>121766.35</v>
      </c>
      <c r="K59" s="215">
        <v>1329.99</v>
      </c>
      <c r="L59" s="215">
        <v>120436.35</v>
      </c>
      <c r="M59" s="215">
        <v>6720.49</v>
      </c>
      <c r="N59" s="215">
        <v>120436.35</v>
      </c>
      <c r="O59" s="216">
        <v>0</v>
      </c>
      <c r="P59" s="215">
        <v>120436.35</v>
      </c>
    </row>
    <row r="60" spans="1:16" x14ac:dyDescent="0.2">
      <c r="A60" s="220" t="s">
        <v>987</v>
      </c>
      <c r="B60" s="219" t="s">
        <v>770</v>
      </c>
      <c r="C60" s="219" t="s">
        <v>986</v>
      </c>
      <c r="D60" s="219" t="s">
        <v>985</v>
      </c>
      <c r="E60" s="219" t="s">
        <v>253</v>
      </c>
      <c r="F60" s="218" t="s">
        <v>1086</v>
      </c>
      <c r="G60" s="217" t="s">
        <v>1084</v>
      </c>
      <c r="H60" s="216">
        <v>2018</v>
      </c>
      <c r="I60" s="216">
        <v>100</v>
      </c>
      <c r="J60" s="215">
        <v>313350.28000000003</v>
      </c>
      <c r="K60" s="216">
        <v>0</v>
      </c>
      <c r="L60" s="215">
        <v>313350.28000000003</v>
      </c>
      <c r="M60" s="216">
        <v>362.98</v>
      </c>
      <c r="N60" s="215">
        <v>306211.75</v>
      </c>
      <c r="O60" s="216">
        <v>362.98</v>
      </c>
      <c r="P60" s="215">
        <v>306211.75</v>
      </c>
    </row>
    <row r="61" spans="1:16" x14ac:dyDescent="0.2">
      <c r="A61" s="220" t="s">
        <v>984</v>
      </c>
      <c r="B61" s="219" t="s">
        <v>770</v>
      </c>
      <c r="C61" s="219" t="s">
        <v>983</v>
      </c>
      <c r="D61" s="219" t="s">
        <v>982</v>
      </c>
      <c r="E61" s="219" t="s">
        <v>773</v>
      </c>
      <c r="F61" s="218" t="s">
        <v>1088</v>
      </c>
      <c r="G61" s="217" t="s">
        <v>1084</v>
      </c>
      <c r="H61" s="216">
        <v>2018</v>
      </c>
      <c r="I61" s="216">
        <v>75</v>
      </c>
      <c r="J61" s="215">
        <v>147180.51999999999</v>
      </c>
      <c r="K61" s="216">
        <v>0</v>
      </c>
      <c r="L61" s="215">
        <v>147180.51999999999</v>
      </c>
      <c r="M61" s="215">
        <v>1091.8900000000001</v>
      </c>
      <c r="N61" s="215">
        <v>146088.63</v>
      </c>
      <c r="O61" s="216">
        <v>6</v>
      </c>
      <c r="P61" s="215">
        <v>146082.63</v>
      </c>
    </row>
    <row r="62" spans="1:16" x14ac:dyDescent="0.2">
      <c r="A62" s="220" t="s">
        <v>977</v>
      </c>
      <c r="B62" s="219" t="s">
        <v>770</v>
      </c>
      <c r="C62" s="219" t="s">
        <v>976</v>
      </c>
      <c r="D62" s="219" t="s">
        <v>978</v>
      </c>
      <c r="E62" s="219" t="s">
        <v>974</v>
      </c>
      <c r="F62" s="218" t="s">
        <v>1115</v>
      </c>
      <c r="G62" s="217" t="s">
        <v>1084</v>
      </c>
      <c r="H62" s="216">
        <v>2018</v>
      </c>
      <c r="I62" s="216">
        <v>3</v>
      </c>
      <c r="J62" s="215">
        <v>20344.45</v>
      </c>
      <c r="K62" s="216">
        <v>0</v>
      </c>
      <c r="L62" s="215">
        <v>20344.45</v>
      </c>
      <c r="M62" s="216">
        <v>0</v>
      </c>
      <c r="N62" s="215">
        <v>20344.45</v>
      </c>
      <c r="O62" s="216">
        <v>0</v>
      </c>
      <c r="P62" s="215">
        <v>20344.45</v>
      </c>
    </row>
    <row r="63" spans="1:16" x14ac:dyDescent="0.2">
      <c r="A63" s="222" t="s">
        <v>977</v>
      </c>
      <c r="B63" s="221" t="s">
        <v>770</v>
      </c>
      <c r="C63" s="219" t="s">
        <v>976</v>
      </c>
      <c r="D63" s="219" t="s">
        <v>975</v>
      </c>
      <c r="E63" s="219" t="s">
        <v>974</v>
      </c>
      <c r="F63" s="218" t="s">
        <v>1115</v>
      </c>
      <c r="G63" s="217" t="s">
        <v>1084</v>
      </c>
      <c r="H63" s="216">
        <v>2018</v>
      </c>
      <c r="I63" s="216">
        <v>5</v>
      </c>
      <c r="J63" s="215">
        <v>2954.68</v>
      </c>
      <c r="K63" s="216">
        <v>6.03</v>
      </c>
      <c r="L63" s="215">
        <v>2954.68</v>
      </c>
      <c r="M63" s="216">
        <v>6.03</v>
      </c>
      <c r="N63" s="215">
        <v>2954.68</v>
      </c>
      <c r="O63" s="216">
        <v>6.03</v>
      </c>
      <c r="P63" s="215">
        <v>2954.68</v>
      </c>
    </row>
    <row r="64" spans="1:16" x14ac:dyDescent="0.2">
      <c r="A64" s="222" t="s">
        <v>977</v>
      </c>
      <c r="B64" s="221" t="s">
        <v>770</v>
      </c>
      <c r="C64" s="219" t="s">
        <v>976</v>
      </c>
      <c r="D64" s="219" t="s">
        <v>1116</v>
      </c>
      <c r="E64" s="219" t="s">
        <v>974</v>
      </c>
      <c r="F64" s="218" t="s">
        <v>1115</v>
      </c>
      <c r="G64" s="217" t="s">
        <v>1084</v>
      </c>
      <c r="H64" s="216">
        <v>2018</v>
      </c>
      <c r="I64" s="216">
        <v>5</v>
      </c>
      <c r="J64" s="215">
        <v>9794.1</v>
      </c>
      <c r="K64" s="216">
        <v>4.95</v>
      </c>
      <c r="L64" s="215">
        <v>9794.1</v>
      </c>
      <c r="M64" s="216">
        <v>4.95</v>
      </c>
      <c r="N64" s="215">
        <v>9794.1</v>
      </c>
      <c r="O64" s="216">
        <v>4.95</v>
      </c>
      <c r="P64" s="215">
        <v>9794.1</v>
      </c>
    </row>
    <row r="65" spans="1:16" x14ac:dyDescent="0.2">
      <c r="A65" s="220" t="s">
        <v>973</v>
      </c>
      <c r="B65" s="219" t="s">
        <v>770</v>
      </c>
      <c r="C65" s="219" t="s">
        <v>972</v>
      </c>
      <c r="D65" s="219" t="s">
        <v>971</v>
      </c>
      <c r="E65" s="219" t="s">
        <v>773</v>
      </c>
      <c r="F65" s="218" t="s">
        <v>1115</v>
      </c>
      <c r="G65" s="217" t="s">
        <v>1084</v>
      </c>
      <c r="H65" s="216">
        <v>2018</v>
      </c>
      <c r="I65" s="216">
        <v>28</v>
      </c>
      <c r="J65" s="215">
        <v>58938.3</v>
      </c>
      <c r="K65" s="216">
        <v>0</v>
      </c>
      <c r="L65" s="215">
        <v>58938.3</v>
      </c>
      <c r="M65" s="216">
        <v>592.4</v>
      </c>
      <c r="N65" s="215">
        <v>58345.9</v>
      </c>
      <c r="O65" s="216">
        <v>0</v>
      </c>
      <c r="P65" s="215">
        <v>58345.9</v>
      </c>
    </row>
    <row r="66" spans="1:16" x14ac:dyDescent="0.2">
      <c r="A66" s="220" t="s">
        <v>961</v>
      </c>
      <c r="B66" s="219" t="s">
        <v>770</v>
      </c>
      <c r="C66" s="219" t="s">
        <v>960</v>
      </c>
      <c r="D66" s="219" t="s">
        <v>959</v>
      </c>
      <c r="E66" s="219" t="s">
        <v>773</v>
      </c>
      <c r="F66" s="218" t="s">
        <v>1085</v>
      </c>
      <c r="G66" s="217" t="s">
        <v>1084</v>
      </c>
      <c r="H66" s="216">
        <v>2018</v>
      </c>
      <c r="I66" s="216">
        <v>60</v>
      </c>
      <c r="J66" s="215">
        <v>128270.93</v>
      </c>
      <c r="K66" s="216">
        <v>0</v>
      </c>
      <c r="L66" s="215">
        <v>128270.93</v>
      </c>
      <c r="M66" s="216">
        <v>817.64</v>
      </c>
      <c r="N66" s="215">
        <v>127453.29</v>
      </c>
      <c r="O66" s="216">
        <v>0</v>
      </c>
      <c r="P66" s="215">
        <v>127453.29</v>
      </c>
    </row>
    <row r="67" spans="1:16" x14ac:dyDescent="0.2">
      <c r="A67" s="220" t="s">
        <v>958</v>
      </c>
      <c r="B67" s="219" t="s">
        <v>770</v>
      </c>
      <c r="C67" s="219" t="s">
        <v>957</v>
      </c>
      <c r="D67" s="219" t="s">
        <v>956</v>
      </c>
      <c r="E67" s="219" t="s">
        <v>773</v>
      </c>
      <c r="F67" s="218" t="s">
        <v>1086</v>
      </c>
      <c r="G67" s="217" t="s">
        <v>1084</v>
      </c>
      <c r="H67" s="216">
        <v>2018</v>
      </c>
      <c r="I67" s="216">
        <v>64</v>
      </c>
      <c r="J67" s="215">
        <v>145349.66</v>
      </c>
      <c r="K67" s="215">
        <v>1250.28</v>
      </c>
      <c r="L67" s="215">
        <v>144099.39000000001</v>
      </c>
      <c r="M67" s="216">
        <v>0</v>
      </c>
      <c r="N67" s="215">
        <v>144099.39000000001</v>
      </c>
      <c r="O67" s="216">
        <v>0</v>
      </c>
      <c r="P67" s="215">
        <v>144099.39000000001</v>
      </c>
    </row>
    <row r="68" spans="1:16" x14ac:dyDescent="0.2">
      <c r="A68" s="220" t="s">
        <v>955</v>
      </c>
      <c r="B68" s="219" t="s">
        <v>770</v>
      </c>
      <c r="C68" s="219" t="s">
        <v>954</v>
      </c>
      <c r="D68" s="219" t="s">
        <v>1114</v>
      </c>
      <c r="E68" s="219" t="s">
        <v>802</v>
      </c>
      <c r="F68" s="218" t="s">
        <v>1096</v>
      </c>
      <c r="G68" s="217" t="s">
        <v>1084</v>
      </c>
      <c r="H68" s="216">
        <v>2018</v>
      </c>
      <c r="I68" s="216">
        <v>2.5</v>
      </c>
      <c r="J68" s="215">
        <v>12472.39</v>
      </c>
      <c r="K68" s="216">
        <v>0</v>
      </c>
      <c r="L68" s="215">
        <v>12472.39</v>
      </c>
      <c r="M68" s="216">
        <v>0</v>
      </c>
      <c r="N68" s="215">
        <v>12472.39</v>
      </c>
      <c r="O68" s="216">
        <v>124.72</v>
      </c>
      <c r="P68" s="215">
        <v>12347.67</v>
      </c>
    </row>
    <row r="69" spans="1:16" x14ac:dyDescent="0.2">
      <c r="A69" s="220" t="s">
        <v>952</v>
      </c>
      <c r="B69" s="219" t="s">
        <v>770</v>
      </c>
      <c r="C69" s="219" t="s">
        <v>951</v>
      </c>
      <c r="D69" s="219" t="s">
        <v>950</v>
      </c>
      <c r="E69" s="219" t="s">
        <v>253</v>
      </c>
      <c r="F69" s="218" t="s">
        <v>1085</v>
      </c>
      <c r="G69" s="217" t="s">
        <v>1084</v>
      </c>
      <c r="H69" s="216">
        <v>2018</v>
      </c>
      <c r="I69" s="216">
        <v>111</v>
      </c>
      <c r="J69" s="215">
        <v>370867.36</v>
      </c>
      <c r="K69" s="216">
        <v>0</v>
      </c>
      <c r="L69" s="215">
        <v>370867.36</v>
      </c>
      <c r="M69" s="216">
        <v>276.16000000000003</v>
      </c>
      <c r="N69" s="215">
        <v>370591.2</v>
      </c>
      <c r="O69" s="216">
        <v>6</v>
      </c>
      <c r="P69" s="215">
        <v>370585.2</v>
      </c>
    </row>
    <row r="70" spans="1:16" x14ac:dyDescent="0.2">
      <c r="A70" s="220" t="s">
        <v>949</v>
      </c>
      <c r="B70" s="219" t="s">
        <v>770</v>
      </c>
      <c r="C70" s="219" t="s">
        <v>948</v>
      </c>
      <c r="D70" s="219" t="s">
        <v>947</v>
      </c>
      <c r="E70" s="219" t="s">
        <v>253</v>
      </c>
      <c r="F70" s="218" t="s">
        <v>1086</v>
      </c>
      <c r="G70" s="217" t="s">
        <v>1084</v>
      </c>
      <c r="H70" s="216">
        <v>2018</v>
      </c>
      <c r="I70" s="216">
        <v>59.8</v>
      </c>
      <c r="J70" s="215">
        <v>164323.68</v>
      </c>
      <c r="K70" s="216">
        <v>0</v>
      </c>
      <c r="L70" s="215">
        <v>164323.68</v>
      </c>
      <c r="M70" s="216">
        <v>529.15</v>
      </c>
      <c r="N70" s="215">
        <v>163794.51999999999</v>
      </c>
      <c r="O70" s="216">
        <v>0</v>
      </c>
      <c r="P70" s="215">
        <v>163794.51999999999</v>
      </c>
    </row>
    <row r="71" spans="1:16" x14ac:dyDescent="0.2">
      <c r="A71" s="220" t="s">
        <v>946</v>
      </c>
      <c r="B71" s="219" t="s">
        <v>770</v>
      </c>
      <c r="C71" s="219" t="s">
        <v>945</v>
      </c>
      <c r="D71" s="219" t="s">
        <v>944</v>
      </c>
      <c r="E71" s="219" t="s">
        <v>131</v>
      </c>
      <c r="F71" s="217" t="s">
        <v>1090</v>
      </c>
      <c r="G71" s="217" t="s">
        <v>1084</v>
      </c>
      <c r="H71" s="216">
        <v>2018</v>
      </c>
      <c r="I71" s="216">
        <v>2</v>
      </c>
      <c r="J71" s="215">
        <v>29747.439999999999</v>
      </c>
      <c r="K71" s="215">
        <v>26817.73</v>
      </c>
      <c r="L71" s="215">
        <v>2929.71</v>
      </c>
      <c r="M71" s="215">
        <v>1901.06</v>
      </c>
      <c r="N71" s="215">
        <v>1028.6500000000001</v>
      </c>
      <c r="O71" s="215">
        <v>28718.79</v>
      </c>
      <c r="P71" s="216">
        <v>0</v>
      </c>
    </row>
    <row r="72" spans="1:16" x14ac:dyDescent="0.2">
      <c r="A72" s="220" t="s">
        <v>943</v>
      </c>
      <c r="B72" s="219" t="s">
        <v>770</v>
      </c>
      <c r="C72" s="219" t="s">
        <v>942</v>
      </c>
      <c r="D72" s="219" t="s">
        <v>1113</v>
      </c>
      <c r="E72" s="219" t="s">
        <v>773</v>
      </c>
      <c r="F72" s="218" t="s">
        <v>1085</v>
      </c>
      <c r="G72" s="217" t="s">
        <v>1084</v>
      </c>
      <c r="H72" s="216">
        <v>2018</v>
      </c>
      <c r="I72" s="216">
        <v>75</v>
      </c>
      <c r="J72" s="215">
        <v>175645.18</v>
      </c>
      <c r="K72" s="216">
        <v>0</v>
      </c>
      <c r="L72" s="215">
        <v>175645.18</v>
      </c>
      <c r="M72" s="215">
        <v>1123.27</v>
      </c>
      <c r="N72" s="215">
        <v>174521.91</v>
      </c>
      <c r="O72" s="216">
        <v>13.72</v>
      </c>
      <c r="P72" s="215">
        <v>174508.19</v>
      </c>
    </row>
    <row r="73" spans="1:16" x14ac:dyDescent="0.2">
      <c r="A73" s="220" t="s">
        <v>940</v>
      </c>
      <c r="B73" s="219" t="s">
        <v>770</v>
      </c>
      <c r="C73" s="219" t="s">
        <v>939</v>
      </c>
      <c r="D73" s="219" t="s">
        <v>938</v>
      </c>
      <c r="E73" s="219" t="s">
        <v>253</v>
      </c>
      <c r="F73" s="218" t="s">
        <v>1086</v>
      </c>
      <c r="G73" s="217" t="s">
        <v>1084</v>
      </c>
      <c r="H73" s="216">
        <v>2018</v>
      </c>
      <c r="I73" s="216">
        <v>133.86000000000001</v>
      </c>
      <c r="J73" s="215">
        <v>416304.23</v>
      </c>
      <c r="K73" s="216">
        <v>0</v>
      </c>
      <c r="L73" s="215">
        <v>416304.49</v>
      </c>
      <c r="M73" s="216">
        <v>0</v>
      </c>
      <c r="N73" s="215">
        <v>416304.49</v>
      </c>
      <c r="O73" s="216">
        <v>0</v>
      </c>
      <c r="P73" s="215">
        <v>416304.49</v>
      </c>
    </row>
    <row r="74" spans="1:16" x14ac:dyDescent="0.2">
      <c r="A74" s="220" t="s">
        <v>937</v>
      </c>
      <c r="B74" s="219" t="s">
        <v>770</v>
      </c>
      <c r="C74" s="219" t="s">
        <v>936</v>
      </c>
      <c r="D74" s="219" t="s">
        <v>935</v>
      </c>
      <c r="E74" s="219" t="s">
        <v>768</v>
      </c>
      <c r="F74" s="218" t="s">
        <v>1085</v>
      </c>
      <c r="G74" s="217" t="s">
        <v>1084</v>
      </c>
      <c r="H74" s="216">
        <v>2018</v>
      </c>
      <c r="I74" s="216">
        <v>100</v>
      </c>
      <c r="J74" s="215">
        <v>348742.72</v>
      </c>
      <c r="K74" s="215">
        <v>33324.67</v>
      </c>
      <c r="L74" s="215">
        <v>348742.72</v>
      </c>
      <c r="M74" s="215">
        <v>9061.51</v>
      </c>
      <c r="N74" s="215">
        <v>315418.05</v>
      </c>
      <c r="O74" s="215">
        <v>33324.67</v>
      </c>
      <c r="P74" s="215">
        <v>315418.05</v>
      </c>
    </row>
    <row r="75" spans="1:16" x14ac:dyDescent="0.2">
      <c r="A75" s="220" t="s">
        <v>934</v>
      </c>
      <c r="B75" s="219" t="s">
        <v>770</v>
      </c>
      <c r="C75" s="219" t="s">
        <v>933</v>
      </c>
      <c r="D75" s="219" t="s">
        <v>932</v>
      </c>
      <c r="E75" s="219" t="s">
        <v>802</v>
      </c>
      <c r="F75" s="218" t="s">
        <v>1085</v>
      </c>
      <c r="G75" s="217" t="s">
        <v>1084</v>
      </c>
      <c r="H75" s="216">
        <v>2018</v>
      </c>
      <c r="I75" s="216">
        <v>10</v>
      </c>
      <c r="J75" s="215">
        <v>43103.21</v>
      </c>
      <c r="K75" s="216">
        <v>0</v>
      </c>
      <c r="L75" s="215">
        <v>43103.21</v>
      </c>
      <c r="M75" s="216">
        <v>26.83</v>
      </c>
      <c r="N75" s="215">
        <v>42814.01</v>
      </c>
      <c r="O75" s="216">
        <v>26.83</v>
      </c>
      <c r="P75" s="215">
        <v>42814.01</v>
      </c>
    </row>
    <row r="76" spans="1:16" x14ac:dyDescent="0.2">
      <c r="A76" s="220" t="s">
        <v>931</v>
      </c>
      <c r="B76" s="219" t="s">
        <v>770</v>
      </c>
      <c r="C76" s="219" t="s">
        <v>930</v>
      </c>
      <c r="D76" s="219" t="s">
        <v>1112</v>
      </c>
      <c r="E76" s="219" t="s">
        <v>768</v>
      </c>
      <c r="F76" s="218" t="s">
        <v>1085</v>
      </c>
      <c r="G76" s="217" t="s">
        <v>1084</v>
      </c>
      <c r="H76" s="216">
        <v>2018</v>
      </c>
      <c r="I76" s="216">
        <v>50</v>
      </c>
      <c r="J76" s="215">
        <v>111959.79</v>
      </c>
      <c r="K76" s="215">
        <v>6141.48</v>
      </c>
      <c r="L76" s="215">
        <v>111959.79</v>
      </c>
      <c r="M76" s="215">
        <v>8348.31</v>
      </c>
      <c r="N76" s="215">
        <v>105818.31</v>
      </c>
      <c r="O76" s="215">
        <v>6141.48</v>
      </c>
      <c r="P76" s="215">
        <v>105818.31</v>
      </c>
    </row>
    <row r="77" spans="1:16" x14ac:dyDescent="0.2">
      <c r="A77" s="220" t="s">
        <v>928</v>
      </c>
      <c r="B77" s="219" t="s">
        <v>770</v>
      </c>
      <c r="C77" s="219" t="s">
        <v>927</v>
      </c>
      <c r="D77" s="219" t="s">
        <v>926</v>
      </c>
      <c r="E77" s="219" t="s">
        <v>253</v>
      </c>
      <c r="F77" s="218" t="s">
        <v>1088</v>
      </c>
      <c r="G77" s="217" t="s">
        <v>1084</v>
      </c>
      <c r="H77" s="216">
        <v>2018</v>
      </c>
      <c r="I77" s="216">
        <v>27</v>
      </c>
      <c r="J77" s="215">
        <v>73823.570000000007</v>
      </c>
      <c r="K77" s="216">
        <v>142.01</v>
      </c>
      <c r="L77" s="215">
        <v>73681.56</v>
      </c>
      <c r="M77" s="216">
        <v>142.01</v>
      </c>
      <c r="N77" s="215">
        <v>73823.570000000007</v>
      </c>
      <c r="O77" s="216">
        <v>142.01</v>
      </c>
      <c r="P77" s="215">
        <v>73823.570000000007</v>
      </c>
    </row>
    <row r="78" spans="1:16" x14ac:dyDescent="0.2">
      <c r="A78" s="220" t="s">
        <v>922</v>
      </c>
      <c r="B78" s="219" t="s">
        <v>770</v>
      </c>
      <c r="C78" s="219" t="s">
        <v>1111</v>
      </c>
      <c r="D78" s="219" t="s">
        <v>1111</v>
      </c>
      <c r="E78" s="219" t="s">
        <v>773</v>
      </c>
      <c r="F78" s="218" t="s">
        <v>1085</v>
      </c>
      <c r="G78" s="217" t="s">
        <v>1084</v>
      </c>
      <c r="H78" s="216">
        <v>2018</v>
      </c>
      <c r="I78" s="216">
        <v>10</v>
      </c>
      <c r="J78" s="215">
        <v>21753.75</v>
      </c>
      <c r="K78" s="216">
        <v>0</v>
      </c>
      <c r="L78" s="215">
        <v>21753.75</v>
      </c>
      <c r="M78" s="216">
        <v>75.31</v>
      </c>
      <c r="N78" s="215">
        <v>21753.75</v>
      </c>
      <c r="O78" s="216">
        <v>28.18</v>
      </c>
      <c r="P78" s="215">
        <v>21753.75</v>
      </c>
    </row>
    <row r="79" spans="1:16" x14ac:dyDescent="0.2">
      <c r="A79" s="222" t="s">
        <v>920</v>
      </c>
      <c r="B79" s="221" t="s">
        <v>770</v>
      </c>
      <c r="C79" s="219" t="s">
        <v>919</v>
      </c>
      <c r="D79" s="219" t="s">
        <v>918</v>
      </c>
      <c r="E79" s="219" t="s">
        <v>802</v>
      </c>
      <c r="F79" s="218" t="s">
        <v>1088</v>
      </c>
      <c r="G79" s="217" t="s">
        <v>1084</v>
      </c>
      <c r="H79" s="216">
        <v>2018</v>
      </c>
      <c r="I79" s="216">
        <v>2.42</v>
      </c>
      <c r="J79" s="216">
        <v>0</v>
      </c>
      <c r="K79" s="216">
        <v>14.09</v>
      </c>
      <c r="L79" s="216">
        <v>-14.09</v>
      </c>
      <c r="M79" s="215">
        <v>4536.0600000000004</v>
      </c>
      <c r="N79" s="216">
        <v>-14.09</v>
      </c>
      <c r="O79" s="216">
        <v>0</v>
      </c>
      <c r="P79" s="216">
        <v>0</v>
      </c>
    </row>
    <row r="80" spans="1:16" x14ac:dyDescent="0.2">
      <c r="A80" s="220" t="s">
        <v>917</v>
      </c>
      <c r="B80" s="219" t="s">
        <v>770</v>
      </c>
      <c r="C80" s="219" t="s">
        <v>916</v>
      </c>
      <c r="D80" s="219" t="s">
        <v>915</v>
      </c>
      <c r="E80" s="219" t="s">
        <v>253</v>
      </c>
      <c r="F80" s="218" t="s">
        <v>1085</v>
      </c>
      <c r="G80" s="217" t="s">
        <v>1084</v>
      </c>
      <c r="H80" s="216">
        <v>2018</v>
      </c>
      <c r="I80" s="216">
        <v>138.96</v>
      </c>
      <c r="J80" s="215">
        <v>467892.82</v>
      </c>
      <c r="K80" s="216">
        <v>0</v>
      </c>
      <c r="L80" s="215">
        <v>467892.82</v>
      </c>
      <c r="M80" s="216">
        <v>296.08999999999997</v>
      </c>
      <c r="N80" s="215">
        <v>453663.82</v>
      </c>
      <c r="O80" s="215">
        <v>14525.1</v>
      </c>
      <c r="P80" s="215">
        <v>453663.82</v>
      </c>
    </row>
    <row r="81" spans="1:16" x14ac:dyDescent="0.2">
      <c r="A81" s="220" t="s">
        <v>914</v>
      </c>
      <c r="B81" s="219" t="s">
        <v>770</v>
      </c>
      <c r="C81" s="219" t="s">
        <v>913</v>
      </c>
      <c r="D81" s="219" t="s">
        <v>1110</v>
      </c>
      <c r="E81" s="219" t="s">
        <v>253</v>
      </c>
      <c r="F81" s="218" t="s">
        <v>1085</v>
      </c>
      <c r="G81" s="217" t="s">
        <v>1084</v>
      </c>
      <c r="H81" s="216">
        <v>2018</v>
      </c>
      <c r="I81" s="216">
        <v>96.48</v>
      </c>
      <c r="J81" s="215">
        <v>294538.07</v>
      </c>
      <c r="K81" s="216">
        <v>0</v>
      </c>
      <c r="L81" s="215">
        <v>294538.07</v>
      </c>
      <c r="M81" s="216">
        <v>340.69</v>
      </c>
      <c r="N81" s="215">
        <v>285035.07</v>
      </c>
      <c r="O81" s="215">
        <v>9843.69</v>
      </c>
      <c r="P81" s="215">
        <v>285035.07</v>
      </c>
    </row>
    <row r="82" spans="1:16" x14ac:dyDescent="0.2">
      <c r="A82" s="220" t="s">
        <v>911</v>
      </c>
      <c r="B82" s="219" t="s">
        <v>770</v>
      </c>
      <c r="C82" s="219" t="s">
        <v>910</v>
      </c>
      <c r="D82" s="219" t="s">
        <v>909</v>
      </c>
      <c r="E82" s="219" t="s">
        <v>833</v>
      </c>
      <c r="F82" s="218" t="s">
        <v>1088</v>
      </c>
      <c r="G82" s="217" t="s">
        <v>1084</v>
      </c>
      <c r="H82" s="216">
        <v>2018</v>
      </c>
      <c r="I82" s="216">
        <v>4.25</v>
      </c>
      <c r="J82" s="215">
        <v>8721.81</v>
      </c>
      <c r="K82" s="216">
        <v>0</v>
      </c>
      <c r="L82" s="215">
        <v>8721.81</v>
      </c>
      <c r="M82" s="216">
        <v>456.8</v>
      </c>
      <c r="N82" s="215">
        <v>8290.43</v>
      </c>
      <c r="O82" s="216">
        <v>0</v>
      </c>
      <c r="P82" s="215">
        <v>8290.43</v>
      </c>
    </row>
    <row r="83" spans="1:16" x14ac:dyDescent="0.2">
      <c r="A83" s="220" t="s">
        <v>908</v>
      </c>
      <c r="B83" s="219" t="s">
        <v>770</v>
      </c>
      <c r="C83" s="219" t="s">
        <v>907</v>
      </c>
      <c r="D83" s="219" t="s">
        <v>906</v>
      </c>
      <c r="E83" s="219" t="s">
        <v>905</v>
      </c>
      <c r="F83" s="217" t="s">
        <v>1090</v>
      </c>
      <c r="G83" s="217" t="s">
        <v>1084</v>
      </c>
      <c r="H83" s="216">
        <v>2018</v>
      </c>
      <c r="I83" s="216">
        <v>75</v>
      </c>
      <c r="J83" s="215">
        <v>711588.58</v>
      </c>
      <c r="K83" s="216">
        <v>0</v>
      </c>
      <c r="L83" s="215">
        <v>711588.58</v>
      </c>
      <c r="M83" s="215">
        <v>52421.99</v>
      </c>
      <c r="N83" s="215">
        <v>764010.56</v>
      </c>
      <c r="O83" s="215">
        <v>720984.65</v>
      </c>
      <c r="P83" s="215">
        <v>43389.58</v>
      </c>
    </row>
    <row r="84" spans="1:16" x14ac:dyDescent="0.2">
      <c r="A84" s="220" t="s">
        <v>904</v>
      </c>
      <c r="B84" s="219" t="s">
        <v>770</v>
      </c>
      <c r="C84" s="219" t="s">
        <v>903</v>
      </c>
      <c r="D84" s="219" t="s">
        <v>902</v>
      </c>
      <c r="E84" s="219" t="s">
        <v>901</v>
      </c>
      <c r="F84" s="218" t="s">
        <v>1096</v>
      </c>
      <c r="G84" s="217" t="s">
        <v>1084</v>
      </c>
      <c r="H84" s="216">
        <v>2018</v>
      </c>
      <c r="I84" s="216">
        <v>5.0999999999999996</v>
      </c>
      <c r="J84" s="215">
        <v>9299.57</v>
      </c>
      <c r="K84" s="216">
        <v>0</v>
      </c>
      <c r="L84" s="215">
        <v>9299.57</v>
      </c>
      <c r="M84" s="215">
        <v>84662.88</v>
      </c>
      <c r="N84" s="216">
        <v>0</v>
      </c>
      <c r="O84" s="215">
        <v>93962.45</v>
      </c>
      <c r="P84" s="216">
        <v>0</v>
      </c>
    </row>
    <row r="85" spans="1:16" x14ac:dyDescent="0.2">
      <c r="A85" s="220" t="s">
        <v>900</v>
      </c>
      <c r="B85" s="219" t="s">
        <v>770</v>
      </c>
      <c r="C85" s="219" t="s">
        <v>899</v>
      </c>
      <c r="D85" s="219" t="s">
        <v>898</v>
      </c>
      <c r="E85" s="219" t="s">
        <v>773</v>
      </c>
      <c r="F85" s="218" t="s">
        <v>1085</v>
      </c>
      <c r="G85" s="217" t="s">
        <v>1084</v>
      </c>
      <c r="H85" s="216">
        <v>2018</v>
      </c>
      <c r="I85" s="216">
        <v>10</v>
      </c>
      <c r="J85" s="215">
        <v>20418.259999999998</v>
      </c>
      <c r="K85" s="216">
        <v>0</v>
      </c>
      <c r="L85" s="215">
        <v>20418.259999999998</v>
      </c>
      <c r="M85" s="216">
        <v>137.44999999999999</v>
      </c>
      <c r="N85" s="215">
        <v>20418.259999999998</v>
      </c>
      <c r="O85" s="216">
        <v>115.66</v>
      </c>
      <c r="P85" s="215">
        <v>20418.259999999998</v>
      </c>
    </row>
    <row r="86" spans="1:16" x14ac:dyDescent="0.2">
      <c r="A86" s="220" t="s">
        <v>897</v>
      </c>
      <c r="B86" s="219" t="s">
        <v>770</v>
      </c>
      <c r="C86" s="219" t="s">
        <v>896</v>
      </c>
      <c r="D86" s="219" t="s">
        <v>896</v>
      </c>
      <c r="E86" s="219" t="s">
        <v>773</v>
      </c>
      <c r="F86" s="218" t="s">
        <v>1085</v>
      </c>
      <c r="G86" s="217" t="s">
        <v>1084</v>
      </c>
      <c r="H86" s="216">
        <v>2018</v>
      </c>
      <c r="I86" s="216">
        <v>20</v>
      </c>
      <c r="J86" s="215">
        <v>41726.480000000003</v>
      </c>
      <c r="K86" s="216">
        <v>0</v>
      </c>
      <c r="L86" s="215">
        <v>41726.480000000003</v>
      </c>
      <c r="M86" s="216">
        <v>295.14999999999998</v>
      </c>
      <c r="N86" s="215">
        <v>41726.480000000003</v>
      </c>
      <c r="O86" s="216">
        <v>192.03</v>
      </c>
      <c r="P86" s="215">
        <v>41726.480000000003</v>
      </c>
    </row>
    <row r="87" spans="1:16" x14ac:dyDescent="0.2">
      <c r="A87" s="220" t="s">
        <v>895</v>
      </c>
      <c r="B87" s="219" t="s">
        <v>770</v>
      </c>
      <c r="C87" s="219" t="s">
        <v>894</v>
      </c>
      <c r="D87" s="219" t="s">
        <v>1109</v>
      </c>
      <c r="E87" s="219" t="s">
        <v>773</v>
      </c>
      <c r="F87" s="218" t="s">
        <v>1085</v>
      </c>
      <c r="G87" s="217" t="s">
        <v>1084</v>
      </c>
      <c r="H87" s="216">
        <v>2018</v>
      </c>
      <c r="I87" s="216">
        <v>75</v>
      </c>
      <c r="J87" s="215">
        <v>165473.07</v>
      </c>
      <c r="K87" s="216">
        <v>0</v>
      </c>
      <c r="L87" s="215">
        <v>165473.07</v>
      </c>
      <c r="M87" s="216">
        <v>717.32</v>
      </c>
      <c r="N87" s="215">
        <v>165473.07</v>
      </c>
      <c r="O87" s="216">
        <v>97.38</v>
      </c>
      <c r="P87" s="215">
        <v>165473.07</v>
      </c>
    </row>
    <row r="88" spans="1:16" x14ac:dyDescent="0.2">
      <c r="A88" s="220" t="s">
        <v>892</v>
      </c>
      <c r="B88" s="219" t="s">
        <v>804</v>
      </c>
      <c r="C88" s="219" t="s">
        <v>891</v>
      </c>
      <c r="D88" s="219" t="s">
        <v>890</v>
      </c>
      <c r="E88" s="219" t="s">
        <v>833</v>
      </c>
      <c r="F88" s="218" t="s">
        <v>1086</v>
      </c>
      <c r="G88" s="217" t="s">
        <v>1084</v>
      </c>
      <c r="H88" s="216">
        <v>2018</v>
      </c>
      <c r="I88" s="216">
        <v>40</v>
      </c>
      <c r="J88" s="216">
        <v>0</v>
      </c>
      <c r="K88" s="216">
        <v>0</v>
      </c>
      <c r="L88" s="216">
        <v>0</v>
      </c>
      <c r="M88" s="216">
        <v>0</v>
      </c>
      <c r="N88" s="216">
        <v>0</v>
      </c>
      <c r="O88" s="216">
        <v>0</v>
      </c>
      <c r="P88" s="216">
        <v>0</v>
      </c>
    </row>
    <row r="89" spans="1:16" x14ac:dyDescent="0.2">
      <c r="A89" s="220" t="s">
        <v>889</v>
      </c>
      <c r="B89" s="219" t="s">
        <v>770</v>
      </c>
      <c r="C89" s="219" t="s">
        <v>888</v>
      </c>
      <c r="D89" s="219" t="s">
        <v>887</v>
      </c>
      <c r="E89" s="219" t="s">
        <v>833</v>
      </c>
      <c r="F89" s="217" t="s">
        <v>1090</v>
      </c>
      <c r="G89" s="217" t="s">
        <v>1084</v>
      </c>
      <c r="H89" s="216">
        <v>2018</v>
      </c>
      <c r="I89" s="216">
        <v>13</v>
      </c>
      <c r="J89" s="216">
        <v>0</v>
      </c>
      <c r="K89" s="216">
        <v>0</v>
      </c>
      <c r="L89" s="216">
        <v>0</v>
      </c>
      <c r="M89" s="216">
        <v>0</v>
      </c>
      <c r="N89" s="216">
        <v>0</v>
      </c>
      <c r="O89" s="216">
        <v>0</v>
      </c>
      <c r="P89" s="216">
        <v>0</v>
      </c>
    </row>
    <row r="90" spans="1:16" x14ac:dyDescent="0.2">
      <c r="A90" s="220" t="s">
        <v>883</v>
      </c>
      <c r="B90" s="219" t="s">
        <v>770</v>
      </c>
      <c r="C90" s="219" t="s">
        <v>882</v>
      </c>
      <c r="D90" s="219" t="s">
        <v>881</v>
      </c>
      <c r="E90" s="219" t="s">
        <v>773</v>
      </c>
      <c r="F90" s="218" t="s">
        <v>1085</v>
      </c>
      <c r="G90" s="217" t="s">
        <v>1084</v>
      </c>
      <c r="H90" s="216">
        <v>2018</v>
      </c>
      <c r="I90" s="216">
        <v>64</v>
      </c>
      <c r="J90" s="215">
        <v>149862.69</v>
      </c>
      <c r="K90" s="215">
        <v>1222.57</v>
      </c>
      <c r="L90" s="215">
        <v>148640.12</v>
      </c>
      <c r="M90" s="216">
        <v>0</v>
      </c>
      <c r="N90" s="215">
        <v>148640.12</v>
      </c>
      <c r="O90" s="216">
        <v>0</v>
      </c>
      <c r="P90" s="215">
        <v>148640.12</v>
      </c>
    </row>
    <row r="91" spans="1:16" x14ac:dyDescent="0.2">
      <c r="A91" s="220" t="s">
        <v>880</v>
      </c>
      <c r="B91" s="219" t="s">
        <v>770</v>
      </c>
      <c r="C91" s="219" t="s">
        <v>879</v>
      </c>
      <c r="D91" s="219" t="s">
        <v>878</v>
      </c>
      <c r="E91" s="219" t="s">
        <v>833</v>
      </c>
      <c r="F91" s="218" t="s">
        <v>1096</v>
      </c>
      <c r="G91" s="217" t="s">
        <v>1084</v>
      </c>
      <c r="H91" s="216">
        <v>2018</v>
      </c>
      <c r="I91" s="216">
        <v>10.7</v>
      </c>
      <c r="J91" s="216">
        <v>0</v>
      </c>
      <c r="K91" s="216">
        <v>0</v>
      </c>
      <c r="L91" s="216">
        <v>0</v>
      </c>
      <c r="M91" s="216">
        <v>0</v>
      </c>
      <c r="N91" s="216">
        <v>0</v>
      </c>
      <c r="O91" s="216">
        <v>0</v>
      </c>
      <c r="P91" s="216">
        <v>0</v>
      </c>
    </row>
    <row r="92" spans="1:16" x14ac:dyDescent="0.2">
      <c r="A92" s="220" t="s">
        <v>877</v>
      </c>
      <c r="B92" s="219" t="s">
        <v>770</v>
      </c>
      <c r="C92" s="219" t="s">
        <v>876</v>
      </c>
      <c r="D92" s="219" t="s">
        <v>875</v>
      </c>
      <c r="E92" s="219" t="s">
        <v>773</v>
      </c>
      <c r="F92" s="218" t="s">
        <v>1097</v>
      </c>
      <c r="G92" s="217" t="s">
        <v>1084</v>
      </c>
      <c r="H92" s="216">
        <v>2018</v>
      </c>
      <c r="I92" s="216">
        <v>75</v>
      </c>
      <c r="J92" s="215">
        <v>144016.1</v>
      </c>
      <c r="K92" s="216">
        <v>0</v>
      </c>
      <c r="L92" s="215">
        <v>144016.1</v>
      </c>
      <c r="M92" s="215">
        <v>1083.2</v>
      </c>
      <c r="N92" s="215">
        <v>142932.91</v>
      </c>
      <c r="O92" s="216">
        <v>6</v>
      </c>
      <c r="P92" s="215">
        <v>142926.91</v>
      </c>
    </row>
    <row r="93" spans="1:16" x14ac:dyDescent="0.2">
      <c r="A93" s="220" t="s">
        <v>873</v>
      </c>
      <c r="B93" s="219" t="s">
        <v>770</v>
      </c>
      <c r="C93" s="219" t="s">
        <v>1108</v>
      </c>
      <c r="D93" s="219" t="s">
        <v>448</v>
      </c>
      <c r="E93" s="219" t="s">
        <v>792</v>
      </c>
      <c r="F93" s="218" t="s">
        <v>1096</v>
      </c>
      <c r="G93" s="217" t="s">
        <v>1084</v>
      </c>
      <c r="H93" s="216">
        <v>2018</v>
      </c>
      <c r="I93" s="216">
        <v>4</v>
      </c>
      <c r="J93" s="215">
        <v>82927.12</v>
      </c>
      <c r="K93" s="216">
        <v>0</v>
      </c>
      <c r="L93" s="215">
        <v>82927.12</v>
      </c>
      <c r="M93" s="215">
        <v>3888.66</v>
      </c>
      <c r="N93" s="215">
        <v>82927.12</v>
      </c>
      <c r="O93" s="215">
        <v>81273.58</v>
      </c>
      <c r="P93" s="215">
        <v>5542.2</v>
      </c>
    </row>
    <row r="94" spans="1:16" x14ac:dyDescent="0.2">
      <c r="A94" s="220" t="s">
        <v>873</v>
      </c>
      <c r="B94" s="219" t="s">
        <v>770</v>
      </c>
      <c r="C94" s="219" t="s">
        <v>1108</v>
      </c>
      <c r="D94" s="219" t="s">
        <v>1107</v>
      </c>
      <c r="E94" s="219" t="s">
        <v>792</v>
      </c>
      <c r="F94" s="218" t="s">
        <v>1096</v>
      </c>
      <c r="G94" s="217" t="s">
        <v>1084</v>
      </c>
      <c r="H94" s="216">
        <v>2018</v>
      </c>
      <c r="I94" s="216">
        <v>3.5</v>
      </c>
      <c r="J94" s="215">
        <v>98726.17</v>
      </c>
      <c r="K94" s="216">
        <v>0</v>
      </c>
      <c r="L94" s="215">
        <v>98726.17</v>
      </c>
      <c r="M94" s="215">
        <v>7485.56</v>
      </c>
      <c r="N94" s="215">
        <v>98005.11</v>
      </c>
      <c r="O94" s="215">
        <v>87505.31</v>
      </c>
      <c r="P94" s="215">
        <v>18706.419999999998</v>
      </c>
    </row>
    <row r="95" spans="1:16" x14ac:dyDescent="0.2">
      <c r="A95" s="220" t="s">
        <v>925</v>
      </c>
      <c r="B95" s="219" t="s">
        <v>770</v>
      </c>
      <c r="C95" s="219" t="s">
        <v>924</v>
      </c>
      <c r="D95" s="219" t="s">
        <v>1106</v>
      </c>
      <c r="E95" s="219" t="s">
        <v>253</v>
      </c>
      <c r="F95" s="218" t="s">
        <v>1086</v>
      </c>
      <c r="G95" s="217" t="s">
        <v>1084</v>
      </c>
      <c r="H95" s="216">
        <v>2018</v>
      </c>
      <c r="I95" s="216">
        <v>80</v>
      </c>
      <c r="J95" s="215">
        <v>264602.53999999998</v>
      </c>
      <c r="K95" s="216">
        <v>0</v>
      </c>
      <c r="L95" s="215">
        <v>264602.53999999998</v>
      </c>
      <c r="M95" s="216">
        <v>124.58</v>
      </c>
      <c r="N95" s="215">
        <v>264477.95</v>
      </c>
      <c r="O95" s="216">
        <v>0</v>
      </c>
      <c r="P95" s="215">
        <v>264477.95</v>
      </c>
    </row>
    <row r="96" spans="1:16" x14ac:dyDescent="0.2">
      <c r="A96" s="220" t="s">
        <v>870</v>
      </c>
      <c r="B96" s="219" t="s">
        <v>770</v>
      </c>
      <c r="C96" s="219" t="s">
        <v>869</v>
      </c>
      <c r="D96" s="219" t="s">
        <v>868</v>
      </c>
      <c r="E96" s="219" t="s">
        <v>773</v>
      </c>
      <c r="F96" s="218" t="s">
        <v>1085</v>
      </c>
      <c r="G96" s="217" t="s">
        <v>1084</v>
      </c>
      <c r="H96" s="216">
        <v>2018</v>
      </c>
      <c r="I96" s="216">
        <v>75</v>
      </c>
      <c r="J96" s="215">
        <v>183729.9</v>
      </c>
      <c r="K96" s="215">
        <v>2013.25</v>
      </c>
      <c r="L96" s="215">
        <v>181716.65</v>
      </c>
      <c r="M96" s="215">
        <v>2305.13</v>
      </c>
      <c r="N96" s="215">
        <v>179411.52</v>
      </c>
      <c r="O96" s="216">
        <v>168.92</v>
      </c>
      <c r="P96" s="215">
        <v>176956.14</v>
      </c>
    </row>
    <row r="97" spans="1:17" x14ac:dyDescent="0.2">
      <c r="A97" s="220" t="s">
        <v>867</v>
      </c>
      <c r="B97" s="219" t="s">
        <v>770</v>
      </c>
      <c r="C97" s="219" t="s">
        <v>866</v>
      </c>
      <c r="D97" s="219" t="s">
        <v>1105</v>
      </c>
      <c r="E97" s="219" t="s">
        <v>253</v>
      </c>
      <c r="F97" s="218" t="s">
        <v>1086</v>
      </c>
      <c r="G97" s="217" t="s">
        <v>1084</v>
      </c>
      <c r="H97" s="216">
        <v>2018</v>
      </c>
      <c r="I97" s="216">
        <v>138.6</v>
      </c>
      <c r="J97" s="215">
        <v>323614.55</v>
      </c>
      <c r="K97" s="216">
        <v>0</v>
      </c>
      <c r="L97" s="215">
        <v>323614.55</v>
      </c>
      <c r="M97" s="215">
        <v>1443.78</v>
      </c>
      <c r="N97" s="215">
        <v>323614.55</v>
      </c>
      <c r="O97" s="216">
        <v>0</v>
      </c>
      <c r="P97" s="215">
        <v>316114.06</v>
      </c>
    </row>
    <row r="98" spans="1:17" x14ac:dyDescent="0.2">
      <c r="A98" s="220" t="s">
        <v>864</v>
      </c>
      <c r="B98" s="219" t="s">
        <v>770</v>
      </c>
      <c r="C98" s="219" t="s">
        <v>1104</v>
      </c>
      <c r="D98" s="219" t="s">
        <v>862</v>
      </c>
      <c r="E98" s="219" t="s">
        <v>253</v>
      </c>
      <c r="F98" s="218" t="s">
        <v>1086</v>
      </c>
      <c r="G98" s="217" t="s">
        <v>1084</v>
      </c>
      <c r="H98" s="216">
        <v>2018</v>
      </c>
      <c r="I98" s="216">
        <v>27</v>
      </c>
      <c r="J98" s="215">
        <v>69913.09</v>
      </c>
      <c r="K98" s="216">
        <v>0</v>
      </c>
      <c r="L98" s="215">
        <v>69913.09</v>
      </c>
      <c r="M98" s="216">
        <v>97.68</v>
      </c>
      <c r="N98" s="215">
        <v>69913.09</v>
      </c>
      <c r="O98" s="216">
        <v>0</v>
      </c>
      <c r="P98" s="215">
        <v>69913.09</v>
      </c>
    </row>
    <row r="99" spans="1:17" x14ac:dyDescent="0.2">
      <c r="A99" s="220" t="s">
        <v>861</v>
      </c>
      <c r="B99" s="219" t="s">
        <v>770</v>
      </c>
      <c r="C99" s="219" t="s">
        <v>860</v>
      </c>
      <c r="D99" s="219" t="s">
        <v>860</v>
      </c>
      <c r="E99" s="219" t="s">
        <v>773</v>
      </c>
      <c r="F99" s="218" t="s">
        <v>1103</v>
      </c>
      <c r="G99" s="217" t="s">
        <v>1084</v>
      </c>
      <c r="H99" s="216">
        <v>2018</v>
      </c>
      <c r="I99" s="216">
        <v>7</v>
      </c>
      <c r="J99" s="215">
        <v>11897.79</v>
      </c>
      <c r="K99" s="216">
        <v>0</v>
      </c>
      <c r="L99" s="215">
        <v>11897.8</v>
      </c>
      <c r="M99" s="216">
        <v>0</v>
      </c>
      <c r="N99" s="215">
        <v>11897.8</v>
      </c>
      <c r="O99" s="216">
        <v>0</v>
      </c>
      <c r="P99" s="215">
        <v>11897.8</v>
      </c>
    </row>
    <row r="100" spans="1:17" x14ac:dyDescent="0.2">
      <c r="A100" s="220" t="s">
        <v>859</v>
      </c>
      <c r="B100" s="219" t="s">
        <v>770</v>
      </c>
      <c r="C100" s="219" t="s">
        <v>858</v>
      </c>
      <c r="D100" s="219" t="s">
        <v>857</v>
      </c>
      <c r="E100" s="219" t="s">
        <v>773</v>
      </c>
      <c r="F100" s="218" t="s">
        <v>1085</v>
      </c>
      <c r="G100" s="217" t="s">
        <v>1084</v>
      </c>
      <c r="H100" s="216">
        <v>2018</v>
      </c>
      <c r="I100" s="216">
        <v>48.5</v>
      </c>
      <c r="J100" s="215">
        <v>94719.039999999994</v>
      </c>
      <c r="K100" s="216">
        <v>0</v>
      </c>
      <c r="L100" s="215">
        <v>94430.67</v>
      </c>
      <c r="M100" s="216">
        <v>0</v>
      </c>
      <c r="N100" s="215">
        <v>94430.67</v>
      </c>
      <c r="O100" s="216">
        <v>0</v>
      </c>
      <c r="P100" s="215">
        <v>94430.67</v>
      </c>
    </row>
    <row r="101" spans="1:17" x14ac:dyDescent="0.2">
      <c r="A101" s="220" t="s">
        <v>856</v>
      </c>
      <c r="B101" s="219" t="s">
        <v>770</v>
      </c>
      <c r="C101" s="219" t="s">
        <v>855</v>
      </c>
      <c r="D101" s="219" t="s">
        <v>854</v>
      </c>
      <c r="E101" s="219" t="s">
        <v>773</v>
      </c>
      <c r="F101" s="218" t="s">
        <v>1085</v>
      </c>
      <c r="G101" s="217" t="s">
        <v>1084</v>
      </c>
      <c r="H101" s="216">
        <v>2018</v>
      </c>
      <c r="I101" s="216">
        <v>48.5</v>
      </c>
      <c r="J101" s="215">
        <v>91691.3</v>
      </c>
      <c r="K101" s="216">
        <v>0</v>
      </c>
      <c r="L101" s="215">
        <v>91691.3</v>
      </c>
      <c r="M101" s="216">
        <v>0</v>
      </c>
      <c r="N101" s="215">
        <v>91691.3</v>
      </c>
      <c r="O101" s="216">
        <v>0</v>
      </c>
      <c r="P101" s="215">
        <v>91691.3</v>
      </c>
    </row>
    <row r="102" spans="1:17" x14ac:dyDescent="0.2">
      <c r="A102" s="220" t="s">
        <v>853</v>
      </c>
      <c r="B102" s="219" t="s">
        <v>770</v>
      </c>
      <c r="C102" s="219" t="s">
        <v>852</v>
      </c>
      <c r="D102" s="219" t="s">
        <v>1102</v>
      </c>
      <c r="E102" s="219" t="s">
        <v>253</v>
      </c>
      <c r="F102" s="218" t="s">
        <v>1085</v>
      </c>
      <c r="G102" s="217" t="s">
        <v>1084</v>
      </c>
      <c r="H102" s="216">
        <v>2018</v>
      </c>
      <c r="I102" s="216">
        <v>138</v>
      </c>
      <c r="J102" s="215">
        <v>506322.28</v>
      </c>
      <c r="K102" s="216">
        <v>0</v>
      </c>
      <c r="L102" s="215">
        <v>506322.28</v>
      </c>
      <c r="M102" s="216">
        <v>828.02</v>
      </c>
      <c r="N102" s="215">
        <v>505494.26</v>
      </c>
      <c r="O102" s="216">
        <v>0</v>
      </c>
      <c r="P102" s="215">
        <v>505494.26</v>
      </c>
    </row>
    <row r="103" spans="1:17" x14ac:dyDescent="0.2">
      <c r="A103" s="220" t="s">
        <v>850</v>
      </c>
      <c r="B103" s="219" t="s">
        <v>770</v>
      </c>
      <c r="C103" s="219" t="s">
        <v>849</v>
      </c>
      <c r="D103" s="219" t="s">
        <v>1101</v>
      </c>
      <c r="E103" s="219" t="s">
        <v>253</v>
      </c>
      <c r="F103" s="218" t="s">
        <v>1085</v>
      </c>
      <c r="G103" s="217" t="s">
        <v>1084</v>
      </c>
      <c r="H103" s="216">
        <v>2018</v>
      </c>
      <c r="I103" s="216">
        <v>138.22999999999999</v>
      </c>
      <c r="J103" s="215">
        <v>469272.91</v>
      </c>
      <c r="K103" s="216">
        <v>0</v>
      </c>
      <c r="L103" s="215">
        <v>469272.91</v>
      </c>
      <c r="M103" s="216">
        <v>924.62</v>
      </c>
      <c r="N103" s="215">
        <v>468348.29</v>
      </c>
      <c r="O103" s="216">
        <v>0</v>
      </c>
      <c r="P103" s="215">
        <v>468348.29</v>
      </c>
    </row>
    <row r="104" spans="1:17" x14ac:dyDescent="0.2">
      <c r="A104" s="220" t="s">
        <v>847</v>
      </c>
      <c r="B104" s="219" t="s">
        <v>770</v>
      </c>
      <c r="C104" s="219" t="s">
        <v>846</v>
      </c>
      <c r="D104" s="219" t="s">
        <v>845</v>
      </c>
      <c r="E104" s="219" t="s">
        <v>253</v>
      </c>
      <c r="F104" s="218" t="s">
        <v>1085</v>
      </c>
      <c r="G104" s="217" t="s">
        <v>1084</v>
      </c>
      <c r="H104" s="216">
        <v>2018</v>
      </c>
      <c r="I104" s="216">
        <v>79.05</v>
      </c>
      <c r="J104" s="215">
        <v>283331.46000000002</v>
      </c>
      <c r="K104" s="216">
        <v>10.17</v>
      </c>
      <c r="L104" s="215">
        <v>283321.28999999998</v>
      </c>
      <c r="M104" s="216">
        <v>195.24</v>
      </c>
      <c r="N104" s="215">
        <v>283126.05</v>
      </c>
      <c r="O104" s="216">
        <v>0</v>
      </c>
      <c r="P104" s="215">
        <v>283126.05</v>
      </c>
    </row>
    <row r="105" spans="1:17" x14ac:dyDescent="0.2">
      <c r="A105" s="220" t="s">
        <v>843</v>
      </c>
      <c r="B105" s="219" t="s">
        <v>770</v>
      </c>
      <c r="C105" s="219" t="s">
        <v>842</v>
      </c>
      <c r="D105" s="219" t="s">
        <v>844</v>
      </c>
      <c r="E105" s="219" t="s">
        <v>840</v>
      </c>
      <c r="F105" s="217" t="s">
        <v>1090</v>
      </c>
      <c r="G105" s="217" t="s">
        <v>1084</v>
      </c>
      <c r="H105" s="216">
        <v>2018</v>
      </c>
      <c r="I105" s="216">
        <v>2</v>
      </c>
      <c r="J105" s="215">
        <v>188090.87</v>
      </c>
      <c r="K105" s="215">
        <v>1351.58</v>
      </c>
      <c r="L105" s="215">
        <v>186739.29</v>
      </c>
      <c r="M105" s="215">
        <v>328589.59000000003</v>
      </c>
      <c r="N105" s="216">
        <v>0</v>
      </c>
      <c r="O105" s="215">
        <v>516680.46</v>
      </c>
      <c r="P105" s="216">
        <v>0</v>
      </c>
    </row>
    <row r="106" spans="1:17" x14ac:dyDescent="0.2">
      <c r="A106" s="220" t="s">
        <v>843</v>
      </c>
      <c r="B106" s="219" t="s">
        <v>770</v>
      </c>
      <c r="C106" s="219" t="s">
        <v>842</v>
      </c>
      <c r="D106" s="219" t="s">
        <v>841</v>
      </c>
      <c r="E106" s="219" t="s">
        <v>840</v>
      </c>
      <c r="F106" s="218" t="s">
        <v>1096</v>
      </c>
      <c r="G106" s="217" t="s">
        <v>1084</v>
      </c>
      <c r="H106" s="216">
        <v>2018</v>
      </c>
      <c r="I106" s="216">
        <v>117</v>
      </c>
      <c r="J106" s="215">
        <v>833669.05</v>
      </c>
      <c r="K106" s="216">
        <v>0</v>
      </c>
      <c r="L106" s="215">
        <v>833669.05</v>
      </c>
      <c r="M106" s="215">
        <v>37309.5</v>
      </c>
      <c r="N106" s="215">
        <v>44546.239999999998</v>
      </c>
      <c r="O106" s="215">
        <v>826432.3</v>
      </c>
      <c r="P106" s="215">
        <v>44546.239999999998</v>
      </c>
    </row>
    <row r="107" spans="1:17" x14ac:dyDescent="0.2">
      <c r="A107" s="220" t="s">
        <v>836</v>
      </c>
      <c r="B107" s="219" t="s">
        <v>770</v>
      </c>
      <c r="C107" s="219" t="s">
        <v>835</v>
      </c>
      <c r="D107" s="219" t="s">
        <v>839</v>
      </c>
      <c r="E107" s="219" t="s">
        <v>146</v>
      </c>
      <c r="F107" s="218" t="s">
        <v>1097</v>
      </c>
      <c r="G107" s="217" t="s">
        <v>1084</v>
      </c>
      <c r="H107" s="216">
        <v>2018</v>
      </c>
      <c r="I107" s="216">
        <v>128</v>
      </c>
      <c r="J107" s="215">
        <v>648526.81999999995</v>
      </c>
      <c r="K107" s="216">
        <v>0</v>
      </c>
      <c r="L107" s="215">
        <v>648526.81999999995</v>
      </c>
      <c r="M107" s="216">
        <v>0</v>
      </c>
      <c r="N107" s="215">
        <v>648526.81999999995</v>
      </c>
      <c r="O107" s="215">
        <v>648526.81999999995</v>
      </c>
      <c r="P107" s="216">
        <v>0</v>
      </c>
      <c r="Q107" s="210">
        <f>N107/(I107*8760)</f>
        <v>0.57838079694634703</v>
      </c>
    </row>
    <row r="108" spans="1:17" x14ac:dyDescent="0.2">
      <c r="A108" s="220" t="s">
        <v>836</v>
      </c>
      <c r="B108" s="219" t="s">
        <v>770</v>
      </c>
      <c r="C108" s="219" t="s">
        <v>835</v>
      </c>
      <c r="D108" s="219" t="s">
        <v>838</v>
      </c>
      <c r="E108" s="219" t="s">
        <v>146</v>
      </c>
      <c r="F108" s="218" t="s">
        <v>1096</v>
      </c>
      <c r="G108" s="217" t="s">
        <v>1084</v>
      </c>
      <c r="H108" s="216">
        <v>2018</v>
      </c>
      <c r="I108" s="216">
        <v>600</v>
      </c>
      <c r="J108" s="215">
        <v>3629277.15</v>
      </c>
      <c r="K108" s="216">
        <v>0</v>
      </c>
      <c r="L108" s="215">
        <v>3629277.15</v>
      </c>
      <c r="M108" s="216">
        <v>0</v>
      </c>
      <c r="N108" s="215">
        <v>3629277.15</v>
      </c>
      <c r="O108" s="215">
        <v>3629277.15</v>
      </c>
      <c r="P108" s="216">
        <v>0</v>
      </c>
      <c r="Q108" s="210">
        <f>N108/(I108*8760)</f>
        <v>0.69050174086757987</v>
      </c>
    </row>
    <row r="109" spans="1:17" x14ac:dyDescent="0.2">
      <c r="A109" s="220" t="s">
        <v>836</v>
      </c>
      <c r="B109" s="219" t="s">
        <v>770</v>
      </c>
      <c r="C109" s="219" t="s">
        <v>835</v>
      </c>
      <c r="D109" s="219" t="s">
        <v>1100</v>
      </c>
      <c r="E109" s="219" t="s">
        <v>833</v>
      </c>
      <c r="F109" s="218" t="s">
        <v>1097</v>
      </c>
      <c r="G109" s="217" t="s">
        <v>1084</v>
      </c>
      <c r="H109" s="216">
        <v>2018</v>
      </c>
      <c r="I109" s="216">
        <v>175</v>
      </c>
      <c r="J109" s="215">
        <v>944996.1</v>
      </c>
      <c r="K109" s="215">
        <v>22225.8</v>
      </c>
      <c r="L109" s="215">
        <v>922770.3</v>
      </c>
      <c r="M109" s="216">
        <v>0</v>
      </c>
      <c r="N109" s="215">
        <v>922770.3</v>
      </c>
      <c r="O109" s="215">
        <v>922770.3</v>
      </c>
      <c r="P109" s="216">
        <v>0</v>
      </c>
      <c r="Q109" s="210">
        <f>N109/(I109*8760)</f>
        <v>0.60193757338551868</v>
      </c>
    </row>
    <row r="110" spans="1:17" x14ac:dyDescent="0.2">
      <c r="A110" s="220" t="s">
        <v>836</v>
      </c>
      <c r="B110" s="219" t="s">
        <v>770</v>
      </c>
      <c r="C110" s="219" t="s">
        <v>835</v>
      </c>
      <c r="D110" s="219" t="s">
        <v>834</v>
      </c>
      <c r="E110" s="219" t="s">
        <v>833</v>
      </c>
      <c r="F110" s="218" t="s">
        <v>1096</v>
      </c>
      <c r="G110" s="217" t="s">
        <v>1084</v>
      </c>
      <c r="H110" s="216">
        <v>2018</v>
      </c>
      <c r="I110" s="216">
        <v>252</v>
      </c>
      <c r="J110" s="215">
        <v>1725873.98</v>
      </c>
      <c r="K110" s="215">
        <v>20601.2</v>
      </c>
      <c r="L110" s="215">
        <v>1705272.78</v>
      </c>
      <c r="M110" s="216">
        <v>0</v>
      </c>
      <c r="N110" s="215">
        <v>1705272.78</v>
      </c>
      <c r="O110" s="215">
        <v>1705272.78</v>
      </c>
      <c r="P110" s="216">
        <v>0</v>
      </c>
      <c r="Q110" s="210">
        <f>N110/(I110*8760)</f>
        <v>0.77248350184822789</v>
      </c>
    </row>
    <row r="111" spans="1:17" x14ac:dyDescent="0.2">
      <c r="A111" s="220" t="s">
        <v>832</v>
      </c>
      <c r="B111" s="219" t="s">
        <v>770</v>
      </c>
      <c r="C111" s="219" t="s">
        <v>1099</v>
      </c>
      <c r="D111" s="219" t="s">
        <v>1098</v>
      </c>
      <c r="E111" s="219" t="s">
        <v>773</v>
      </c>
      <c r="F111" s="218" t="s">
        <v>1085</v>
      </c>
      <c r="G111" s="217" t="s">
        <v>1084</v>
      </c>
      <c r="H111" s="216">
        <v>2018</v>
      </c>
      <c r="I111" s="216">
        <v>75</v>
      </c>
      <c r="J111" s="215">
        <v>146605.71</v>
      </c>
      <c r="K111" s="216">
        <v>824.47</v>
      </c>
      <c r="L111" s="215">
        <v>145781.24</v>
      </c>
      <c r="M111" s="216">
        <v>898.47</v>
      </c>
      <c r="N111" s="215">
        <v>146605.71</v>
      </c>
      <c r="O111" s="216">
        <v>898.47</v>
      </c>
      <c r="P111" s="215">
        <v>146605.71</v>
      </c>
    </row>
    <row r="112" spans="1:17" x14ac:dyDescent="0.2">
      <c r="A112" s="220" t="s">
        <v>829</v>
      </c>
      <c r="B112" s="219" t="s">
        <v>770</v>
      </c>
      <c r="C112" s="219" t="s">
        <v>828</v>
      </c>
      <c r="D112" s="219" t="s">
        <v>827</v>
      </c>
      <c r="E112" s="219" t="s">
        <v>773</v>
      </c>
      <c r="F112" s="218" t="s">
        <v>1085</v>
      </c>
      <c r="G112" s="217" t="s">
        <v>1084</v>
      </c>
      <c r="H112" s="216">
        <v>2018</v>
      </c>
      <c r="I112" s="216">
        <v>10</v>
      </c>
      <c r="J112" s="215">
        <v>21483.49</v>
      </c>
      <c r="K112" s="216">
        <v>0</v>
      </c>
      <c r="L112" s="215">
        <v>21483.49</v>
      </c>
      <c r="M112" s="216">
        <v>79.31</v>
      </c>
      <c r="N112" s="215">
        <v>21483.49</v>
      </c>
      <c r="O112" s="216">
        <v>24.55</v>
      </c>
      <c r="P112" s="215">
        <v>21483.49</v>
      </c>
    </row>
    <row r="113" spans="1:16" x14ac:dyDescent="0.2">
      <c r="A113" s="220" t="s">
        <v>826</v>
      </c>
      <c r="B113" s="219" t="s">
        <v>770</v>
      </c>
      <c r="C113" s="219" t="s">
        <v>825</v>
      </c>
      <c r="D113" s="219" t="s">
        <v>824</v>
      </c>
      <c r="E113" s="219" t="s">
        <v>773</v>
      </c>
      <c r="F113" s="218" t="s">
        <v>1085</v>
      </c>
      <c r="G113" s="217" t="s">
        <v>1084</v>
      </c>
      <c r="H113" s="216">
        <v>2018</v>
      </c>
      <c r="I113" s="216">
        <v>36.799999999999997</v>
      </c>
      <c r="J113" s="215">
        <v>88364.77</v>
      </c>
      <c r="K113" s="216">
        <v>898.95</v>
      </c>
      <c r="L113" s="215">
        <v>87465.82</v>
      </c>
      <c r="M113" s="216">
        <v>326.31</v>
      </c>
      <c r="N113" s="215">
        <v>88364.77</v>
      </c>
      <c r="O113" s="216">
        <v>326.31</v>
      </c>
      <c r="P113" s="215">
        <v>88364.77</v>
      </c>
    </row>
    <row r="114" spans="1:16" x14ac:dyDescent="0.2">
      <c r="A114" s="220" t="s">
        <v>823</v>
      </c>
      <c r="B114" s="219" t="s">
        <v>770</v>
      </c>
      <c r="C114" s="219" t="s">
        <v>822</v>
      </c>
      <c r="D114" s="219" t="s">
        <v>821</v>
      </c>
      <c r="E114" s="219" t="s">
        <v>773</v>
      </c>
      <c r="F114" s="218" t="s">
        <v>1085</v>
      </c>
      <c r="G114" s="217" t="s">
        <v>1084</v>
      </c>
      <c r="H114" s="216">
        <v>2018</v>
      </c>
      <c r="I114" s="216">
        <v>69.599999999999994</v>
      </c>
      <c r="J114" s="215">
        <v>158012.78</v>
      </c>
      <c r="K114" s="216">
        <v>66.44</v>
      </c>
      <c r="L114" s="215">
        <v>157946.35</v>
      </c>
      <c r="M114" s="216">
        <v>577.61</v>
      </c>
      <c r="N114" s="215">
        <v>158012.78</v>
      </c>
      <c r="O114" s="216">
        <v>577.61</v>
      </c>
      <c r="P114" s="215">
        <v>158012.78</v>
      </c>
    </row>
    <row r="115" spans="1:16" x14ac:dyDescent="0.2">
      <c r="A115" s="220" t="s">
        <v>820</v>
      </c>
      <c r="B115" s="219" t="s">
        <v>770</v>
      </c>
      <c r="C115" s="219" t="s">
        <v>819</v>
      </c>
      <c r="D115" s="219" t="s">
        <v>818</v>
      </c>
      <c r="E115" s="219" t="s">
        <v>773</v>
      </c>
      <c r="F115" s="218" t="s">
        <v>1086</v>
      </c>
      <c r="G115" s="217" t="s">
        <v>1084</v>
      </c>
      <c r="H115" s="216">
        <v>2018</v>
      </c>
      <c r="I115" s="216">
        <v>5</v>
      </c>
      <c r="J115" s="215">
        <v>10161.59</v>
      </c>
      <c r="K115" s="216">
        <v>0</v>
      </c>
      <c r="L115" s="215">
        <v>10161.59</v>
      </c>
      <c r="M115" s="216">
        <v>36.229999999999997</v>
      </c>
      <c r="N115" s="215">
        <v>10161.59</v>
      </c>
      <c r="O115" s="216">
        <v>36.229999999999997</v>
      </c>
      <c r="P115" s="215">
        <v>10161.59</v>
      </c>
    </row>
    <row r="116" spans="1:16" x14ac:dyDescent="0.2">
      <c r="A116" s="220" t="s">
        <v>817</v>
      </c>
      <c r="B116" s="219" t="s">
        <v>770</v>
      </c>
      <c r="C116" s="219" t="s">
        <v>816</v>
      </c>
      <c r="D116" s="219" t="s">
        <v>815</v>
      </c>
      <c r="E116" s="219" t="s">
        <v>773</v>
      </c>
      <c r="F116" s="218" t="s">
        <v>1085</v>
      </c>
      <c r="G116" s="217" t="s">
        <v>1084</v>
      </c>
      <c r="H116" s="216">
        <v>2018</v>
      </c>
      <c r="I116" s="216">
        <v>75</v>
      </c>
      <c r="J116" s="215">
        <v>152234.95000000001</v>
      </c>
      <c r="K116" s="216">
        <v>0</v>
      </c>
      <c r="L116" s="215">
        <v>152234.95000000001</v>
      </c>
      <c r="M116" s="216">
        <v>0</v>
      </c>
      <c r="N116" s="215">
        <v>152234.95000000001</v>
      </c>
      <c r="O116" s="216">
        <v>0</v>
      </c>
      <c r="P116" s="215">
        <v>152234.95000000001</v>
      </c>
    </row>
    <row r="117" spans="1:16" x14ac:dyDescent="0.2">
      <c r="A117" s="220" t="s">
        <v>814</v>
      </c>
      <c r="B117" s="219" t="s">
        <v>770</v>
      </c>
      <c r="C117" s="219" t="s">
        <v>813</v>
      </c>
      <c r="D117" s="219" t="s">
        <v>812</v>
      </c>
      <c r="E117" s="219" t="s">
        <v>773</v>
      </c>
      <c r="F117" s="218" t="s">
        <v>1085</v>
      </c>
      <c r="G117" s="217" t="s">
        <v>1084</v>
      </c>
      <c r="H117" s="216">
        <v>2018</v>
      </c>
      <c r="I117" s="216">
        <v>75</v>
      </c>
      <c r="J117" s="215">
        <v>152234.95000000001</v>
      </c>
      <c r="K117" s="216">
        <v>0</v>
      </c>
      <c r="L117" s="215">
        <v>152234.95000000001</v>
      </c>
      <c r="M117" s="216">
        <v>0</v>
      </c>
      <c r="N117" s="215">
        <v>152234.95000000001</v>
      </c>
      <c r="O117" s="216">
        <v>0</v>
      </c>
      <c r="P117" s="215">
        <v>152234.95000000001</v>
      </c>
    </row>
    <row r="118" spans="1:16" x14ac:dyDescent="0.2">
      <c r="A118" s="220" t="s">
        <v>811</v>
      </c>
      <c r="B118" s="219" t="s">
        <v>770</v>
      </c>
      <c r="C118" s="219" t="s">
        <v>810</v>
      </c>
      <c r="D118" s="219" t="s">
        <v>810</v>
      </c>
      <c r="E118" s="219" t="s">
        <v>802</v>
      </c>
      <c r="F118" s="218" t="s">
        <v>1097</v>
      </c>
      <c r="G118" s="217" t="s">
        <v>1084</v>
      </c>
      <c r="H118" s="216">
        <v>2018</v>
      </c>
      <c r="I118" s="216">
        <v>4.3099999999999996</v>
      </c>
      <c r="J118" s="215">
        <v>31698.2</v>
      </c>
      <c r="K118" s="216">
        <v>0</v>
      </c>
      <c r="L118" s="215">
        <v>31698.2</v>
      </c>
      <c r="M118" s="216">
        <v>132.18</v>
      </c>
      <c r="N118" s="215">
        <v>31566.02</v>
      </c>
      <c r="O118" s="216">
        <v>6</v>
      </c>
      <c r="P118" s="215">
        <v>31560.02</v>
      </c>
    </row>
    <row r="119" spans="1:16" x14ac:dyDescent="0.2">
      <c r="A119" s="220" t="s">
        <v>809</v>
      </c>
      <c r="B119" s="219" t="s">
        <v>770</v>
      </c>
      <c r="C119" s="219" t="s">
        <v>808</v>
      </c>
      <c r="D119" s="219" t="s">
        <v>807</v>
      </c>
      <c r="E119" s="219" t="s">
        <v>773</v>
      </c>
      <c r="F119" s="218" t="s">
        <v>1085</v>
      </c>
      <c r="G119" s="217" t="s">
        <v>1084</v>
      </c>
      <c r="H119" s="216">
        <v>2018</v>
      </c>
      <c r="I119" s="216">
        <v>8.9</v>
      </c>
      <c r="J119" s="215">
        <v>18827.2</v>
      </c>
      <c r="K119" s="216">
        <v>0</v>
      </c>
      <c r="L119" s="215">
        <v>18827.2</v>
      </c>
      <c r="M119" s="216">
        <v>117.22</v>
      </c>
      <c r="N119" s="215">
        <v>18709.98</v>
      </c>
      <c r="O119" s="216">
        <v>0</v>
      </c>
      <c r="P119" s="215">
        <v>18709.98</v>
      </c>
    </row>
    <row r="120" spans="1:16" x14ac:dyDescent="0.2">
      <c r="A120" s="220" t="s">
        <v>806</v>
      </c>
      <c r="B120" s="219" t="s">
        <v>804</v>
      </c>
      <c r="C120" s="219" t="s">
        <v>805</v>
      </c>
      <c r="D120" s="219" t="s">
        <v>803</v>
      </c>
      <c r="E120" s="219" t="s">
        <v>802</v>
      </c>
      <c r="F120" s="218" t="s">
        <v>1096</v>
      </c>
      <c r="G120" s="217" t="s">
        <v>1084</v>
      </c>
      <c r="H120" s="216">
        <v>2018</v>
      </c>
      <c r="I120" s="216">
        <v>3.35</v>
      </c>
      <c r="J120" s="216">
        <v>0</v>
      </c>
      <c r="K120" s="216">
        <v>0</v>
      </c>
      <c r="L120" s="216">
        <v>0</v>
      </c>
      <c r="M120" s="216">
        <v>0</v>
      </c>
      <c r="N120" s="216">
        <v>0</v>
      </c>
      <c r="O120" s="216">
        <v>0</v>
      </c>
      <c r="P120" s="216">
        <v>0</v>
      </c>
    </row>
    <row r="121" spans="1:16" x14ac:dyDescent="0.2">
      <c r="A121" s="220" t="s">
        <v>801</v>
      </c>
      <c r="B121" s="219" t="s">
        <v>770</v>
      </c>
      <c r="C121" s="219" t="s">
        <v>800</v>
      </c>
      <c r="D121" s="219" t="s">
        <v>799</v>
      </c>
      <c r="E121" s="219" t="s">
        <v>773</v>
      </c>
      <c r="F121" s="218" t="s">
        <v>1095</v>
      </c>
      <c r="G121" s="217" t="s">
        <v>1084</v>
      </c>
      <c r="H121" s="216">
        <v>2018</v>
      </c>
      <c r="I121" s="216">
        <v>60</v>
      </c>
      <c r="J121" s="215">
        <v>113944.17</v>
      </c>
      <c r="K121" s="216">
        <v>0</v>
      </c>
      <c r="L121" s="215">
        <v>113944.17</v>
      </c>
      <c r="M121" s="215">
        <v>1005.16</v>
      </c>
      <c r="N121" s="215">
        <v>112939.01</v>
      </c>
      <c r="O121" s="216">
        <v>0</v>
      </c>
      <c r="P121" s="215">
        <v>112939.01</v>
      </c>
    </row>
    <row r="122" spans="1:16" x14ac:dyDescent="0.2">
      <c r="A122" s="220" t="s">
        <v>795</v>
      </c>
      <c r="B122" s="219" t="s">
        <v>770</v>
      </c>
      <c r="C122" s="219" t="s">
        <v>794</v>
      </c>
      <c r="D122" s="219" t="s">
        <v>1094</v>
      </c>
      <c r="E122" s="219" t="s">
        <v>792</v>
      </c>
      <c r="F122" s="217" t="s">
        <v>1090</v>
      </c>
      <c r="G122" s="217" t="s">
        <v>1084</v>
      </c>
      <c r="H122" s="216">
        <v>2018</v>
      </c>
      <c r="I122" s="216">
        <v>12</v>
      </c>
      <c r="J122" s="215">
        <v>31290</v>
      </c>
      <c r="K122" s="216">
        <v>0</v>
      </c>
      <c r="L122" s="215">
        <v>31290</v>
      </c>
      <c r="M122" s="215">
        <v>7839.94</v>
      </c>
      <c r="N122" s="216">
        <v>0</v>
      </c>
      <c r="O122" s="215">
        <v>37023.1</v>
      </c>
      <c r="P122" s="215">
        <v>2106.85</v>
      </c>
    </row>
    <row r="123" spans="1:16" x14ac:dyDescent="0.2">
      <c r="A123" s="220" t="s">
        <v>795</v>
      </c>
      <c r="B123" s="219" t="s">
        <v>770</v>
      </c>
      <c r="C123" s="219" t="s">
        <v>794</v>
      </c>
      <c r="D123" s="219" t="s">
        <v>1093</v>
      </c>
      <c r="E123" s="219" t="s">
        <v>792</v>
      </c>
      <c r="F123" s="217" t="s">
        <v>1090</v>
      </c>
      <c r="G123" s="217" t="s">
        <v>1084</v>
      </c>
      <c r="H123" s="216">
        <v>2018</v>
      </c>
      <c r="I123" s="216">
        <v>12</v>
      </c>
      <c r="J123" s="215">
        <v>19280</v>
      </c>
      <c r="K123" s="216">
        <v>0</v>
      </c>
      <c r="L123" s="215">
        <v>19280</v>
      </c>
      <c r="M123" s="215">
        <v>4689.32</v>
      </c>
      <c r="N123" s="216">
        <v>0</v>
      </c>
      <c r="O123" s="215">
        <v>23969.32</v>
      </c>
      <c r="P123" s="216">
        <v>0</v>
      </c>
    </row>
    <row r="124" spans="1:16" x14ac:dyDescent="0.2">
      <c r="A124" s="220" t="s">
        <v>795</v>
      </c>
      <c r="B124" s="219" t="s">
        <v>770</v>
      </c>
      <c r="C124" s="219" t="s">
        <v>794</v>
      </c>
      <c r="D124" s="219" t="s">
        <v>1092</v>
      </c>
      <c r="E124" s="219" t="s">
        <v>792</v>
      </c>
      <c r="F124" s="217" t="s">
        <v>1090</v>
      </c>
      <c r="G124" s="217" t="s">
        <v>1084</v>
      </c>
      <c r="H124" s="216">
        <v>2018</v>
      </c>
      <c r="I124" s="216">
        <v>32</v>
      </c>
      <c r="J124" s="215">
        <v>86900</v>
      </c>
      <c r="K124" s="216">
        <v>0</v>
      </c>
      <c r="L124" s="215">
        <v>86900</v>
      </c>
      <c r="M124" s="215">
        <v>6265.43</v>
      </c>
      <c r="N124" s="216">
        <v>0</v>
      </c>
      <c r="O124" s="215">
        <v>69981.52</v>
      </c>
      <c r="P124" s="215">
        <v>23183.91</v>
      </c>
    </row>
    <row r="125" spans="1:16" x14ac:dyDescent="0.2">
      <c r="A125" s="220" t="s">
        <v>795</v>
      </c>
      <c r="B125" s="219" t="s">
        <v>770</v>
      </c>
      <c r="C125" s="219" t="s">
        <v>794</v>
      </c>
      <c r="D125" s="219" t="s">
        <v>1091</v>
      </c>
      <c r="E125" s="219" t="s">
        <v>792</v>
      </c>
      <c r="F125" s="217" t="s">
        <v>1090</v>
      </c>
      <c r="G125" s="217" t="s">
        <v>1084</v>
      </c>
      <c r="H125" s="216">
        <v>2018</v>
      </c>
      <c r="I125" s="216">
        <v>22.5</v>
      </c>
      <c r="J125" s="215">
        <v>34100.92</v>
      </c>
      <c r="K125" s="216">
        <v>0</v>
      </c>
      <c r="L125" s="215">
        <v>34100.92</v>
      </c>
      <c r="M125" s="215">
        <v>10237.030000000001</v>
      </c>
      <c r="N125" s="216">
        <v>0</v>
      </c>
      <c r="O125" s="215">
        <v>41364.949999999997</v>
      </c>
      <c r="P125" s="215">
        <v>2973</v>
      </c>
    </row>
    <row r="126" spans="1:16" x14ac:dyDescent="0.2">
      <c r="A126" s="220" t="s">
        <v>791</v>
      </c>
      <c r="B126" s="219" t="s">
        <v>770</v>
      </c>
      <c r="C126" s="219" t="s">
        <v>790</v>
      </c>
      <c r="D126" s="219" t="s">
        <v>789</v>
      </c>
      <c r="E126" s="219" t="s">
        <v>253</v>
      </c>
      <c r="F126" s="218" t="s">
        <v>1086</v>
      </c>
      <c r="G126" s="217" t="s">
        <v>1084</v>
      </c>
      <c r="H126" s="216">
        <v>2018</v>
      </c>
      <c r="I126" s="216">
        <v>94.8</v>
      </c>
      <c r="J126" s="215">
        <v>320922.76</v>
      </c>
      <c r="K126" s="216">
        <v>0</v>
      </c>
      <c r="L126" s="215">
        <v>320922.76</v>
      </c>
      <c r="M126" s="216">
        <v>655.86</v>
      </c>
      <c r="N126" s="215">
        <v>320266.90000000002</v>
      </c>
      <c r="O126" s="216">
        <v>655.19000000000005</v>
      </c>
      <c r="P126" s="215">
        <v>317489.24</v>
      </c>
    </row>
    <row r="127" spans="1:16" x14ac:dyDescent="0.2">
      <c r="A127" s="220" t="s">
        <v>788</v>
      </c>
      <c r="B127" s="219" t="s">
        <v>770</v>
      </c>
      <c r="C127" s="219" t="s">
        <v>787</v>
      </c>
      <c r="D127" s="219" t="s">
        <v>786</v>
      </c>
      <c r="E127" s="219" t="s">
        <v>131</v>
      </c>
      <c r="F127" s="217" t="s">
        <v>1090</v>
      </c>
      <c r="G127" s="217" t="s">
        <v>1084</v>
      </c>
      <c r="H127" s="216">
        <v>2018</v>
      </c>
      <c r="I127" s="216">
        <v>5</v>
      </c>
      <c r="J127" s="215">
        <v>53811.21</v>
      </c>
      <c r="K127" s="216">
        <v>0</v>
      </c>
      <c r="L127" s="215">
        <v>53811.21</v>
      </c>
      <c r="M127" s="215">
        <v>2675.43</v>
      </c>
      <c r="N127" s="216">
        <v>0</v>
      </c>
      <c r="O127" s="215">
        <v>47771.47</v>
      </c>
      <c r="P127" s="215">
        <v>8715.17</v>
      </c>
    </row>
    <row r="128" spans="1:16" x14ac:dyDescent="0.2">
      <c r="A128" s="220" t="s">
        <v>785</v>
      </c>
      <c r="B128" s="219" t="s">
        <v>770</v>
      </c>
      <c r="C128" s="219" t="s">
        <v>784</v>
      </c>
      <c r="D128" s="219" t="s">
        <v>1089</v>
      </c>
      <c r="E128" s="219" t="s">
        <v>253</v>
      </c>
      <c r="F128" s="218" t="s">
        <v>1088</v>
      </c>
      <c r="G128" s="217" t="s">
        <v>1084</v>
      </c>
      <c r="H128" s="216">
        <v>2018</v>
      </c>
      <c r="I128" s="216">
        <v>65.400000000000006</v>
      </c>
      <c r="J128" s="215">
        <v>171040.85</v>
      </c>
      <c r="K128" s="216">
        <v>0</v>
      </c>
      <c r="L128" s="215">
        <v>171040.85</v>
      </c>
      <c r="M128" s="216">
        <v>607.94000000000005</v>
      </c>
      <c r="N128" s="215">
        <v>171040.85</v>
      </c>
      <c r="O128" s="216">
        <v>72</v>
      </c>
      <c r="P128" s="215">
        <v>168900.45</v>
      </c>
    </row>
    <row r="129" spans="1:16" x14ac:dyDescent="0.2">
      <c r="A129" s="220" t="s">
        <v>782</v>
      </c>
      <c r="B129" s="219" t="s">
        <v>770</v>
      </c>
      <c r="C129" s="219" t="s">
        <v>781</v>
      </c>
      <c r="D129" s="219" t="s">
        <v>780</v>
      </c>
      <c r="E129" s="219" t="s">
        <v>773</v>
      </c>
      <c r="F129" s="218" t="s">
        <v>1088</v>
      </c>
      <c r="G129" s="217" t="s">
        <v>1084</v>
      </c>
      <c r="H129" s="216">
        <v>2018</v>
      </c>
      <c r="I129" s="216">
        <v>8.82</v>
      </c>
      <c r="J129" s="215">
        <v>18709.2</v>
      </c>
      <c r="K129" s="216">
        <v>97.21</v>
      </c>
      <c r="L129" s="215">
        <v>18806.41</v>
      </c>
      <c r="M129" s="216">
        <v>0</v>
      </c>
      <c r="N129" s="215">
        <v>18709.2</v>
      </c>
      <c r="O129" s="216">
        <v>0</v>
      </c>
      <c r="P129" s="215">
        <v>18709.2</v>
      </c>
    </row>
    <row r="130" spans="1:16" x14ac:dyDescent="0.2">
      <c r="A130" s="220" t="s">
        <v>779</v>
      </c>
      <c r="B130" s="219" t="s">
        <v>770</v>
      </c>
      <c r="C130" s="219" t="s">
        <v>778</v>
      </c>
      <c r="D130" s="219" t="s">
        <v>1087</v>
      </c>
      <c r="E130" s="219" t="s">
        <v>253</v>
      </c>
      <c r="F130" s="218" t="s">
        <v>1086</v>
      </c>
      <c r="G130" s="217" t="s">
        <v>1084</v>
      </c>
      <c r="H130" s="216">
        <v>2018</v>
      </c>
      <c r="I130" s="216">
        <v>23.4</v>
      </c>
      <c r="J130" s="215">
        <v>92581.04</v>
      </c>
      <c r="K130" s="216">
        <v>0</v>
      </c>
      <c r="L130" s="215">
        <v>92581.04</v>
      </c>
      <c r="M130" s="216">
        <v>103.1</v>
      </c>
      <c r="N130" s="215">
        <v>92477.95</v>
      </c>
      <c r="O130" s="216">
        <v>0</v>
      </c>
      <c r="P130" s="215">
        <v>92477.95</v>
      </c>
    </row>
    <row r="131" spans="1:16" x14ac:dyDescent="0.2">
      <c r="A131" s="220" t="s">
        <v>776</v>
      </c>
      <c r="B131" s="219" t="s">
        <v>770</v>
      </c>
      <c r="C131" s="219" t="s">
        <v>775</v>
      </c>
      <c r="D131" s="219" t="s">
        <v>774</v>
      </c>
      <c r="E131" s="219" t="s">
        <v>773</v>
      </c>
      <c r="F131" s="218" t="s">
        <v>1085</v>
      </c>
      <c r="G131" s="217" t="s">
        <v>1084</v>
      </c>
      <c r="H131" s="216">
        <v>2018</v>
      </c>
      <c r="I131" s="216">
        <v>74</v>
      </c>
      <c r="J131" s="215">
        <v>205329.77</v>
      </c>
      <c r="K131" s="216">
        <v>0</v>
      </c>
      <c r="L131" s="215">
        <v>205329.77</v>
      </c>
      <c r="M131" s="215">
        <v>1374.3</v>
      </c>
      <c r="N131" s="215">
        <v>205329.77</v>
      </c>
      <c r="O131" s="215">
        <v>1374.3</v>
      </c>
      <c r="P131" s="215">
        <v>205329.77</v>
      </c>
    </row>
    <row r="132" spans="1:16" x14ac:dyDescent="0.2">
      <c r="A132" s="220" t="s">
        <v>772</v>
      </c>
      <c r="B132" s="219" t="s">
        <v>770</v>
      </c>
      <c r="C132" s="219" t="s">
        <v>771</v>
      </c>
      <c r="D132" s="219" t="s">
        <v>769</v>
      </c>
      <c r="E132" s="219" t="s">
        <v>768</v>
      </c>
      <c r="F132" s="218" t="s">
        <v>1085</v>
      </c>
      <c r="G132" s="217" t="s">
        <v>1084</v>
      </c>
      <c r="H132" s="216">
        <v>2018</v>
      </c>
      <c r="I132" s="216">
        <v>100</v>
      </c>
      <c r="J132" s="215">
        <v>417924.36</v>
      </c>
      <c r="K132" s="215">
        <v>44146.02</v>
      </c>
      <c r="L132" s="215">
        <v>417924.36</v>
      </c>
      <c r="M132" s="215">
        <v>8606.0300000000007</v>
      </c>
      <c r="N132" s="215">
        <v>373778.34</v>
      </c>
      <c r="O132" s="215">
        <v>44146.02</v>
      </c>
      <c r="P132" s="215">
        <v>373778.34</v>
      </c>
    </row>
    <row r="133" spans="1:16" ht="15" customHeight="1" x14ac:dyDescent="0.2">
      <c r="K133" s="208">
        <f>K109/J109</f>
        <v>2.3519462143812023E-2</v>
      </c>
    </row>
    <row r="134" spans="1:16" ht="15" customHeight="1" x14ac:dyDescent="0.2">
      <c r="K134" s="208">
        <f>K110/J110</f>
        <v>1.193667685980178E-2</v>
      </c>
    </row>
    <row r="135" spans="1:16" ht="15.75" x14ac:dyDescent="0.25">
      <c r="J135" s="212" t="s">
        <v>1083</v>
      </c>
      <c r="K135" s="212" t="s">
        <v>1082</v>
      </c>
      <c r="L135" s="212" t="s">
        <v>164</v>
      </c>
      <c r="M135" s="208" t="s">
        <v>765</v>
      </c>
      <c r="N135" s="208" t="s">
        <v>159</v>
      </c>
      <c r="O135" s="212" t="s">
        <v>146</v>
      </c>
      <c r="P135" s="212" t="s">
        <v>833</v>
      </c>
    </row>
    <row r="136" spans="1:16" ht="15.75" x14ac:dyDescent="0.25">
      <c r="K136" s="212" t="s">
        <v>127</v>
      </c>
      <c r="O136" s="212" t="s">
        <v>144</v>
      </c>
      <c r="P136" s="212" t="s">
        <v>144</v>
      </c>
    </row>
    <row r="137" spans="1:16" ht="15.75" x14ac:dyDescent="0.25">
      <c r="I137" s="209">
        <f>(K137+K139)*3.6</f>
        <v>16387370.82</v>
      </c>
      <c r="J137" s="212" t="s">
        <v>1081</v>
      </c>
      <c r="K137" s="209">
        <f>O108</f>
        <v>3629277.15</v>
      </c>
      <c r="L137" s="211">
        <v>0.28999999999999998</v>
      </c>
      <c r="M137" s="208">
        <f>I108</f>
        <v>600</v>
      </c>
      <c r="N137" s="210">
        <f>K137/(M137*8760)</f>
        <v>0.69050174086757987</v>
      </c>
      <c r="O137" s="209">
        <f>K137*3.6/L137/1000</f>
        <v>45053.095655172416</v>
      </c>
    </row>
    <row r="138" spans="1:16" ht="15.75" x14ac:dyDescent="0.25">
      <c r="J138" s="212" t="s">
        <v>1080</v>
      </c>
      <c r="K138" s="209">
        <f>O107</f>
        <v>648526.81999999995</v>
      </c>
      <c r="L138" s="211">
        <v>0.28999999999999998</v>
      </c>
      <c r="M138" s="208">
        <f>I107</f>
        <v>128</v>
      </c>
      <c r="N138" s="210">
        <f>K138/(M138*8760)</f>
        <v>0.57838079694634703</v>
      </c>
      <c r="O138" s="209">
        <f>K138*3.6/L138/1000</f>
        <v>8050.67776551724</v>
      </c>
    </row>
    <row r="139" spans="1:16" ht="15.75" x14ac:dyDescent="0.25">
      <c r="J139" s="212" t="s">
        <v>1079</v>
      </c>
      <c r="K139" s="209">
        <f>N109</f>
        <v>922770.3</v>
      </c>
      <c r="L139" s="211">
        <v>0.45</v>
      </c>
      <c r="P139" s="209">
        <f>K139*3.6/L139/1000</f>
        <v>7382.1624000000002</v>
      </c>
    </row>
    <row r="140" spans="1:16" ht="15.75" x14ac:dyDescent="0.25">
      <c r="J140" s="212" t="s">
        <v>1078</v>
      </c>
      <c r="K140" s="209">
        <f>N110</f>
        <v>1705272.78</v>
      </c>
      <c r="L140" s="211">
        <v>0.45</v>
      </c>
      <c r="P140" s="209">
        <f>K140*3.6/L140/1000</f>
        <v>13642.18224</v>
      </c>
    </row>
    <row r="141" spans="1:16" ht="15.75" x14ac:dyDescent="0.25">
      <c r="J141" s="212" t="s">
        <v>1077</v>
      </c>
      <c r="O141" s="209">
        <f>SUM(O137:O138)</f>
        <v>53103.773420689657</v>
      </c>
      <c r="P141" s="209">
        <f>SUM(P139:P140)</f>
        <v>21024.344639999999</v>
      </c>
    </row>
    <row r="143" spans="1:16" ht="15.75" x14ac:dyDescent="0.25">
      <c r="J143" s="212" t="s">
        <v>1076</v>
      </c>
      <c r="L143" s="212" t="s">
        <v>1075</v>
      </c>
      <c r="M143" s="212" t="s">
        <v>116</v>
      </c>
      <c r="N143" s="212" t="s">
        <v>146</v>
      </c>
      <c r="O143" s="212" t="s">
        <v>1053</v>
      </c>
      <c r="P143" s="212" t="s">
        <v>1074</v>
      </c>
    </row>
    <row r="144" spans="1:16" ht="15.75" x14ac:dyDescent="0.25">
      <c r="K144" s="209">
        <f>L83+L84+L105+L106</f>
        <v>1741296.49</v>
      </c>
      <c r="L144" s="214">
        <v>5.8000000000000003E-2</v>
      </c>
      <c r="M144" s="209">
        <f>K144*3.6/L144/1000</f>
        <v>108080.47179310344</v>
      </c>
      <c r="N144" s="209">
        <f>M144*P144</f>
        <v>54040.23589655172</v>
      </c>
      <c r="O144" s="209">
        <f>M144-N144</f>
        <v>54040.23589655172</v>
      </c>
      <c r="P144" s="211">
        <v>0.5</v>
      </c>
    </row>
    <row r="146" spans="10:15" ht="15.75" x14ac:dyDescent="0.25">
      <c r="J146" s="212" t="s">
        <v>1073</v>
      </c>
      <c r="K146" s="209">
        <f>L71+L93+L94+L122+L123+L124+L125+L127</f>
        <v>409965.13</v>
      </c>
      <c r="L146" s="209"/>
      <c r="M146" s="209"/>
      <c r="N146" s="209"/>
      <c r="O146" s="209"/>
    </row>
    <row r="147" spans="10:15" ht="15.75" x14ac:dyDescent="0.25">
      <c r="J147" s="212" t="s">
        <v>1072</v>
      </c>
      <c r="K147" s="209">
        <f>2.55/3.6*1000000</f>
        <v>708333.33333333326</v>
      </c>
      <c r="L147" s="213">
        <f>K147*3.6/1000/(N147+O147)</f>
        <v>5.6919642857142856E-2</v>
      </c>
      <c r="M147" s="209"/>
      <c r="N147" s="209">
        <f>5390</f>
        <v>5390</v>
      </c>
      <c r="O147" s="209">
        <f>38430+980</f>
        <v>39410</v>
      </c>
    </row>
    <row r="148" spans="10:15" ht="15.75" x14ac:dyDescent="0.25">
      <c r="K148" s="209"/>
      <c r="L148" s="209"/>
      <c r="M148" s="209"/>
      <c r="N148" s="209"/>
      <c r="O148" s="209"/>
    </row>
    <row r="149" spans="10:15" ht="15.75" x14ac:dyDescent="0.25">
      <c r="J149" s="212" t="s">
        <v>1071</v>
      </c>
      <c r="O149" s="212" t="s">
        <v>146</v>
      </c>
    </row>
    <row r="150" spans="10:15" ht="15.75" x14ac:dyDescent="0.25">
      <c r="J150" s="208" t="s">
        <v>531</v>
      </c>
      <c r="K150" s="209">
        <f>N38</f>
        <v>1707095</v>
      </c>
      <c r="L150" s="211">
        <v>0.3</v>
      </c>
      <c r="M150" s="208">
        <v>600</v>
      </c>
      <c r="N150" s="210">
        <f>K150/(M150*8760)</f>
        <v>0.32478976407914761</v>
      </c>
      <c r="O150" s="209">
        <f>K150*3.6/L150/1000</f>
        <v>20485.14</v>
      </c>
    </row>
    <row r="153" spans="10:15" ht="15" customHeight="1" x14ac:dyDescent="0.2">
      <c r="J153" s="208" t="s">
        <v>1828</v>
      </c>
      <c r="K153" s="354">
        <f>SUMIF(E2:E132,"Gas",N2:N132)/1000000</f>
        <v>3.5372053500000002</v>
      </c>
    </row>
    <row r="154" spans="10:15" ht="15" customHeight="1" x14ac:dyDescent="0.2">
      <c r="J154" s="208" t="s">
        <v>1829</v>
      </c>
      <c r="K154" s="355">
        <f>K153/0.3*3.6</f>
        <v>42.446464200000008</v>
      </c>
    </row>
  </sheetData>
  <autoFilter ref="A1:P141" xr:uid="{00000000-0009-0000-0000-00000B000000}"/>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 workbookViewId="1"/>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8" t="s">
        <v>1067</v>
      </c>
      <c r="C2" s="228" t="s">
        <v>1066</v>
      </c>
      <c r="D2" s="230" t="s">
        <v>1133</v>
      </c>
      <c r="E2" s="229" t="s">
        <v>137</v>
      </c>
      <c r="F2" s="228" t="s">
        <v>1065</v>
      </c>
      <c r="G2" s="228" t="s">
        <v>1132</v>
      </c>
      <c r="H2" s="228" t="s">
        <v>1131</v>
      </c>
      <c r="I2" s="228" t="s">
        <v>1130</v>
      </c>
      <c r="J2" s="228" t="s">
        <v>1129</v>
      </c>
      <c r="K2" s="228" t="s">
        <v>1060</v>
      </c>
      <c r="L2" s="228" t="s">
        <v>1059</v>
      </c>
      <c r="M2" s="228" t="s">
        <v>1128</v>
      </c>
      <c r="N2" s="228" t="s">
        <v>1057</v>
      </c>
    </row>
    <row r="3" spans="2:14" x14ac:dyDescent="0.2">
      <c r="B3" s="226" t="s">
        <v>458</v>
      </c>
      <c r="C3" s="226" t="s">
        <v>146</v>
      </c>
      <c r="D3" s="217" t="s">
        <v>1096</v>
      </c>
      <c r="E3" s="217" t="s">
        <v>1084</v>
      </c>
      <c r="F3" s="224">
        <v>2018</v>
      </c>
      <c r="G3" s="223">
        <v>1980</v>
      </c>
      <c r="H3" s="223">
        <v>11778390.859999999</v>
      </c>
      <c r="I3" s="223">
        <v>915105.89</v>
      </c>
      <c r="J3" s="223">
        <v>10863284.970000001</v>
      </c>
      <c r="K3" s="224">
        <v>0</v>
      </c>
      <c r="L3" s="223">
        <v>10863284.970000001</v>
      </c>
      <c r="M3" s="224">
        <v>0</v>
      </c>
      <c r="N3" s="223">
        <v>10863284.970000001</v>
      </c>
    </row>
    <row r="4" spans="2:14" x14ac:dyDescent="0.2">
      <c r="B4" s="226" t="s">
        <v>514</v>
      </c>
      <c r="C4" s="226" t="s">
        <v>146</v>
      </c>
      <c r="D4" s="217" t="s">
        <v>1096</v>
      </c>
      <c r="E4" s="217" t="s">
        <v>1084</v>
      </c>
      <c r="F4" s="224">
        <v>2018</v>
      </c>
      <c r="G4" s="223">
        <v>1520</v>
      </c>
      <c r="H4" s="223">
        <v>8127675.9699999997</v>
      </c>
      <c r="I4" s="223">
        <v>640966.31999999995</v>
      </c>
      <c r="J4" s="223">
        <v>7486709.6500000004</v>
      </c>
      <c r="K4" s="224">
        <v>0</v>
      </c>
      <c r="L4" s="223">
        <v>7486709.6500000004</v>
      </c>
      <c r="M4" s="224">
        <v>0</v>
      </c>
      <c r="N4" s="223">
        <v>7486709.6500000004</v>
      </c>
    </row>
    <row r="5" spans="2:14" x14ac:dyDescent="0.2">
      <c r="B5" s="226" t="s">
        <v>508</v>
      </c>
      <c r="C5" s="226" t="s">
        <v>146</v>
      </c>
      <c r="D5" s="217" t="s">
        <v>1096</v>
      </c>
      <c r="E5" s="217" t="s">
        <v>1084</v>
      </c>
      <c r="F5" s="224">
        <v>2018</v>
      </c>
      <c r="G5" s="223">
        <v>3450</v>
      </c>
      <c r="H5" s="223">
        <v>11698000.35</v>
      </c>
      <c r="I5" s="223">
        <v>1086090.8400000001</v>
      </c>
      <c r="J5" s="223">
        <v>10611909.51</v>
      </c>
      <c r="K5" s="224">
        <v>0</v>
      </c>
      <c r="L5" s="223">
        <v>10611909.51</v>
      </c>
      <c r="M5" s="224">
        <v>0</v>
      </c>
      <c r="N5" s="223">
        <v>10611909.51</v>
      </c>
    </row>
    <row r="6" spans="2:14" x14ac:dyDescent="0.2">
      <c r="B6" s="226" t="s">
        <v>447</v>
      </c>
      <c r="C6" s="226" t="s">
        <v>146</v>
      </c>
      <c r="D6" s="217" t="s">
        <v>1096</v>
      </c>
      <c r="E6" s="217" t="s">
        <v>1084</v>
      </c>
      <c r="F6" s="224">
        <v>2018</v>
      </c>
      <c r="G6" s="223">
        <v>1130</v>
      </c>
      <c r="H6" s="223">
        <v>2644796.23</v>
      </c>
      <c r="I6" s="223">
        <v>237762.33</v>
      </c>
      <c r="J6" s="223">
        <v>2407033.9</v>
      </c>
      <c r="K6" s="224">
        <v>0</v>
      </c>
      <c r="L6" s="223">
        <v>2407033.9</v>
      </c>
      <c r="M6" s="224">
        <v>0</v>
      </c>
      <c r="N6" s="223">
        <v>2407033.9</v>
      </c>
    </row>
    <row r="7" spans="2:14" x14ac:dyDescent="0.2">
      <c r="B7" s="226" t="s">
        <v>451</v>
      </c>
      <c r="C7" s="226" t="s">
        <v>146</v>
      </c>
      <c r="D7" s="217" t="s">
        <v>1096</v>
      </c>
      <c r="E7" s="217" t="s">
        <v>1084</v>
      </c>
      <c r="F7" s="224">
        <v>2018</v>
      </c>
      <c r="G7" s="223">
        <v>1900</v>
      </c>
      <c r="H7" s="223">
        <v>8601265.8000000007</v>
      </c>
      <c r="I7" s="223">
        <v>616233.37</v>
      </c>
      <c r="J7" s="223">
        <v>7985032.4299999997</v>
      </c>
      <c r="K7" s="224">
        <v>0</v>
      </c>
      <c r="L7" s="223">
        <v>7985032.4299999997</v>
      </c>
      <c r="M7" s="224">
        <v>0</v>
      </c>
      <c r="N7" s="223">
        <v>7985032.4299999997</v>
      </c>
    </row>
    <row r="8" spans="2:14" x14ac:dyDescent="0.2">
      <c r="B8" s="226" t="s">
        <v>497</v>
      </c>
      <c r="C8" s="226" t="s">
        <v>146</v>
      </c>
      <c r="D8" s="217" t="s">
        <v>1096</v>
      </c>
      <c r="E8" s="217" t="s">
        <v>1084</v>
      </c>
      <c r="F8" s="224">
        <v>2018</v>
      </c>
      <c r="G8" s="223">
        <v>3840</v>
      </c>
      <c r="H8" s="223">
        <v>24612913.059999999</v>
      </c>
      <c r="I8" s="223">
        <v>1918505.09</v>
      </c>
      <c r="J8" s="223">
        <v>22694407.969999999</v>
      </c>
      <c r="K8" s="224">
        <v>0</v>
      </c>
      <c r="L8" s="223">
        <v>22694407.969999999</v>
      </c>
      <c r="M8" s="224">
        <v>0</v>
      </c>
      <c r="N8" s="223">
        <v>22694407.969999999</v>
      </c>
    </row>
    <row r="9" spans="2:14" x14ac:dyDescent="0.2">
      <c r="B9" s="226" t="s">
        <v>448</v>
      </c>
      <c r="C9" s="226" t="s">
        <v>146</v>
      </c>
      <c r="D9" s="217" t="s">
        <v>1096</v>
      </c>
      <c r="E9" s="217" t="s">
        <v>1084</v>
      </c>
      <c r="F9" s="224">
        <v>2018</v>
      </c>
      <c r="G9" s="223">
        <v>1000</v>
      </c>
      <c r="H9" s="223">
        <v>2318905.87</v>
      </c>
      <c r="I9" s="223">
        <v>165328.51</v>
      </c>
      <c r="J9" s="223">
        <v>2153577.36</v>
      </c>
      <c r="K9" s="224">
        <v>0</v>
      </c>
      <c r="L9" s="223">
        <v>2153577.36</v>
      </c>
      <c r="M9" s="224">
        <v>0</v>
      </c>
      <c r="N9" s="223">
        <v>2153577.36</v>
      </c>
    </row>
    <row r="10" spans="2:14" x14ac:dyDescent="0.2">
      <c r="B10" s="226" t="s">
        <v>452</v>
      </c>
      <c r="C10" s="226" t="s">
        <v>146</v>
      </c>
      <c r="D10" s="217" t="s">
        <v>1096</v>
      </c>
      <c r="E10" s="217" t="s">
        <v>1084</v>
      </c>
      <c r="F10" s="224">
        <v>2018</v>
      </c>
      <c r="G10" s="223">
        <v>2850</v>
      </c>
      <c r="H10" s="223">
        <v>13465249.300000001</v>
      </c>
      <c r="I10" s="223">
        <v>870173.16</v>
      </c>
      <c r="J10" s="223">
        <v>12595076.140000001</v>
      </c>
      <c r="K10" s="224">
        <v>0</v>
      </c>
      <c r="L10" s="223">
        <v>12595076.140000001</v>
      </c>
      <c r="M10" s="224">
        <v>0</v>
      </c>
      <c r="N10" s="223">
        <v>12595076.140000001</v>
      </c>
    </row>
    <row r="11" spans="2:14" x14ac:dyDescent="0.2">
      <c r="B11" s="226" t="s">
        <v>483</v>
      </c>
      <c r="C11" s="226" t="s">
        <v>146</v>
      </c>
      <c r="D11" s="217" t="s">
        <v>1097</v>
      </c>
      <c r="E11" s="217" t="s">
        <v>1084</v>
      </c>
      <c r="F11" s="224">
        <v>2018</v>
      </c>
      <c r="G11" s="223">
        <v>3558</v>
      </c>
      <c r="H11" s="223">
        <v>20827205.899999999</v>
      </c>
      <c r="I11" s="223">
        <v>1172157.79</v>
      </c>
      <c r="J11" s="223">
        <v>19655048.109999999</v>
      </c>
      <c r="K11" s="224">
        <v>0</v>
      </c>
      <c r="L11" s="223">
        <v>19655048.109999999</v>
      </c>
      <c r="M11" s="224">
        <v>0</v>
      </c>
      <c r="N11" s="223">
        <v>19655048.109999999</v>
      </c>
    </row>
    <row r="12" spans="2:14" x14ac:dyDescent="0.2">
      <c r="B12" s="226" t="s">
        <v>449</v>
      </c>
      <c r="C12" s="226" t="s">
        <v>146</v>
      </c>
      <c r="D12" s="217" t="s">
        <v>1096</v>
      </c>
      <c r="E12" s="217" t="s">
        <v>1084</v>
      </c>
      <c r="F12" s="224">
        <v>2018</v>
      </c>
      <c r="G12" s="223">
        <v>3843</v>
      </c>
      <c r="H12" s="223">
        <v>26301014.129999999</v>
      </c>
      <c r="I12" s="223">
        <v>1909230.08</v>
      </c>
      <c r="J12" s="223">
        <v>24391784.050000001</v>
      </c>
      <c r="K12" s="224">
        <v>0</v>
      </c>
      <c r="L12" s="223">
        <v>24391784.050000001</v>
      </c>
      <c r="M12" s="224">
        <v>0</v>
      </c>
      <c r="N12" s="223">
        <v>24391784.050000001</v>
      </c>
    </row>
    <row r="13" spans="2:14" x14ac:dyDescent="0.2">
      <c r="B13" s="226" t="s">
        <v>476</v>
      </c>
      <c r="C13" s="226" t="s">
        <v>146</v>
      </c>
      <c r="D13" s="217" t="s">
        <v>1095</v>
      </c>
      <c r="E13" s="217" t="s">
        <v>1084</v>
      </c>
      <c r="F13" s="224">
        <v>2018</v>
      </c>
      <c r="G13" s="223">
        <v>3690</v>
      </c>
      <c r="H13" s="223">
        <v>29602780.120000001</v>
      </c>
      <c r="I13" s="223">
        <v>2586669.4</v>
      </c>
      <c r="J13" s="223">
        <v>27016110.719999999</v>
      </c>
      <c r="K13" s="224">
        <v>0</v>
      </c>
      <c r="L13" s="223">
        <v>27016110.719999999</v>
      </c>
      <c r="M13" s="224">
        <v>0</v>
      </c>
      <c r="N13" s="223">
        <v>27016110.719999999</v>
      </c>
    </row>
    <row r="14" spans="2:14" x14ac:dyDescent="0.2">
      <c r="B14" s="226" t="s">
        <v>455</v>
      </c>
      <c r="C14" s="226" t="s">
        <v>146</v>
      </c>
      <c r="D14" s="217" t="s">
        <v>1096</v>
      </c>
      <c r="E14" s="217" t="s">
        <v>1084</v>
      </c>
      <c r="F14" s="224">
        <v>2018</v>
      </c>
      <c r="G14" s="223">
        <v>3450</v>
      </c>
      <c r="H14" s="223">
        <v>20761579.800000001</v>
      </c>
      <c r="I14" s="223">
        <v>1218096.32</v>
      </c>
      <c r="J14" s="223">
        <v>19543483.48</v>
      </c>
      <c r="K14" s="224">
        <v>0</v>
      </c>
      <c r="L14" s="223">
        <v>19543483.48</v>
      </c>
      <c r="M14" s="224">
        <v>0</v>
      </c>
      <c r="N14" s="223">
        <v>19543483.48</v>
      </c>
    </row>
    <row r="15" spans="2:14" x14ac:dyDescent="0.2">
      <c r="B15" s="226" t="s">
        <v>460</v>
      </c>
      <c r="C15" s="226" t="s">
        <v>146</v>
      </c>
      <c r="D15" s="217" t="s">
        <v>1096</v>
      </c>
      <c r="E15" s="217" t="s">
        <v>1084</v>
      </c>
      <c r="F15" s="224">
        <v>2018</v>
      </c>
      <c r="G15" s="223">
        <v>3510</v>
      </c>
      <c r="H15" s="223">
        <v>17465880.77</v>
      </c>
      <c r="I15" s="223">
        <v>1226462.5900000001</v>
      </c>
      <c r="J15" s="223">
        <v>16239418.18</v>
      </c>
      <c r="K15" s="224">
        <v>0</v>
      </c>
      <c r="L15" s="223">
        <v>16239418.18</v>
      </c>
      <c r="M15" s="224">
        <v>0</v>
      </c>
      <c r="N15" s="223">
        <v>16239418.18</v>
      </c>
    </row>
    <row r="16" spans="2:14" x14ac:dyDescent="0.2">
      <c r="B16" s="226" t="s">
        <v>468</v>
      </c>
      <c r="C16" s="226" t="s">
        <v>146</v>
      </c>
      <c r="D16" s="217" t="s">
        <v>1095</v>
      </c>
      <c r="E16" s="217" t="s">
        <v>1084</v>
      </c>
      <c r="F16" s="224">
        <v>2018</v>
      </c>
      <c r="G16" s="223">
        <v>4500</v>
      </c>
      <c r="H16" s="223">
        <v>13799324.470000001</v>
      </c>
      <c r="I16" s="223">
        <v>1243806.3500000001</v>
      </c>
      <c r="J16" s="223">
        <v>12555518.119999999</v>
      </c>
      <c r="K16" s="224">
        <v>0</v>
      </c>
      <c r="L16" s="223">
        <v>12555518.119999999</v>
      </c>
      <c r="M16" s="224">
        <v>0</v>
      </c>
      <c r="N16" s="223">
        <v>12555518.119999999</v>
      </c>
    </row>
    <row r="17" spans="2:14" x14ac:dyDescent="0.2">
      <c r="B17" s="226" t="s">
        <v>559</v>
      </c>
      <c r="C17" s="226" t="s">
        <v>146</v>
      </c>
      <c r="D17" s="217" t="s">
        <v>1096</v>
      </c>
      <c r="E17" s="217" t="s">
        <v>1084</v>
      </c>
      <c r="F17" s="224">
        <v>2018</v>
      </c>
      <c r="G17" s="223">
        <v>4800</v>
      </c>
      <c r="H17" s="223">
        <v>3899915.64</v>
      </c>
      <c r="I17" s="223">
        <v>402669.64</v>
      </c>
      <c r="J17" s="223">
        <v>3497246</v>
      </c>
      <c r="K17" s="224">
        <v>0</v>
      </c>
      <c r="L17" s="223">
        <v>3497246</v>
      </c>
      <c r="M17" s="224">
        <v>0</v>
      </c>
      <c r="N17" s="223">
        <v>3497246</v>
      </c>
    </row>
    <row r="21" spans="2:14" x14ac:dyDescent="0.2">
      <c r="B21" s="64">
        <v>2012</v>
      </c>
    </row>
    <row r="22" spans="2:14" x14ac:dyDescent="0.2">
      <c r="B22" s="101"/>
      <c r="C22" s="101"/>
      <c r="D22" s="101" t="s">
        <v>1160</v>
      </c>
      <c r="E22" s="101" t="s">
        <v>1159</v>
      </c>
      <c r="F22" s="101" t="s">
        <v>1142</v>
      </c>
      <c r="G22" s="101" t="s">
        <v>1158</v>
      </c>
      <c r="H22" s="101" t="s">
        <v>1157</v>
      </c>
      <c r="I22" s="101" t="s">
        <v>1156</v>
      </c>
      <c r="J22" s="101" t="s">
        <v>1155</v>
      </c>
      <c r="K22" s="101" t="s">
        <v>1154</v>
      </c>
      <c r="L22" s="101" t="s">
        <v>1153</v>
      </c>
      <c r="M22" s="101"/>
    </row>
    <row r="23" spans="2:14" x14ac:dyDescent="0.2">
      <c r="B23" s="101" t="s">
        <v>1067</v>
      </c>
      <c r="C23" s="101" t="s">
        <v>1152</v>
      </c>
      <c r="D23" s="101"/>
      <c r="E23" s="101"/>
      <c r="F23" s="101" t="s">
        <v>1151</v>
      </c>
      <c r="G23" s="101"/>
      <c r="H23" s="101" t="s">
        <v>1150</v>
      </c>
      <c r="I23" s="101"/>
      <c r="J23" s="101"/>
      <c r="K23" s="101"/>
      <c r="L23" s="101"/>
      <c r="M23" s="101" t="s">
        <v>1149</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7" t="s">
        <v>1148</v>
      </c>
      <c r="C25" s="246"/>
      <c r="D25" s="246"/>
      <c r="E25" s="246"/>
      <c r="F25" s="246"/>
      <c r="G25" s="246"/>
      <c r="H25" s="246"/>
      <c r="I25" s="246"/>
      <c r="J25" s="246"/>
      <c r="K25" s="246"/>
      <c r="L25" s="246"/>
      <c r="M25" s="245"/>
    </row>
    <row r="26" spans="2:14" ht="13.5" thickBot="1" x14ac:dyDescent="0.25">
      <c r="B26" s="235" t="s">
        <v>458</v>
      </c>
      <c r="C26" s="243" t="s">
        <v>146</v>
      </c>
      <c r="D26" s="243" t="s">
        <v>530</v>
      </c>
      <c r="E26" s="242">
        <v>2232</v>
      </c>
      <c r="F26" s="242">
        <v>2012</v>
      </c>
      <c r="G26" s="242">
        <v>13026226.029999999</v>
      </c>
      <c r="H26" s="242">
        <v>911870.03</v>
      </c>
      <c r="I26" s="242">
        <v>12114356</v>
      </c>
      <c r="J26" s="240" t="s">
        <v>1147</v>
      </c>
      <c r="K26" s="244">
        <v>12114356</v>
      </c>
      <c r="L26" s="240" t="s">
        <v>1147</v>
      </c>
      <c r="M26" s="239">
        <v>12114356</v>
      </c>
    </row>
    <row r="27" spans="2:14" ht="13.5" thickBot="1" x14ac:dyDescent="0.25">
      <c r="B27" s="235" t="s">
        <v>514</v>
      </c>
      <c r="C27" s="243" t="s">
        <v>146</v>
      </c>
      <c r="D27" s="243" t="s">
        <v>530</v>
      </c>
      <c r="E27" s="242">
        <v>1450</v>
      </c>
      <c r="F27" s="242">
        <v>1451</v>
      </c>
      <c r="G27" s="242">
        <v>8902148</v>
      </c>
      <c r="H27" s="242">
        <v>640513.62</v>
      </c>
      <c r="I27" s="242">
        <v>8261634.3799999999</v>
      </c>
      <c r="J27" s="240" t="s">
        <v>1147</v>
      </c>
      <c r="K27" s="241">
        <v>8261634.3799999999</v>
      </c>
      <c r="L27" s="240" t="s">
        <v>1147</v>
      </c>
      <c r="M27" s="239">
        <v>8261634.3799999999</v>
      </c>
    </row>
    <row r="28" spans="2:14" ht="13.5" thickBot="1" x14ac:dyDescent="0.25">
      <c r="B28" s="235" t="s">
        <v>508</v>
      </c>
      <c r="C28" s="243" t="s">
        <v>146</v>
      </c>
      <c r="D28" s="243" t="s">
        <v>530</v>
      </c>
      <c r="E28" s="242">
        <v>3450</v>
      </c>
      <c r="F28" s="242">
        <v>2645</v>
      </c>
      <c r="G28" s="242">
        <v>18131754</v>
      </c>
      <c r="H28" s="242">
        <v>1069966</v>
      </c>
      <c r="I28" s="242">
        <v>17061788</v>
      </c>
      <c r="J28" s="240" t="s">
        <v>1147</v>
      </c>
      <c r="K28" s="241">
        <v>17061788</v>
      </c>
      <c r="L28" s="240" t="s">
        <v>1147</v>
      </c>
      <c r="M28" s="239">
        <v>17061788</v>
      </c>
    </row>
    <row r="29" spans="2:14" ht="13.5" thickBot="1" x14ac:dyDescent="0.25">
      <c r="B29" s="235" t="s">
        <v>447</v>
      </c>
      <c r="C29" s="243" t="s">
        <v>146</v>
      </c>
      <c r="D29" s="243" t="s">
        <v>530</v>
      </c>
      <c r="E29" s="242">
        <v>1090</v>
      </c>
      <c r="F29" s="242">
        <v>1077</v>
      </c>
      <c r="G29" s="242">
        <v>6232252.8899999997</v>
      </c>
      <c r="H29" s="242">
        <v>395871.89</v>
      </c>
      <c r="I29" s="242">
        <v>5836381</v>
      </c>
      <c r="J29" s="240" t="s">
        <v>1147</v>
      </c>
      <c r="K29" s="241">
        <v>5836381</v>
      </c>
      <c r="L29" s="240" t="s">
        <v>1147</v>
      </c>
      <c r="M29" s="239">
        <v>5836381</v>
      </c>
    </row>
    <row r="30" spans="2:14" ht="13.5" thickBot="1" x14ac:dyDescent="0.25">
      <c r="B30" s="235" t="s">
        <v>451</v>
      </c>
      <c r="C30" s="243" t="s">
        <v>146</v>
      </c>
      <c r="D30" s="243" t="s">
        <v>530</v>
      </c>
      <c r="E30" s="242">
        <v>1865</v>
      </c>
      <c r="F30" s="242">
        <v>1596</v>
      </c>
      <c r="G30" s="242">
        <v>10695691.49</v>
      </c>
      <c r="H30" s="242">
        <v>673685.49</v>
      </c>
      <c r="I30" s="242">
        <v>10022006</v>
      </c>
      <c r="J30" s="240" t="s">
        <v>1147</v>
      </c>
      <c r="K30" s="241">
        <v>10022006</v>
      </c>
      <c r="L30" s="240" t="s">
        <v>1147</v>
      </c>
      <c r="M30" s="239">
        <v>10022006</v>
      </c>
    </row>
    <row r="31" spans="2:14" ht="13.5" thickBot="1" x14ac:dyDescent="0.25">
      <c r="B31" s="235" t="s">
        <v>497</v>
      </c>
      <c r="C31" s="243" t="s">
        <v>146</v>
      </c>
      <c r="D31" s="243" t="s">
        <v>530</v>
      </c>
      <c r="E31" s="242">
        <v>3840</v>
      </c>
      <c r="F31" s="242">
        <v>3949</v>
      </c>
      <c r="G31" s="242">
        <v>28855844.899999999</v>
      </c>
      <c r="H31" s="242">
        <v>2060012.9</v>
      </c>
      <c r="I31" s="242">
        <v>26795832</v>
      </c>
      <c r="J31" s="240" t="s">
        <v>1147</v>
      </c>
      <c r="K31" s="241">
        <v>26795832</v>
      </c>
      <c r="L31" s="240" t="s">
        <v>1147</v>
      </c>
      <c r="M31" s="239">
        <v>26795832</v>
      </c>
    </row>
    <row r="32" spans="2:14" ht="13.5" thickBot="1" x14ac:dyDescent="0.25">
      <c r="B32" s="235" t="s">
        <v>448</v>
      </c>
      <c r="C32" s="243" t="s">
        <v>146</v>
      </c>
      <c r="D32" s="243" t="s">
        <v>530</v>
      </c>
      <c r="E32" s="240">
        <v>791</v>
      </c>
      <c r="F32" s="240">
        <v>757</v>
      </c>
      <c r="G32" s="242">
        <v>3963569.04</v>
      </c>
      <c r="H32" s="242">
        <v>249003.04</v>
      </c>
      <c r="I32" s="242">
        <v>3714566</v>
      </c>
      <c r="J32" s="240" t="s">
        <v>1147</v>
      </c>
      <c r="K32" s="241">
        <v>3714566</v>
      </c>
      <c r="L32" s="240" t="s">
        <v>1147</v>
      </c>
      <c r="M32" s="239">
        <v>3714566</v>
      </c>
    </row>
    <row r="33" spans="1:17" ht="13.5" thickBot="1" x14ac:dyDescent="0.25">
      <c r="B33" s="235" t="s">
        <v>452</v>
      </c>
      <c r="C33" s="243" t="s">
        <v>146</v>
      </c>
      <c r="D33" s="243" t="s">
        <v>530</v>
      </c>
      <c r="E33" s="242">
        <v>2850</v>
      </c>
      <c r="F33" s="242">
        <v>2580</v>
      </c>
      <c r="G33" s="242">
        <v>16944768.719999999</v>
      </c>
      <c r="H33" s="242">
        <v>1223746.72</v>
      </c>
      <c r="I33" s="242">
        <v>15721022</v>
      </c>
      <c r="J33" s="240" t="s">
        <v>1147</v>
      </c>
      <c r="K33" s="241">
        <v>15721022</v>
      </c>
      <c r="L33" s="240" t="s">
        <v>1147</v>
      </c>
      <c r="M33" s="239">
        <v>15721022</v>
      </c>
    </row>
    <row r="34" spans="1:17" ht="13.5" thickBot="1" x14ac:dyDescent="0.25">
      <c r="B34" s="235" t="s">
        <v>483</v>
      </c>
      <c r="C34" s="243" t="s">
        <v>146</v>
      </c>
      <c r="D34" s="243" t="s">
        <v>530</v>
      </c>
      <c r="E34" s="242">
        <v>3558</v>
      </c>
      <c r="F34" s="242">
        <v>3575</v>
      </c>
      <c r="G34" s="242">
        <v>24333573.600000001</v>
      </c>
      <c r="H34" s="242">
        <v>1388506.6</v>
      </c>
      <c r="I34" s="242">
        <v>22945067</v>
      </c>
      <c r="J34" s="240" t="s">
        <v>1147</v>
      </c>
      <c r="K34" s="241">
        <v>22945067</v>
      </c>
      <c r="L34" s="240" t="s">
        <v>1147</v>
      </c>
      <c r="M34" s="239">
        <v>22945067</v>
      </c>
    </row>
    <row r="35" spans="1:17" ht="13.5" thickBot="1" x14ac:dyDescent="0.25">
      <c r="B35" s="235" t="s">
        <v>449</v>
      </c>
      <c r="C35" s="243" t="s">
        <v>146</v>
      </c>
      <c r="D35" s="243" t="s">
        <v>530</v>
      </c>
      <c r="E35" s="242">
        <v>3843</v>
      </c>
      <c r="F35" s="242">
        <v>3814</v>
      </c>
      <c r="G35" s="242">
        <v>27647993.219999999</v>
      </c>
      <c r="H35" s="242">
        <v>2226465.2200000002</v>
      </c>
      <c r="I35" s="242">
        <v>25421528</v>
      </c>
      <c r="J35" s="240" t="s">
        <v>1147</v>
      </c>
      <c r="K35" s="241">
        <v>25421528</v>
      </c>
      <c r="L35" s="240" t="s">
        <v>1147</v>
      </c>
      <c r="M35" s="239">
        <v>25421528</v>
      </c>
    </row>
    <row r="36" spans="1:17" ht="13.5" thickBot="1" x14ac:dyDescent="0.25">
      <c r="B36" s="235" t="s">
        <v>476</v>
      </c>
      <c r="C36" s="243" t="s">
        <v>146</v>
      </c>
      <c r="D36" s="243" t="s">
        <v>530</v>
      </c>
      <c r="E36" s="242">
        <v>3690</v>
      </c>
      <c r="F36" s="242">
        <v>3723</v>
      </c>
      <c r="G36" s="242">
        <v>29865255.359999999</v>
      </c>
      <c r="H36" s="242">
        <v>2679386.36</v>
      </c>
      <c r="I36" s="242">
        <v>27185869</v>
      </c>
      <c r="J36" s="240" t="s">
        <v>1147</v>
      </c>
      <c r="K36" s="241">
        <v>27185869</v>
      </c>
      <c r="L36" s="240" t="s">
        <v>1147</v>
      </c>
      <c r="M36" s="239">
        <v>27185869</v>
      </c>
    </row>
    <row r="37" spans="1:17" ht="13.5" thickBot="1" x14ac:dyDescent="0.25">
      <c r="B37" s="235" t="s">
        <v>455</v>
      </c>
      <c r="C37" s="243" t="s">
        <v>146</v>
      </c>
      <c r="D37" s="243" t="s">
        <v>530</v>
      </c>
      <c r="E37" s="242">
        <v>3450</v>
      </c>
      <c r="F37" s="242">
        <v>3388</v>
      </c>
      <c r="G37" s="242">
        <v>22765429.289999999</v>
      </c>
      <c r="H37" s="242">
        <v>1358253.29</v>
      </c>
      <c r="I37" s="242">
        <v>21407176</v>
      </c>
      <c r="J37" s="240" t="s">
        <v>1147</v>
      </c>
      <c r="K37" s="241">
        <v>21407176</v>
      </c>
      <c r="L37" s="240" t="s">
        <v>1147</v>
      </c>
      <c r="M37" s="239">
        <v>21407176</v>
      </c>
    </row>
    <row r="38" spans="1:17" ht="13.5" thickBot="1" x14ac:dyDescent="0.25">
      <c r="B38" s="235" t="s">
        <v>460</v>
      </c>
      <c r="C38" s="243" t="s">
        <v>146</v>
      </c>
      <c r="D38" s="243" t="s">
        <v>530</v>
      </c>
      <c r="E38" s="242">
        <v>3510</v>
      </c>
      <c r="F38" s="242">
        <v>3378</v>
      </c>
      <c r="G38" s="242">
        <v>20747557</v>
      </c>
      <c r="H38" s="242">
        <v>1160271</v>
      </c>
      <c r="I38" s="242">
        <v>19587286</v>
      </c>
      <c r="J38" s="240" t="s">
        <v>1147</v>
      </c>
      <c r="K38" s="241">
        <v>19587286</v>
      </c>
      <c r="L38" s="240" t="s">
        <v>1147</v>
      </c>
      <c r="M38" s="239">
        <v>19587286</v>
      </c>
    </row>
    <row r="40" spans="1:17" x14ac:dyDescent="0.2">
      <c r="G40" s="233"/>
    </row>
    <row r="41" spans="1:17" x14ac:dyDescent="0.2">
      <c r="B41" s="238" t="s">
        <v>1146</v>
      </c>
      <c r="C41" s="101" t="s">
        <v>1137</v>
      </c>
      <c r="D41" s="101"/>
      <c r="E41" s="64" t="s">
        <v>1145</v>
      </c>
      <c r="F41" s="64" t="s">
        <v>1144</v>
      </c>
      <c r="G41" s="64" t="s">
        <v>1143</v>
      </c>
      <c r="H41" s="101" t="s">
        <v>1142</v>
      </c>
      <c r="J41" s="64" t="s">
        <v>1141</v>
      </c>
      <c r="L41" s="64" t="s">
        <v>1140</v>
      </c>
    </row>
    <row r="42" spans="1:17" x14ac:dyDescent="0.2">
      <c r="B42" s="228" t="s">
        <v>1067</v>
      </c>
      <c r="C42" s="101" t="s">
        <v>124</v>
      </c>
      <c r="D42" s="101" t="s">
        <v>124</v>
      </c>
      <c r="E42" s="64" t="s">
        <v>124</v>
      </c>
      <c r="F42" s="64" t="s">
        <v>124</v>
      </c>
      <c r="H42" s="101" t="s">
        <v>124</v>
      </c>
      <c r="I42" s="64" t="s">
        <v>1139</v>
      </c>
      <c r="J42" s="101" t="s">
        <v>1138</v>
      </c>
      <c r="L42" s="101" t="s">
        <v>1137</v>
      </c>
      <c r="M42" s="64" t="s">
        <v>1136</v>
      </c>
      <c r="N42" s="64" t="s">
        <v>1137</v>
      </c>
      <c r="O42" s="64" t="s">
        <v>1136</v>
      </c>
      <c r="P42" s="64" t="s">
        <v>1135</v>
      </c>
    </row>
    <row r="43" spans="1:17" x14ac:dyDescent="0.2">
      <c r="B43" s="237"/>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5" t="s">
        <v>458</v>
      </c>
      <c r="B44" s="226" t="s">
        <v>458</v>
      </c>
      <c r="C44" s="233">
        <f t="shared" ref="C44:C58" si="0">E26</f>
        <v>2232</v>
      </c>
      <c r="D44" s="233">
        <f t="shared" ref="D44:D58" si="1">G3</f>
        <v>1980</v>
      </c>
      <c r="E44" s="236">
        <f t="shared" ref="E44:E52" si="2">H63*1000</f>
        <v>2220</v>
      </c>
      <c r="F44" s="233">
        <f>SUMIF('eskom production 2009-YTD'!$A$102:$A$115,B44,'eskom production 2009-YTD'!$B$102:$B$115)</f>
        <v>1980</v>
      </c>
      <c r="G44" s="233">
        <v>2232</v>
      </c>
      <c r="H44" s="233">
        <f t="shared" ref="H44:H58" si="3">F26</f>
        <v>2012</v>
      </c>
      <c r="I44" s="232">
        <f t="shared" ref="I44:I56" si="4">H44/C44</f>
        <v>0.90143369175627241</v>
      </c>
      <c r="J44" s="233">
        <f t="shared" ref="J44:J56" si="5">G26/1000</f>
        <v>13026.22603</v>
      </c>
      <c r="K44" s="233">
        <f t="shared" ref="K44:K58" si="6">H3/1000</f>
        <v>11778.39086</v>
      </c>
      <c r="L44" s="233">
        <f t="shared" ref="L44:L58" si="7">K26/1000</f>
        <v>12114.356</v>
      </c>
      <c r="M44" s="233">
        <f>SUMIF('eskom production 2009-YTD'!$A$5:$A$32,B44,'eskom production 2009-YTD'!$Q$5:$Q$32)/1000</f>
        <v>12020.37225</v>
      </c>
      <c r="N44" s="233">
        <f t="shared" ref="N44:N58" si="8">L3/1000</f>
        <v>10863.284970000001</v>
      </c>
      <c r="O44" s="233">
        <f>SUMIF('eskom production 2009-YTD'!$A$5:$A$32,B44,'eskom production 2009-YTD'!$P$5:$P$32)/1000</f>
        <v>10349.60125</v>
      </c>
      <c r="P44" s="232">
        <f t="shared" ref="P44:P56" si="9">L44/J44</f>
        <v>0.92999737392089454</v>
      </c>
      <c r="Q44" s="232">
        <f t="shared" ref="Q44:Q58" si="10">N44/K44</f>
        <v>0.92230637437005558</v>
      </c>
    </row>
    <row r="45" spans="1:17" ht="13.5" thickBot="1" x14ac:dyDescent="0.25">
      <c r="A45" s="235" t="s">
        <v>514</v>
      </c>
      <c r="B45" s="226" t="s">
        <v>514</v>
      </c>
      <c r="C45" s="233">
        <f t="shared" si="0"/>
        <v>1450</v>
      </c>
      <c r="D45" s="233">
        <f t="shared" si="1"/>
        <v>1520</v>
      </c>
      <c r="E45" s="233">
        <f t="shared" si="2"/>
        <v>1520</v>
      </c>
      <c r="F45" s="233">
        <f>SUMIF('eskom production 2009-YTD'!$A$102:$A$115,B45,'eskom production 2009-YTD'!$B$102:$B$115)</f>
        <v>1600</v>
      </c>
      <c r="G45" s="233">
        <v>1481</v>
      </c>
      <c r="H45" s="233">
        <f t="shared" si="3"/>
        <v>1451</v>
      </c>
      <c r="I45" s="232">
        <f t="shared" si="4"/>
        <v>1.0006896551724138</v>
      </c>
      <c r="J45" s="233">
        <f t="shared" si="5"/>
        <v>8902.1479999999992</v>
      </c>
      <c r="K45" s="233">
        <f t="shared" si="6"/>
        <v>8127.6759699999993</v>
      </c>
      <c r="L45" s="233">
        <f t="shared" si="7"/>
        <v>8261.6343799999995</v>
      </c>
      <c r="M45" s="233">
        <f>SUMIF('eskom production 2009-YTD'!$A$5:$A$32,B45,'eskom production 2009-YTD'!$Q$5:$Q$32)/1000</f>
        <v>8101.7537499999999</v>
      </c>
      <c r="N45" s="233">
        <f t="shared" si="8"/>
        <v>7486.7096500000007</v>
      </c>
      <c r="O45" s="233">
        <f>SUMIF('eskom production 2009-YTD'!$A$5:$A$32,B45,'eskom production 2009-YTD'!$P$5:$P$32)/1000</f>
        <v>7024.3787499999999</v>
      </c>
      <c r="P45" s="232">
        <f t="shared" si="9"/>
        <v>0.92804954264970663</v>
      </c>
      <c r="Q45" s="232">
        <f t="shared" si="10"/>
        <v>0.92113781081260326</v>
      </c>
    </row>
    <row r="46" spans="1:17" ht="15.75" thickBot="1" x14ac:dyDescent="0.3">
      <c r="A46" s="235" t="s">
        <v>508</v>
      </c>
      <c r="B46" s="226" t="s">
        <v>508</v>
      </c>
      <c r="C46" s="233">
        <f t="shared" si="0"/>
        <v>3450</v>
      </c>
      <c r="D46" s="233">
        <f t="shared" si="1"/>
        <v>3450</v>
      </c>
      <c r="E46" s="236">
        <f t="shared" si="2"/>
        <v>2900</v>
      </c>
      <c r="F46" s="233">
        <f>SUMIF('eskom production 2009-YTD'!$A$102:$A$115,B46,'eskom production 2009-YTD'!$B$102:$B$115)</f>
        <v>3450</v>
      </c>
      <c r="G46" s="233">
        <v>2875</v>
      </c>
      <c r="H46" s="233">
        <f t="shared" si="3"/>
        <v>2645</v>
      </c>
      <c r="I46" s="232">
        <f t="shared" si="4"/>
        <v>0.76666666666666672</v>
      </c>
      <c r="J46" s="233">
        <f t="shared" si="5"/>
        <v>18131.754000000001</v>
      </c>
      <c r="K46" s="233">
        <f t="shared" si="6"/>
        <v>11698.00035</v>
      </c>
      <c r="L46" s="233">
        <f t="shared" si="7"/>
        <v>17061.788</v>
      </c>
      <c r="M46" s="233">
        <f>SUMIF('eskom production 2009-YTD'!$A$5:$A$32,B46,'eskom production 2009-YTD'!$Q$5:$Q$32)/1000</f>
        <v>17449.587749999999</v>
      </c>
      <c r="N46" s="233">
        <f t="shared" si="8"/>
        <v>10611.909509999999</v>
      </c>
      <c r="O46" s="233">
        <f>SUMIF('eskom production 2009-YTD'!$A$5:$A$32,B46,'eskom production 2009-YTD'!$P$5:$P$32)/1000</f>
        <v>13840.51125</v>
      </c>
      <c r="P46" s="232">
        <f t="shared" si="9"/>
        <v>0.94098938249437969</v>
      </c>
      <c r="Q46" s="232">
        <f t="shared" si="10"/>
        <v>0.90715585506030516</v>
      </c>
    </row>
    <row r="47" spans="1:17" ht="15.75" thickBot="1" x14ac:dyDescent="0.3">
      <c r="A47" s="235" t="s">
        <v>447</v>
      </c>
      <c r="B47" s="226" t="s">
        <v>447</v>
      </c>
      <c r="C47" s="233">
        <f t="shared" si="0"/>
        <v>1090</v>
      </c>
      <c r="D47" s="233">
        <f t="shared" si="1"/>
        <v>1130</v>
      </c>
      <c r="E47" s="233">
        <f t="shared" si="2"/>
        <v>1080</v>
      </c>
      <c r="F47" s="236">
        <f>SUMIF('eskom production 2009-YTD'!$A$102:$A$115,B47,'eskom production 2009-YTD'!$B$102:$B$115)</f>
        <v>1200</v>
      </c>
      <c r="G47" s="236">
        <v>570</v>
      </c>
      <c r="H47" s="233">
        <f t="shared" si="3"/>
        <v>1077</v>
      </c>
      <c r="I47" s="232">
        <f t="shared" si="4"/>
        <v>0.98807339449541287</v>
      </c>
      <c r="J47" s="233">
        <f t="shared" si="5"/>
        <v>6232.2528899999998</v>
      </c>
      <c r="K47" s="233">
        <f t="shared" si="6"/>
        <v>2644.7962299999999</v>
      </c>
      <c r="L47" s="233">
        <f t="shared" si="7"/>
        <v>5836.3810000000003</v>
      </c>
      <c r="M47" s="233">
        <f>SUMIF('eskom production 2009-YTD'!$A$5:$A$32,B47,'eskom production 2009-YTD'!$Q$5:$Q$32)/1000</f>
        <v>5642.1125000000002</v>
      </c>
      <c r="N47" s="233">
        <f t="shared" si="8"/>
        <v>2407.0338999999999</v>
      </c>
      <c r="O47" s="233">
        <f>SUMIF('eskom production 2009-YTD'!$A$5:$A$32,B47,'eskom production 2009-YTD'!$P$5:$P$32)/1000</f>
        <v>3607.7220000000002</v>
      </c>
      <c r="P47" s="232">
        <f t="shared" si="9"/>
        <v>0.93648013054232793</v>
      </c>
      <c r="Q47" s="232">
        <f t="shared" si="10"/>
        <v>0.91010183419688251</v>
      </c>
    </row>
    <row r="48" spans="1:17" ht="13.5" thickBot="1" x14ac:dyDescent="0.25">
      <c r="A48" s="235" t="s">
        <v>451</v>
      </c>
      <c r="B48" s="226" t="s">
        <v>451</v>
      </c>
      <c r="C48" s="233">
        <f t="shared" si="0"/>
        <v>1865</v>
      </c>
      <c r="D48" s="233">
        <f t="shared" si="1"/>
        <v>1900</v>
      </c>
      <c r="E48" s="233">
        <f t="shared" si="2"/>
        <v>1900</v>
      </c>
      <c r="F48" s="233">
        <f>SUMIF('eskom production 2009-YTD'!$A$102:$A$115,B48,'eskom production 2009-YTD'!$B$102:$B$115)</f>
        <v>1895</v>
      </c>
      <c r="G48" s="233">
        <v>1293</v>
      </c>
      <c r="H48" s="233">
        <f t="shared" si="3"/>
        <v>1596</v>
      </c>
      <c r="I48" s="232">
        <f t="shared" si="4"/>
        <v>0.85576407506702412</v>
      </c>
      <c r="J48" s="233">
        <f t="shared" si="5"/>
        <v>10695.691490000001</v>
      </c>
      <c r="K48" s="233">
        <f t="shared" si="6"/>
        <v>8601.265800000001</v>
      </c>
      <c r="L48" s="233">
        <f t="shared" si="7"/>
        <v>10022.005999999999</v>
      </c>
      <c r="M48" s="233">
        <f>SUMIF('eskom production 2009-YTD'!$A$5:$A$32,B48,'eskom production 2009-YTD'!$Q$5:$Q$32)/1000</f>
        <v>9970.107</v>
      </c>
      <c r="N48" s="233">
        <f t="shared" si="8"/>
        <v>7985.0324299999993</v>
      </c>
      <c r="O48" s="233">
        <f>SUMIF('eskom production 2009-YTD'!$A$5:$A$32,B48,'eskom production 2009-YTD'!$P$5:$P$32)/1000</f>
        <v>7980.3654999999999</v>
      </c>
      <c r="P48" s="232">
        <f t="shared" si="9"/>
        <v>0.9370133767760721</v>
      </c>
      <c r="Q48" s="232">
        <f t="shared" si="10"/>
        <v>0.928355502047152</v>
      </c>
    </row>
    <row r="49" spans="1:33" ht="13.5" thickBot="1" x14ac:dyDescent="0.25">
      <c r="A49" s="235" t="s">
        <v>497</v>
      </c>
      <c r="B49" s="226" t="s">
        <v>497</v>
      </c>
      <c r="C49" s="233">
        <f t="shared" si="0"/>
        <v>3840</v>
      </c>
      <c r="D49" s="233">
        <f t="shared" si="1"/>
        <v>3840</v>
      </c>
      <c r="E49" s="233">
        <f t="shared" si="2"/>
        <v>3840</v>
      </c>
      <c r="F49" s="233">
        <f>SUMIF('eskom production 2009-YTD'!$A$102:$A$115,B49,'eskom production 2009-YTD'!$B$102:$B$115)</f>
        <v>3840</v>
      </c>
      <c r="G49" s="233">
        <v>3840</v>
      </c>
      <c r="H49" s="233">
        <f t="shared" si="3"/>
        <v>3949</v>
      </c>
      <c r="I49" s="232">
        <f t="shared" si="4"/>
        <v>1.0283854166666666</v>
      </c>
      <c r="J49" s="233">
        <f t="shared" si="5"/>
        <v>28855.8449</v>
      </c>
      <c r="K49" s="233">
        <f t="shared" si="6"/>
        <v>24612.913059999999</v>
      </c>
      <c r="L49" s="233">
        <f t="shared" si="7"/>
        <v>26795.831999999999</v>
      </c>
      <c r="M49" s="233">
        <f>SUMIF('eskom production 2009-YTD'!$A$5:$A$32,B49,'eskom production 2009-YTD'!$Q$5:$Q$32)/1000</f>
        <v>26476.208999999999</v>
      </c>
      <c r="N49" s="233">
        <f t="shared" si="8"/>
        <v>22694.40797</v>
      </c>
      <c r="O49" s="233">
        <f>SUMIF('eskom production 2009-YTD'!$A$5:$A$32,B49,'eskom production 2009-YTD'!$P$5:$P$32)/1000</f>
        <v>24880.333999999999</v>
      </c>
      <c r="P49" s="232">
        <f t="shared" si="9"/>
        <v>0.92861020333526945</v>
      </c>
      <c r="Q49" s="232">
        <f t="shared" si="10"/>
        <v>0.92205290428958275</v>
      </c>
    </row>
    <row r="50" spans="1:33" ht="15.75" thickBot="1" x14ac:dyDescent="0.3">
      <c r="A50" s="235" t="s">
        <v>448</v>
      </c>
      <c r="B50" s="226" t="s">
        <v>448</v>
      </c>
      <c r="C50" s="233">
        <f t="shared" si="0"/>
        <v>791</v>
      </c>
      <c r="D50" s="233">
        <f t="shared" si="1"/>
        <v>1000</v>
      </c>
      <c r="E50" s="236">
        <f t="shared" si="2"/>
        <v>900</v>
      </c>
      <c r="F50" s="233">
        <f>SUMIF('eskom production 2009-YTD'!$A$102:$A$115,B50,'eskom production 2009-YTD'!$B$102:$B$115)</f>
        <v>1000</v>
      </c>
      <c r="G50" s="233">
        <v>410</v>
      </c>
      <c r="H50" s="233">
        <f t="shared" si="3"/>
        <v>757</v>
      </c>
      <c r="I50" s="232">
        <f t="shared" si="4"/>
        <v>0.95701643489254107</v>
      </c>
      <c r="J50" s="233">
        <f t="shared" si="5"/>
        <v>3963.5690399999999</v>
      </c>
      <c r="K50" s="233">
        <f t="shared" si="6"/>
        <v>2318.90587</v>
      </c>
      <c r="L50" s="233">
        <f t="shared" si="7"/>
        <v>3714.5659999999998</v>
      </c>
      <c r="M50" s="233">
        <f>SUMIF('eskom production 2009-YTD'!$A$5:$A$32,B50,'eskom production 2009-YTD'!$Q$5:$Q$32)/1000</f>
        <v>3677.61175</v>
      </c>
      <c r="N50" s="233">
        <f t="shared" si="8"/>
        <v>2153.5773599999998</v>
      </c>
      <c r="O50" s="233">
        <f>SUMIF('eskom production 2009-YTD'!$A$5:$A$32,B50,'eskom production 2009-YTD'!$P$5:$P$32)/1000</f>
        <v>2688.0002500000001</v>
      </c>
      <c r="P50" s="232">
        <f t="shared" si="9"/>
        <v>0.93717706504236897</v>
      </c>
      <c r="Q50" s="232">
        <f t="shared" si="10"/>
        <v>0.92870408750140421</v>
      </c>
    </row>
    <row r="51" spans="1:33" ht="13.5" thickBot="1" x14ac:dyDescent="0.25">
      <c r="A51" s="235" t="s">
        <v>452</v>
      </c>
      <c r="B51" s="226" t="s">
        <v>452</v>
      </c>
      <c r="C51" s="233">
        <f t="shared" si="0"/>
        <v>2850</v>
      </c>
      <c r="D51" s="233">
        <f t="shared" si="1"/>
        <v>2850</v>
      </c>
      <c r="E51" s="233">
        <f t="shared" si="2"/>
        <v>2880</v>
      </c>
      <c r="F51" s="233">
        <f>SUMIF('eskom production 2009-YTD'!$A$102:$A$115,B51,'eskom production 2009-YTD'!$B$102:$B$115)</f>
        <v>2850</v>
      </c>
      <c r="G51" s="233">
        <v>2850</v>
      </c>
      <c r="H51" s="233">
        <f t="shared" si="3"/>
        <v>2580</v>
      </c>
      <c r="I51" s="232">
        <f t="shared" si="4"/>
        <v>0.90526315789473688</v>
      </c>
      <c r="J51" s="233">
        <f t="shared" si="5"/>
        <v>16944.76872</v>
      </c>
      <c r="K51" s="233">
        <f t="shared" si="6"/>
        <v>13465.249300000001</v>
      </c>
      <c r="L51" s="233">
        <f t="shared" si="7"/>
        <v>15721.022000000001</v>
      </c>
      <c r="M51" s="233">
        <f>SUMIF('eskom production 2009-YTD'!$A$5:$A$32,B51,'eskom production 2009-YTD'!$Q$5:$Q$32)/1000</f>
        <v>16250.308999999999</v>
      </c>
      <c r="N51" s="233">
        <f t="shared" si="8"/>
        <v>12595.076140000001</v>
      </c>
      <c r="O51" s="233">
        <f>SUMIF('eskom production 2009-YTD'!$A$5:$A$32,B51,'eskom production 2009-YTD'!$P$5:$P$32)/1000</f>
        <v>12847.198</v>
      </c>
      <c r="P51" s="232">
        <f t="shared" si="9"/>
        <v>0.92778026420888204</v>
      </c>
      <c r="Q51" s="232">
        <f t="shared" si="10"/>
        <v>0.93537637955206665</v>
      </c>
    </row>
    <row r="52" spans="1:33" ht="13.5" thickBot="1" x14ac:dyDescent="0.25">
      <c r="A52" s="235" t="s">
        <v>483</v>
      </c>
      <c r="B52" s="226" t="s">
        <v>483</v>
      </c>
      <c r="C52" s="233">
        <f t="shared" si="0"/>
        <v>3558</v>
      </c>
      <c r="D52" s="233">
        <f t="shared" si="1"/>
        <v>3558</v>
      </c>
      <c r="E52" s="233">
        <f t="shared" si="2"/>
        <v>3540</v>
      </c>
      <c r="F52" s="233">
        <f>SUMIF('eskom production 2009-YTD'!$A$102:$A$115,B52,'eskom production 2009-YTD'!$B$102:$B$115)</f>
        <v>3558</v>
      </c>
      <c r="G52" s="233">
        <v>3558</v>
      </c>
      <c r="H52" s="233">
        <f t="shared" si="3"/>
        <v>3575</v>
      </c>
      <c r="I52" s="232">
        <f t="shared" si="4"/>
        <v>1.0047779651489601</v>
      </c>
      <c r="J52" s="233">
        <f t="shared" si="5"/>
        <v>24333.5736</v>
      </c>
      <c r="K52" s="233">
        <f t="shared" si="6"/>
        <v>20827.205899999997</v>
      </c>
      <c r="L52" s="233">
        <f t="shared" si="7"/>
        <v>22945.066999999999</v>
      </c>
      <c r="M52" s="233">
        <f>SUMIF('eskom production 2009-YTD'!$A$5:$A$32,B52,'eskom production 2009-YTD'!$Q$5:$Q$32)/1000</f>
        <v>22928.888749999998</v>
      </c>
      <c r="N52" s="233">
        <f t="shared" si="8"/>
        <v>19655.04811</v>
      </c>
      <c r="O52" s="233">
        <f>SUMIF('eskom production 2009-YTD'!$A$5:$A$32,B52,'eskom production 2009-YTD'!$P$5:$P$32)/1000</f>
        <v>19219.980500000001</v>
      </c>
      <c r="P52" s="232">
        <f t="shared" si="9"/>
        <v>0.94293864835372965</v>
      </c>
      <c r="Q52" s="232">
        <f t="shared" si="10"/>
        <v>0.94371987314918715</v>
      </c>
    </row>
    <row r="53" spans="1:33" ht="13.5" thickBot="1" x14ac:dyDescent="0.25">
      <c r="A53" s="235" t="s">
        <v>449</v>
      </c>
      <c r="B53" s="226" t="s">
        <v>449</v>
      </c>
      <c r="C53" s="233">
        <f t="shared" si="0"/>
        <v>3843</v>
      </c>
      <c r="D53" s="233">
        <f t="shared" si="1"/>
        <v>3843</v>
      </c>
      <c r="E53" s="233">
        <f>(H72+H73)*1000</f>
        <v>3840</v>
      </c>
      <c r="F53" s="233">
        <f>SUMIF('eskom production 2009-YTD'!$A$102:$A$115,B53,'eskom production 2009-YTD'!$B$102:$B$115)</f>
        <v>3843</v>
      </c>
      <c r="G53" s="233">
        <v>3843</v>
      </c>
      <c r="H53" s="233">
        <f t="shared" si="3"/>
        <v>3814</v>
      </c>
      <c r="I53" s="232">
        <f t="shared" si="4"/>
        <v>0.9924538121259433</v>
      </c>
      <c r="J53" s="233">
        <f t="shared" si="5"/>
        <v>27647.99322</v>
      </c>
      <c r="K53" s="233">
        <f t="shared" si="6"/>
        <v>26301.01413</v>
      </c>
      <c r="L53" s="233">
        <f t="shared" si="7"/>
        <v>25421.527999999998</v>
      </c>
      <c r="M53" s="233">
        <f>SUMIF('eskom production 2009-YTD'!$A$5:$A$32,B53,'eskom production 2009-YTD'!$Q$5:$Q$32)/1000</f>
        <v>24917.637500000001</v>
      </c>
      <c r="N53" s="233">
        <f t="shared" si="8"/>
        <v>24391.784050000002</v>
      </c>
      <c r="O53" s="233">
        <f>SUMIF('eskom production 2009-YTD'!$A$5:$A$32,B53,'eskom production 2009-YTD'!$P$5:$P$32)/1000</f>
        <v>23535.142500000002</v>
      </c>
      <c r="P53" s="232">
        <f t="shared" si="9"/>
        <v>0.91947100094087764</v>
      </c>
      <c r="Q53" s="232">
        <f t="shared" si="10"/>
        <v>0.92740849951400728</v>
      </c>
    </row>
    <row r="54" spans="1:33" ht="15.75" thickBot="1" x14ac:dyDescent="0.3">
      <c r="A54" s="235" t="s">
        <v>476</v>
      </c>
      <c r="B54" s="226" t="s">
        <v>476</v>
      </c>
      <c r="C54" s="233">
        <f t="shared" si="0"/>
        <v>3690</v>
      </c>
      <c r="D54" s="233">
        <f t="shared" si="1"/>
        <v>3690</v>
      </c>
      <c r="E54" s="234">
        <f>H74*1000</f>
        <v>3720</v>
      </c>
      <c r="F54" s="233">
        <f>SUMIF('eskom production 2009-YTD'!$A$102:$A$115,B54,'eskom production 2009-YTD'!$B$102:$B$115)</f>
        <v>3690</v>
      </c>
      <c r="G54" s="233">
        <v>3690</v>
      </c>
      <c r="H54" s="233">
        <f t="shared" si="3"/>
        <v>3723</v>
      </c>
      <c r="I54" s="232">
        <f t="shared" si="4"/>
        <v>1.0089430894308944</v>
      </c>
      <c r="J54" s="233">
        <f t="shared" si="5"/>
        <v>29865.255359999999</v>
      </c>
      <c r="K54" s="233">
        <f t="shared" si="6"/>
        <v>29602.780119999999</v>
      </c>
      <c r="L54" s="233">
        <f t="shared" si="7"/>
        <v>27185.868999999999</v>
      </c>
      <c r="M54" s="233">
        <f>SUMIF('eskom production 2009-YTD'!$A$5:$A$32,B54,'eskom production 2009-YTD'!$Q$5:$Q$32)/1000</f>
        <v>27010.460999999999</v>
      </c>
      <c r="N54" s="233">
        <f t="shared" si="8"/>
        <v>27016.110720000001</v>
      </c>
      <c r="O54" s="233">
        <f>SUMIF('eskom production 2009-YTD'!$A$5:$A$32,B54,'eskom production 2009-YTD'!$P$5:$P$32)/1000</f>
        <v>26179.318749999999</v>
      </c>
      <c r="P54" s="232">
        <f t="shared" si="9"/>
        <v>0.91028416373132259</v>
      </c>
      <c r="Q54" s="232">
        <f t="shared" si="10"/>
        <v>0.91262072719134868</v>
      </c>
    </row>
    <row r="55" spans="1:33" ht="15.75" thickBot="1" x14ac:dyDescent="0.3">
      <c r="A55" s="235" t="s">
        <v>455</v>
      </c>
      <c r="B55" s="226" t="s">
        <v>455</v>
      </c>
      <c r="C55" s="233">
        <f t="shared" si="0"/>
        <v>3450</v>
      </c>
      <c r="D55" s="233">
        <f t="shared" si="1"/>
        <v>3450</v>
      </c>
      <c r="E55" s="234">
        <f>H75*1000</f>
        <v>3480</v>
      </c>
      <c r="F55" s="233">
        <f>SUMIF('eskom production 2009-YTD'!$A$102:$A$115,B55,'eskom production 2009-YTD'!$B$102:$B$115)</f>
        <v>3450</v>
      </c>
      <c r="G55" s="233">
        <v>3450</v>
      </c>
      <c r="H55" s="233">
        <f t="shared" si="3"/>
        <v>3388</v>
      </c>
      <c r="I55" s="232">
        <f t="shared" si="4"/>
        <v>0.98202898550724638</v>
      </c>
      <c r="J55" s="233">
        <f t="shared" si="5"/>
        <v>22765.42929</v>
      </c>
      <c r="K55" s="233">
        <f t="shared" si="6"/>
        <v>20761.5798</v>
      </c>
      <c r="L55" s="233">
        <f t="shared" si="7"/>
        <v>21407.175999999999</v>
      </c>
      <c r="M55" s="233">
        <f>SUMIF('eskom production 2009-YTD'!$A$5:$A$32,B55,'eskom production 2009-YTD'!$Q$5:$Q$32)/1000</f>
        <v>21617.273000000001</v>
      </c>
      <c r="N55" s="233">
        <f t="shared" si="8"/>
        <v>19543.483479999999</v>
      </c>
      <c r="O55" s="233">
        <f>SUMIF('eskom production 2009-YTD'!$A$5:$A$32,B55,'eskom production 2009-YTD'!$P$5:$P$32)/1000</f>
        <v>19564.351500000001</v>
      </c>
      <c r="P55" s="232">
        <f t="shared" si="9"/>
        <v>0.94033702274190667</v>
      </c>
      <c r="Q55" s="232">
        <f t="shared" si="10"/>
        <v>0.94132930481523369</v>
      </c>
    </row>
    <row r="56" spans="1:33" ht="15.75" thickBot="1" x14ac:dyDescent="0.3">
      <c r="A56" s="235" t="s">
        <v>460</v>
      </c>
      <c r="B56" s="226" t="s">
        <v>460</v>
      </c>
      <c r="C56" s="233">
        <f t="shared" si="0"/>
        <v>3510</v>
      </c>
      <c r="D56" s="233">
        <f t="shared" si="1"/>
        <v>3510</v>
      </c>
      <c r="E56" s="234">
        <f>H76*1000</f>
        <v>3540</v>
      </c>
      <c r="F56" s="233">
        <f>SUMIF('eskom production 2009-YTD'!$A$102:$A$115,B56,'eskom production 2009-YTD'!$B$102:$B$115)</f>
        <v>3510</v>
      </c>
      <c r="G56" s="233">
        <v>3510</v>
      </c>
      <c r="H56" s="233">
        <f t="shared" si="3"/>
        <v>3378</v>
      </c>
      <c r="I56" s="232">
        <f t="shared" si="4"/>
        <v>0.96239316239316242</v>
      </c>
      <c r="J56" s="233">
        <f t="shared" si="5"/>
        <v>20747.557000000001</v>
      </c>
      <c r="K56" s="233">
        <f t="shared" si="6"/>
        <v>17465.88077</v>
      </c>
      <c r="L56" s="233">
        <f t="shared" si="7"/>
        <v>19587.286</v>
      </c>
      <c r="M56" s="233">
        <f>SUMIF('eskom production 2009-YTD'!$A$5:$A$32,B56,'eskom production 2009-YTD'!$Q$5:$Q$32)/1000</f>
        <v>19606.148249999998</v>
      </c>
      <c r="N56" s="233">
        <f t="shared" si="8"/>
        <v>16239.418180000001</v>
      </c>
      <c r="O56" s="233">
        <f>SUMIF('eskom production 2009-YTD'!$A$5:$A$32,B56,'eskom production 2009-YTD'!$P$5:$P$32)/1000</f>
        <v>16555.39775</v>
      </c>
      <c r="P56" s="232">
        <f t="shared" si="9"/>
        <v>0.94407674117969642</v>
      </c>
      <c r="Q56" s="232">
        <f t="shared" si="10"/>
        <v>0.9297795166387135</v>
      </c>
    </row>
    <row r="57" spans="1:33" x14ac:dyDescent="0.2">
      <c r="B57" s="226" t="s">
        <v>468</v>
      </c>
      <c r="C57" s="233">
        <f t="shared" si="0"/>
        <v>0</v>
      </c>
      <c r="D57" s="233">
        <f t="shared" si="1"/>
        <v>4500</v>
      </c>
      <c r="E57" s="233"/>
      <c r="F57" s="233"/>
      <c r="G57" s="233">
        <v>2157</v>
      </c>
      <c r="H57" s="233">
        <f t="shared" si="3"/>
        <v>0</v>
      </c>
      <c r="K57" s="233">
        <f t="shared" si="6"/>
        <v>13799.324470000001</v>
      </c>
      <c r="L57" s="233">
        <f t="shared" si="7"/>
        <v>0</v>
      </c>
      <c r="N57" s="233">
        <f t="shared" si="8"/>
        <v>12555.518119999999</v>
      </c>
      <c r="O57" s="233">
        <f>SUMIF('eskom production 2009-YTD'!$A$5:$A$32,B57,'eskom production 2009-YTD'!$P$5:$P$32)/1000</f>
        <v>10139.926479999998</v>
      </c>
      <c r="P57" s="232"/>
      <c r="Q57" s="232">
        <f t="shared" si="10"/>
        <v>0.90986469281854621</v>
      </c>
    </row>
    <row r="58" spans="1:33" x14ac:dyDescent="0.2">
      <c r="B58" s="226" t="s">
        <v>559</v>
      </c>
      <c r="C58" s="233">
        <f t="shared" si="0"/>
        <v>0</v>
      </c>
      <c r="D58" s="233">
        <f t="shared" si="1"/>
        <v>4800</v>
      </c>
      <c r="E58" s="233"/>
      <c r="F58" s="233"/>
      <c r="G58" s="233">
        <v>720</v>
      </c>
      <c r="H58" s="233">
        <f t="shared" si="3"/>
        <v>0</v>
      </c>
      <c r="K58" s="233">
        <f t="shared" si="6"/>
        <v>3899.9156400000002</v>
      </c>
      <c r="L58" s="233">
        <f t="shared" si="7"/>
        <v>0</v>
      </c>
      <c r="N58" s="233">
        <f t="shared" si="8"/>
        <v>3497.2460000000001</v>
      </c>
      <c r="O58" s="233">
        <f>SUMIF('eskom production 2009-YTD'!$A$5:$A$32,B58,'eskom production 2009-YTD'!$P$5:$P$32)/1000</f>
        <v>1379.5989999999999</v>
      </c>
      <c r="P58" s="232"/>
      <c r="Q58" s="232">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154</v>
      </c>
      <c r="B63" s="64" t="s">
        <v>317</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154</v>
      </c>
      <c r="B64" s="64" t="s">
        <v>323</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154</v>
      </c>
      <c r="B65" s="64" t="s">
        <v>315</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154</v>
      </c>
      <c r="B66" s="64" t="s">
        <v>321</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154</v>
      </c>
      <c r="B67" s="64" t="s">
        <v>313</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154</v>
      </c>
      <c r="B68" s="64" t="s">
        <v>311</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154</v>
      </c>
      <c r="B69" s="64" t="s">
        <v>319</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154</v>
      </c>
      <c r="B70" s="64" t="s">
        <v>309</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154</v>
      </c>
      <c r="B71" s="64" t="s">
        <v>307</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154</v>
      </c>
      <c r="B72" s="64" t="s">
        <v>305</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154</v>
      </c>
      <c r="B73" s="64" t="s">
        <v>303</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154</v>
      </c>
      <c r="B74" s="64" t="s">
        <v>301</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1134</v>
      </c>
      <c r="AK74" s="64">
        <v>0</v>
      </c>
    </row>
    <row r="75" spans="1:37" x14ac:dyDescent="0.2">
      <c r="A75" s="64" t="s">
        <v>154</v>
      </c>
      <c r="B75" s="64" t="s">
        <v>299</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154</v>
      </c>
      <c r="B76" s="64" t="s">
        <v>297</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90"/>
  <sheetViews>
    <sheetView topLeftCell="A51" workbookViewId="0">
      <selection activeCell="N84" sqref="N84:S88"/>
    </sheetView>
    <sheetView workbookViewId="1"/>
  </sheetViews>
  <sheetFormatPr defaultRowHeight="12.75" x14ac:dyDescent="0.2"/>
  <cols>
    <col min="1" max="2" width="9.140625" style="64"/>
    <col min="3" max="3" width="28" style="64" customWidth="1"/>
    <col min="4" max="16384" width="9.140625" style="64"/>
  </cols>
  <sheetData>
    <row r="1" spans="3:27" x14ac:dyDescent="0.2">
      <c r="C1" s="248" t="s">
        <v>1231</v>
      </c>
    </row>
    <row r="2" spans="3:27" x14ac:dyDescent="0.2">
      <c r="D2" s="64">
        <v>2013</v>
      </c>
      <c r="E2" s="64">
        <v>2014</v>
      </c>
      <c r="F2" s="64">
        <v>2015</v>
      </c>
      <c r="G2" s="64">
        <v>2016</v>
      </c>
      <c r="H2" s="64">
        <v>2017</v>
      </c>
      <c r="I2" s="64">
        <v>2018</v>
      </c>
      <c r="J2" s="64">
        <v>2019</v>
      </c>
      <c r="K2" s="64">
        <v>2020</v>
      </c>
      <c r="L2" s="64">
        <v>2021</v>
      </c>
    </row>
    <row r="3" spans="3:27" x14ac:dyDescent="0.2">
      <c r="C3" s="248" t="s">
        <v>116</v>
      </c>
    </row>
    <row r="4" spans="3:27" x14ac:dyDescent="0.2">
      <c r="C4" s="64" t="s">
        <v>253</v>
      </c>
      <c r="D4" s="64">
        <v>257</v>
      </c>
      <c r="E4" s="64">
        <v>560</v>
      </c>
      <c r="F4" s="64">
        <v>1075</v>
      </c>
      <c r="G4" s="64">
        <v>1460</v>
      </c>
      <c r="H4" s="64">
        <v>2080</v>
      </c>
      <c r="I4" s="64">
        <v>2080</v>
      </c>
      <c r="J4" s="64">
        <v>2080</v>
      </c>
    </row>
    <row r="5" spans="3:27" x14ac:dyDescent="0.2">
      <c r="C5" s="64" t="s">
        <v>1229</v>
      </c>
      <c r="D5" s="64">
        <v>210</v>
      </c>
      <c r="E5" s="64">
        <v>960</v>
      </c>
      <c r="F5" s="64">
        <v>965</v>
      </c>
      <c r="G5" s="64">
        <v>1474</v>
      </c>
      <c r="H5" s="64">
        <v>1474</v>
      </c>
      <c r="I5" s="64">
        <v>1474</v>
      </c>
      <c r="J5" s="64">
        <v>1474</v>
      </c>
    </row>
    <row r="6" spans="3:27" x14ac:dyDescent="0.2">
      <c r="C6" s="64" t="s">
        <v>1228</v>
      </c>
      <c r="G6" s="64">
        <v>200</v>
      </c>
      <c r="H6" s="64">
        <v>300</v>
      </c>
      <c r="I6" s="64">
        <v>400</v>
      </c>
      <c r="J6" s="64">
        <v>500</v>
      </c>
    </row>
    <row r="7" spans="3:27" x14ac:dyDescent="0.2">
      <c r="C7" s="248" t="s">
        <v>1230</v>
      </c>
    </row>
    <row r="8" spans="3:27" x14ac:dyDescent="0.2">
      <c r="C8" s="64" t="s">
        <v>253</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1229</v>
      </c>
      <c r="D9" s="64">
        <f>D5</f>
        <v>210</v>
      </c>
      <c r="E9" s="64">
        <f t="shared" si="0"/>
        <v>750</v>
      </c>
      <c r="F9" s="64">
        <f t="shared" si="0"/>
        <v>5</v>
      </c>
      <c r="G9" s="64">
        <f t="shared" si="0"/>
        <v>509</v>
      </c>
      <c r="H9" s="64">
        <f t="shared" si="0"/>
        <v>0</v>
      </c>
      <c r="I9" s="64">
        <f t="shared" si="0"/>
        <v>0</v>
      </c>
      <c r="J9" s="64">
        <f t="shared" si="0"/>
        <v>0</v>
      </c>
    </row>
    <row r="10" spans="3:27" x14ac:dyDescent="0.2">
      <c r="C10" s="64" t="s">
        <v>1228</v>
      </c>
      <c r="D10" s="64">
        <f>D6</f>
        <v>0</v>
      </c>
      <c r="E10" s="64">
        <f t="shared" si="0"/>
        <v>0</v>
      </c>
      <c r="F10" s="64">
        <f t="shared" si="0"/>
        <v>0</v>
      </c>
      <c r="G10" s="64">
        <f t="shared" si="0"/>
        <v>200</v>
      </c>
      <c r="H10" s="64">
        <f t="shared" si="0"/>
        <v>100</v>
      </c>
      <c r="I10" s="64">
        <f t="shared" si="0"/>
        <v>100</v>
      </c>
      <c r="J10" s="64">
        <f t="shared" si="0"/>
        <v>100</v>
      </c>
    </row>
    <row r="12" spans="3:27" x14ac:dyDescent="0.2">
      <c r="AA12" s="64" t="s">
        <v>773</v>
      </c>
    </row>
    <row r="13" spans="3:27" x14ac:dyDescent="0.2">
      <c r="AA13" s="64" t="s">
        <v>1169</v>
      </c>
    </row>
    <row r="14" spans="3:27" x14ac:dyDescent="0.2">
      <c r="AA14" s="64" t="s">
        <v>1168</v>
      </c>
    </row>
    <row r="15" spans="3:27" x14ac:dyDescent="0.2">
      <c r="C15" s="248" t="s">
        <v>1227</v>
      </c>
      <c r="AA15" s="64" t="s">
        <v>1053</v>
      </c>
    </row>
    <row r="16" spans="3:27" x14ac:dyDescent="0.2">
      <c r="C16" s="61" t="s">
        <v>1226</v>
      </c>
    </row>
    <row r="17" spans="3:8" x14ac:dyDescent="0.2">
      <c r="C17" s="64" t="s">
        <v>1225</v>
      </c>
      <c r="D17" s="64" t="s">
        <v>1224</v>
      </c>
      <c r="E17" s="64" t="s">
        <v>1223</v>
      </c>
      <c r="F17" s="64" t="s">
        <v>1222</v>
      </c>
      <c r="G17" s="64" t="s">
        <v>1221</v>
      </c>
      <c r="H17" s="64" t="s">
        <v>1220</v>
      </c>
    </row>
    <row r="18" spans="3:8" x14ac:dyDescent="0.2">
      <c r="C18" s="64" t="s">
        <v>1219</v>
      </c>
      <c r="D18" s="64" t="s">
        <v>773</v>
      </c>
      <c r="E18" s="64">
        <v>40</v>
      </c>
      <c r="F18" s="64" t="s">
        <v>1173</v>
      </c>
      <c r="G18" s="64" t="s">
        <v>1218</v>
      </c>
      <c r="H18" s="64" t="s">
        <v>1171</v>
      </c>
    </row>
    <row r="19" spans="3:8" x14ac:dyDescent="0.2">
      <c r="C19" s="64" t="s">
        <v>1217</v>
      </c>
      <c r="D19" s="64" t="s">
        <v>773</v>
      </c>
      <c r="E19" s="64">
        <v>68</v>
      </c>
      <c r="F19" s="64" t="s">
        <v>1173</v>
      </c>
      <c r="G19" s="64" t="s">
        <v>1216</v>
      </c>
      <c r="H19" s="64" t="s">
        <v>1171</v>
      </c>
    </row>
    <row r="20" spans="3:8" x14ac:dyDescent="0.2">
      <c r="C20" s="64" t="s">
        <v>1215</v>
      </c>
      <c r="D20" s="64" t="s">
        <v>1169</v>
      </c>
      <c r="E20" s="64">
        <v>102</v>
      </c>
      <c r="F20" s="64" t="s">
        <v>1173</v>
      </c>
      <c r="G20" s="64" t="s">
        <v>1205</v>
      </c>
      <c r="H20" s="64" t="s">
        <v>1171</v>
      </c>
    </row>
    <row r="21" spans="3:8" x14ac:dyDescent="0.2">
      <c r="C21" s="64" t="s">
        <v>1214</v>
      </c>
      <c r="D21" s="64" t="s">
        <v>773</v>
      </c>
      <c r="E21" s="64">
        <v>50</v>
      </c>
      <c r="F21" s="64" t="s">
        <v>1173</v>
      </c>
      <c r="G21" s="64" t="s">
        <v>1213</v>
      </c>
      <c r="H21" s="64" t="s">
        <v>1171</v>
      </c>
    </row>
    <row r="22" spans="3:8" x14ac:dyDescent="0.2">
      <c r="C22" s="64" t="s">
        <v>1212</v>
      </c>
      <c r="D22" s="64" t="s">
        <v>773</v>
      </c>
      <c r="E22" s="64">
        <v>75</v>
      </c>
      <c r="F22" s="64" t="s">
        <v>1173</v>
      </c>
      <c r="G22" s="64" t="s">
        <v>1211</v>
      </c>
      <c r="H22" s="64" t="s">
        <v>1171</v>
      </c>
    </row>
    <row r="23" spans="3:8" x14ac:dyDescent="0.2">
      <c r="C23" s="64" t="s">
        <v>1210</v>
      </c>
      <c r="D23" s="64" t="s">
        <v>773</v>
      </c>
      <c r="E23" s="64">
        <v>75</v>
      </c>
      <c r="F23" s="64" t="s">
        <v>1173</v>
      </c>
      <c r="G23" s="64" t="s">
        <v>1182</v>
      </c>
      <c r="H23" s="64" t="s">
        <v>1171</v>
      </c>
    </row>
    <row r="24" spans="3:8" x14ac:dyDescent="0.2">
      <c r="C24" s="64" t="s">
        <v>1209</v>
      </c>
      <c r="D24" s="64" t="s">
        <v>773</v>
      </c>
      <c r="E24" s="64">
        <v>75</v>
      </c>
      <c r="F24" s="64" t="s">
        <v>1173</v>
      </c>
      <c r="G24" s="64" t="s">
        <v>1182</v>
      </c>
      <c r="H24" s="64" t="s">
        <v>1171</v>
      </c>
    </row>
    <row r="25" spans="3:8" x14ac:dyDescent="0.2">
      <c r="C25" s="64" t="s">
        <v>1208</v>
      </c>
      <c r="D25" s="64" t="s">
        <v>1169</v>
      </c>
      <c r="E25" s="64">
        <v>32</v>
      </c>
      <c r="F25" s="64" t="s">
        <v>1173</v>
      </c>
      <c r="G25" s="64" t="s">
        <v>1207</v>
      </c>
      <c r="H25" s="64" t="s">
        <v>1171</v>
      </c>
    </row>
    <row r="26" spans="3:8" x14ac:dyDescent="0.2">
      <c r="C26" s="64" t="s">
        <v>1206</v>
      </c>
      <c r="D26" s="64" t="s">
        <v>1169</v>
      </c>
      <c r="E26" s="64">
        <v>136</v>
      </c>
      <c r="F26" s="64" t="s">
        <v>1173</v>
      </c>
      <c r="G26" s="64" t="s">
        <v>1205</v>
      </c>
      <c r="H26" s="64" t="s">
        <v>1171</v>
      </c>
    </row>
    <row r="27" spans="3:8" x14ac:dyDescent="0.2">
      <c r="C27" s="64" t="s">
        <v>1204</v>
      </c>
      <c r="D27" s="64" t="s">
        <v>1169</v>
      </c>
      <c r="E27" s="64">
        <v>120</v>
      </c>
      <c r="F27" s="64" t="s">
        <v>1173</v>
      </c>
      <c r="G27" s="64" t="s">
        <v>1191</v>
      </c>
      <c r="H27" s="64" t="s">
        <v>1171</v>
      </c>
    </row>
    <row r="28" spans="3:8" x14ac:dyDescent="0.2">
      <c r="C28" s="64" t="s">
        <v>1203</v>
      </c>
      <c r="D28" s="64" t="s">
        <v>773</v>
      </c>
      <c r="E28" s="64">
        <v>55</v>
      </c>
      <c r="F28" s="64" t="s">
        <v>1173</v>
      </c>
      <c r="G28" s="64" t="s">
        <v>1202</v>
      </c>
      <c r="H28" s="64" t="s">
        <v>1171</v>
      </c>
    </row>
    <row r="29" spans="3:8" x14ac:dyDescent="0.2">
      <c r="C29" s="64" t="s">
        <v>1201</v>
      </c>
      <c r="D29" s="64" t="s">
        <v>1169</v>
      </c>
      <c r="E29" s="64">
        <v>137</v>
      </c>
      <c r="F29" s="64" t="s">
        <v>1173</v>
      </c>
      <c r="G29" s="64" t="s">
        <v>1200</v>
      </c>
      <c r="H29" s="64" t="s">
        <v>1186</v>
      </c>
    </row>
    <row r="30" spans="3:8" x14ac:dyDescent="0.2">
      <c r="C30" s="64" t="s">
        <v>1199</v>
      </c>
      <c r="D30" s="64" t="s">
        <v>1169</v>
      </c>
      <c r="E30" s="64">
        <v>140</v>
      </c>
      <c r="F30" s="64" t="s">
        <v>1173</v>
      </c>
      <c r="G30" s="64" t="s">
        <v>1184</v>
      </c>
      <c r="H30" s="64" t="s">
        <v>1171</v>
      </c>
    </row>
    <row r="31" spans="3:8" x14ac:dyDescent="0.2">
      <c r="C31" s="64" t="s">
        <v>1198</v>
      </c>
      <c r="D31" s="64" t="s">
        <v>773</v>
      </c>
      <c r="E31" s="64">
        <v>75</v>
      </c>
      <c r="F31" s="64" t="s">
        <v>1173</v>
      </c>
      <c r="G31" s="64" t="s">
        <v>1197</v>
      </c>
      <c r="H31" s="64" t="s">
        <v>1171</v>
      </c>
    </row>
    <row r="32" spans="3:8" x14ac:dyDescent="0.2">
      <c r="C32" s="64" t="s">
        <v>1196</v>
      </c>
      <c r="D32" s="64" t="s">
        <v>1168</v>
      </c>
      <c r="E32" s="64">
        <v>4.5</v>
      </c>
      <c r="F32" s="64" t="s">
        <v>1173</v>
      </c>
      <c r="G32" s="64" t="s">
        <v>1195</v>
      </c>
      <c r="H32" s="64" t="s">
        <v>1171</v>
      </c>
    </row>
    <row r="33" spans="3:13" x14ac:dyDescent="0.2">
      <c r="C33" s="64" t="s">
        <v>1194</v>
      </c>
      <c r="D33" s="64" t="s">
        <v>1053</v>
      </c>
      <c r="E33" s="64">
        <v>62</v>
      </c>
      <c r="F33" s="64" t="s">
        <v>1173</v>
      </c>
      <c r="G33" s="64" t="s">
        <v>1193</v>
      </c>
      <c r="H33" s="64" t="s">
        <v>1171</v>
      </c>
    </row>
    <row r="34" spans="3:13" x14ac:dyDescent="0.2">
      <c r="C34" s="64" t="s">
        <v>1192</v>
      </c>
      <c r="D34" s="64" t="s">
        <v>1169</v>
      </c>
      <c r="E34" s="64">
        <v>140</v>
      </c>
      <c r="F34" s="64" t="s">
        <v>1173</v>
      </c>
      <c r="G34" s="64" t="s">
        <v>1191</v>
      </c>
      <c r="H34" s="64" t="s">
        <v>1171</v>
      </c>
    </row>
    <row r="35" spans="3:13" x14ac:dyDescent="0.2">
      <c r="C35" s="64" t="s">
        <v>1190</v>
      </c>
      <c r="D35" s="64" t="s">
        <v>1169</v>
      </c>
      <c r="E35" s="64">
        <v>140</v>
      </c>
      <c r="F35" s="64" t="s">
        <v>1173</v>
      </c>
      <c r="G35" s="64" t="s">
        <v>1189</v>
      </c>
      <c r="H35" s="64" t="s">
        <v>1171</v>
      </c>
    </row>
    <row r="36" spans="3:13" x14ac:dyDescent="0.2">
      <c r="C36" s="64" t="s">
        <v>1188</v>
      </c>
      <c r="D36" s="64" t="s">
        <v>1169</v>
      </c>
      <c r="E36" s="64">
        <v>108</v>
      </c>
      <c r="F36" s="64" t="s">
        <v>1173</v>
      </c>
      <c r="G36" s="64" t="s">
        <v>1187</v>
      </c>
      <c r="H36" s="64" t="s">
        <v>1186</v>
      </c>
    </row>
    <row r="37" spans="3:13" x14ac:dyDescent="0.2">
      <c r="C37" s="64" t="s">
        <v>1185</v>
      </c>
      <c r="D37" s="64" t="s">
        <v>1169</v>
      </c>
      <c r="E37" s="64">
        <v>140</v>
      </c>
      <c r="F37" s="64" t="s">
        <v>1173</v>
      </c>
      <c r="G37" s="64" t="s">
        <v>1184</v>
      </c>
      <c r="H37" s="64" t="s">
        <v>1171</v>
      </c>
    </row>
    <row r="38" spans="3:13" x14ac:dyDescent="0.2">
      <c r="C38" s="64" t="s">
        <v>1183</v>
      </c>
      <c r="D38" s="64" t="s">
        <v>773</v>
      </c>
      <c r="E38" s="64">
        <v>75</v>
      </c>
      <c r="F38" s="64" t="s">
        <v>1173</v>
      </c>
      <c r="G38" s="64" t="s">
        <v>1182</v>
      </c>
      <c r="H38" s="64" t="s">
        <v>1171</v>
      </c>
    </row>
    <row r="39" spans="3:13" x14ac:dyDescent="0.2">
      <c r="C39" s="64" t="s">
        <v>1181</v>
      </c>
      <c r="D39" s="64" t="s">
        <v>773</v>
      </c>
      <c r="E39" s="64">
        <v>75</v>
      </c>
      <c r="F39" s="64" t="s">
        <v>1173</v>
      </c>
      <c r="G39" s="64" t="s">
        <v>1180</v>
      </c>
      <c r="H39" s="64" t="s">
        <v>1171</v>
      </c>
    </row>
    <row r="40" spans="3:13" x14ac:dyDescent="0.2">
      <c r="C40" s="64" t="s">
        <v>1179</v>
      </c>
      <c r="D40" s="64" t="s">
        <v>1169</v>
      </c>
      <c r="E40" s="64">
        <v>139</v>
      </c>
      <c r="F40" s="64" t="s">
        <v>1173</v>
      </c>
      <c r="G40" s="64" t="s">
        <v>1178</v>
      </c>
      <c r="H40" s="64" t="s">
        <v>1171</v>
      </c>
    </row>
    <row r="41" spans="3:13" x14ac:dyDescent="0.2">
      <c r="C41" s="64" t="s">
        <v>1177</v>
      </c>
      <c r="D41" s="64" t="s">
        <v>773</v>
      </c>
      <c r="E41" s="64">
        <v>75</v>
      </c>
      <c r="F41" s="64" t="s">
        <v>1173</v>
      </c>
      <c r="G41" s="64" t="s">
        <v>1176</v>
      </c>
      <c r="H41" s="64" t="s">
        <v>1171</v>
      </c>
    </row>
    <row r="42" spans="3:13" x14ac:dyDescent="0.2">
      <c r="C42" s="64" t="s">
        <v>1175</v>
      </c>
      <c r="D42" s="64" t="s">
        <v>1169</v>
      </c>
      <c r="E42" s="64">
        <v>33</v>
      </c>
      <c r="F42" s="64" t="s">
        <v>1173</v>
      </c>
      <c r="G42" s="64" t="s">
        <v>1174</v>
      </c>
      <c r="H42" s="64" t="s">
        <v>1171</v>
      </c>
    </row>
    <row r="43" spans="3:13" x14ac:dyDescent="0.2">
      <c r="C43" s="64" t="s">
        <v>1172</v>
      </c>
      <c r="D43" s="64" t="s">
        <v>773</v>
      </c>
      <c r="E43" s="64">
        <v>75</v>
      </c>
      <c r="F43" s="64" t="s">
        <v>1173</v>
      </c>
      <c r="G43" s="64" t="s">
        <v>1172</v>
      </c>
      <c r="H43" s="64" t="s">
        <v>1171</v>
      </c>
    </row>
    <row r="44" spans="3:13" x14ac:dyDescent="0.2">
      <c r="C44" s="248" t="s">
        <v>1170</v>
      </c>
      <c r="J44" s="64">
        <v>2020</v>
      </c>
      <c r="K44" s="64">
        <v>2021</v>
      </c>
      <c r="L44" s="64">
        <v>2022</v>
      </c>
      <c r="M44" s="64">
        <v>2023</v>
      </c>
    </row>
    <row r="45" spans="3:13" x14ac:dyDescent="0.2">
      <c r="C45" s="64" t="s">
        <v>773</v>
      </c>
      <c r="D45" s="64">
        <f>SUMIF($D$18:$D$43,C45,$E$18:$E$43)</f>
        <v>813</v>
      </c>
      <c r="I45" s="64">
        <f>SUM(J45:M45)</f>
        <v>0.81400000000000006</v>
      </c>
      <c r="J45" s="64">
        <v>0.114</v>
      </c>
      <c r="K45" s="64">
        <v>0.3</v>
      </c>
      <c r="L45" s="64">
        <v>0.4</v>
      </c>
      <c r="M45" s="64">
        <v>0</v>
      </c>
    </row>
    <row r="46" spans="3:13" x14ac:dyDescent="0.2">
      <c r="C46" s="64" t="s">
        <v>1169</v>
      </c>
      <c r="D46" s="64">
        <f>SUMIF($D$18:$D$43,C46,$E$18:$E$43)</f>
        <v>1367</v>
      </c>
      <c r="I46" s="64">
        <f>SUM(J46:M46)</f>
        <v>1.3620000000000001</v>
      </c>
      <c r="J46" s="64">
        <v>0.24399999999999999</v>
      </c>
      <c r="K46" s="64">
        <v>0.3</v>
      </c>
      <c r="L46" s="64">
        <v>0.81799999999999995</v>
      </c>
      <c r="M46" s="64">
        <v>0</v>
      </c>
    </row>
    <row r="47" spans="3:13" x14ac:dyDescent="0.2">
      <c r="C47" s="64" t="s">
        <v>1168</v>
      </c>
    </row>
    <row r="48" spans="3:13" x14ac:dyDescent="0.2">
      <c r="C48" s="64" t="s">
        <v>1053</v>
      </c>
    </row>
    <row r="51" spans="3:3" x14ac:dyDescent="0.2">
      <c r="C51" s="248"/>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1167</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1166</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1165</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1164</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1163</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1162</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1082</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1161</v>
      </c>
      <c r="D85" s="116">
        <f t="shared" ref="D85:N85" si="21">D68*8.76*0.2</f>
        <v>269.80799999999999</v>
      </c>
      <c r="E85" s="116">
        <f t="shared" si="21"/>
        <v>438</v>
      </c>
      <c r="F85" s="116">
        <f t="shared" si="21"/>
        <v>672.76800000000003</v>
      </c>
      <c r="G85" s="116">
        <f t="shared" si="21"/>
        <v>1023.1680000000001</v>
      </c>
      <c r="H85" s="116">
        <f t="shared" si="21"/>
        <v>1548.768</v>
      </c>
      <c r="I85" s="116">
        <f t="shared" si="21"/>
        <v>2161.9680000000003</v>
      </c>
      <c r="J85" s="116">
        <f t="shared" si="21"/>
        <v>2862.768</v>
      </c>
      <c r="K85" s="116">
        <f t="shared" si="21"/>
        <v>3651.1680000000001</v>
      </c>
      <c r="L85" s="116">
        <f t="shared" si="21"/>
        <v>4527.1680000000006</v>
      </c>
      <c r="M85" s="116">
        <f t="shared" si="21"/>
        <v>5403.1680000000006</v>
      </c>
      <c r="N85" s="116">
        <f t="shared" si="21"/>
        <v>6279.1680000000006</v>
      </c>
      <c r="O85" s="116">
        <f t="shared" ref="O85:S85" si="22">O68*8.76*0.2</f>
        <v>7155.1679999999997</v>
      </c>
      <c r="P85" s="116">
        <f t="shared" si="22"/>
        <v>8031.1679999999997</v>
      </c>
      <c r="Q85" s="116">
        <f t="shared" si="22"/>
        <v>8907.1679999999997</v>
      </c>
      <c r="R85" s="116">
        <f t="shared" si="22"/>
        <v>9783.1679999999997</v>
      </c>
      <c r="S85" s="116">
        <f t="shared" si="22"/>
        <v>10659.168</v>
      </c>
    </row>
    <row r="86" spans="3:19" x14ac:dyDescent="0.2">
      <c r="C86" s="64" t="str">
        <f>C69</f>
        <v>Commercial</v>
      </c>
      <c r="D86" s="116">
        <f t="shared" ref="D86:N86" si="23">D80*8.76*0.2</f>
        <v>215.84640000000002</v>
      </c>
      <c r="E86" s="116">
        <f t="shared" si="23"/>
        <v>350.40000000000003</v>
      </c>
      <c r="F86" s="116">
        <f t="shared" si="23"/>
        <v>538.21439999999996</v>
      </c>
      <c r="G86" s="116">
        <f t="shared" si="23"/>
        <v>818.53440000000001</v>
      </c>
      <c r="H86" s="116">
        <f t="shared" si="23"/>
        <v>1239.0144</v>
      </c>
      <c r="I86" s="116">
        <f t="shared" si="23"/>
        <v>1668.2544000000003</v>
      </c>
      <c r="J86" s="116">
        <f t="shared" si="23"/>
        <v>2158.8144000000002</v>
      </c>
      <c r="K86" s="116">
        <f t="shared" si="23"/>
        <v>2710.6944000000003</v>
      </c>
      <c r="L86" s="116">
        <f t="shared" si="23"/>
        <v>3323.8944000000006</v>
      </c>
      <c r="M86" s="116">
        <f t="shared" si="23"/>
        <v>3849.4943999999996</v>
      </c>
      <c r="N86" s="116">
        <f t="shared" si="23"/>
        <v>4375.0944</v>
      </c>
      <c r="O86" s="116">
        <f t="shared" ref="O86:S86" si="24">O80*8.76*0.2</f>
        <v>4813.0944</v>
      </c>
      <c r="P86" s="116">
        <f t="shared" si="24"/>
        <v>5207.2943999999998</v>
      </c>
      <c r="Q86" s="116">
        <f t="shared" si="24"/>
        <v>5557.6944000000003</v>
      </c>
      <c r="R86" s="116">
        <f t="shared" si="24"/>
        <v>5908.0944</v>
      </c>
      <c r="S86" s="116">
        <f t="shared" si="24"/>
        <v>6258.4943999999996</v>
      </c>
    </row>
    <row r="87" spans="3:19" x14ac:dyDescent="0.2">
      <c r="C87" s="64" t="str">
        <f>C70</f>
        <v>Residential</v>
      </c>
      <c r="D87" s="116">
        <f t="shared" ref="D87:N87" si="25">D81*8.76*0.2</f>
        <v>26.980800000000002</v>
      </c>
      <c r="E87" s="116">
        <f t="shared" si="25"/>
        <v>43.800000000000004</v>
      </c>
      <c r="F87" s="116">
        <f t="shared" si="25"/>
        <v>67.276800000000009</v>
      </c>
      <c r="G87" s="116">
        <f t="shared" si="25"/>
        <v>102.31680000000001</v>
      </c>
      <c r="H87" s="116">
        <f t="shared" si="25"/>
        <v>154.8768</v>
      </c>
      <c r="I87" s="116">
        <f t="shared" si="25"/>
        <v>216.1968</v>
      </c>
      <c r="J87" s="116">
        <f t="shared" si="25"/>
        <v>286.27680000000004</v>
      </c>
      <c r="K87" s="116">
        <f t="shared" si="25"/>
        <v>365.11680000000001</v>
      </c>
      <c r="L87" s="116">
        <f t="shared" si="25"/>
        <v>452.71680000000009</v>
      </c>
      <c r="M87" s="116">
        <f t="shared" si="25"/>
        <v>540.31680000000006</v>
      </c>
      <c r="N87" s="116">
        <f t="shared" si="25"/>
        <v>627.91680000000008</v>
      </c>
      <c r="O87" s="116">
        <f t="shared" ref="O87:S87" si="26">O81*8.76*0.2</f>
        <v>715.5168000000001</v>
      </c>
      <c r="P87" s="116">
        <f t="shared" si="26"/>
        <v>803.11680000000013</v>
      </c>
      <c r="Q87" s="116">
        <f t="shared" si="26"/>
        <v>890.71680000000003</v>
      </c>
      <c r="R87" s="116">
        <f t="shared" si="26"/>
        <v>978.31680000000006</v>
      </c>
      <c r="S87" s="116">
        <f t="shared" si="26"/>
        <v>1065.9168</v>
      </c>
    </row>
    <row r="88" spans="3:19" x14ac:dyDescent="0.2">
      <c r="C88" s="64" t="str">
        <f>C71</f>
        <v>Industrial</v>
      </c>
      <c r="D88" s="116">
        <f t="shared" ref="D88:N88" si="27">D82*8.76*0.2</f>
        <v>26.980799999999995</v>
      </c>
      <c r="E88" s="116">
        <f t="shared" si="27"/>
        <v>43.79999999999999</v>
      </c>
      <c r="F88" s="116">
        <f t="shared" si="27"/>
        <v>67.27679999999998</v>
      </c>
      <c r="G88" s="116">
        <f t="shared" si="27"/>
        <v>102.31679999999997</v>
      </c>
      <c r="H88" s="116">
        <f t="shared" si="27"/>
        <v>154.87679999999997</v>
      </c>
      <c r="I88" s="116">
        <f t="shared" si="27"/>
        <v>432.39360000000016</v>
      </c>
      <c r="J88" s="116">
        <f t="shared" si="27"/>
        <v>572.55360000000019</v>
      </c>
      <c r="K88" s="116">
        <f t="shared" si="27"/>
        <v>730.23360000000025</v>
      </c>
      <c r="L88" s="116">
        <f t="shared" si="27"/>
        <v>905.4336000000003</v>
      </c>
      <c r="M88" s="116">
        <f t="shared" si="27"/>
        <v>1620.9504000000004</v>
      </c>
      <c r="N88" s="116">
        <f t="shared" si="27"/>
        <v>1883.7504000000006</v>
      </c>
      <c r="O88" s="116">
        <f t="shared" ref="O88:S88" si="28">O82*8.76*0.2</f>
        <v>2862.0672000000004</v>
      </c>
      <c r="P88" s="116">
        <f t="shared" si="28"/>
        <v>3614.0255999999995</v>
      </c>
      <c r="Q88" s="116">
        <f t="shared" si="28"/>
        <v>4453.5839999999998</v>
      </c>
      <c r="R88" s="116">
        <f t="shared" si="28"/>
        <v>4891.5839999999998</v>
      </c>
      <c r="S88" s="116">
        <f t="shared" si="28"/>
        <v>5329.5839999999998</v>
      </c>
    </row>
    <row r="89" spans="3:19" x14ac:dyDescent="0.2">
      <c r="F89" s="64">
        <f>F86*3.6</f>
        <v>1937.5718399999998</v>
      </c>
    </row>
    <row r="90" spans="3:19" x14ac:dyDescent="0.2">
      <c r="F90" s="64">
        <f>F87*3.6</f>
        <v>242.19648000000004</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zoomScale="80" zoomScaleNormal="80" workbookViewId="0"/>
    <sheetView workbookViewId="1"/>
  </sheetViews>
  <sheetFormatPr defaultRowHeight="15" x14ac:dyDescent="0.25"/>
  <cols>
    <col min="1" max="1" width="20.5703125" style="249" customWidth="1"/>
    <col min="2" max="17" width="14.7109375" style="249" customWidth="1"/>
    <col min="18" max="19" width="9.140625" style="249"/>
    <col min="20" max="20" width="12" style="249" customWidth="1"/>
    <col min="21" max="21" width="12.85546875" style="249" customWidth="1"/>
    <col min="22" max="35" width="12" style="249" customWidth="1"/>
    <col min="36" max="36" width="9.140625" style="249"/>
    <col min="37" max="37" width="14.140625" style="249" customWidth="1"/>
    <col min="38" max="16384" width="9.140625" style="249"/>
  </cols>
  <sheetData>
    <row r="1" spans="1:37" x14ac:dyDescent="0.25">
      <c r="T1" s="250"/>
      <c r="U1" s="250"/>
      <c r="V1" s="250"/>
      <c r="W1" s="250"/>
      <c r="X1" s="250"/>
      <c r="Y1" s="250"/>
      <c r="Z1" s="250"/>
      <c r="AA1" s="250"/>
      <c r="AB1" s="250"/>
      <c r="AC1" s="250"/>
      <c r="AD1" s="250"/>
      <c r="AE1" s="250"/>
      <c r="AF1" s="250"/>
    </row>
    <row r="2" spans="1:37" x14ac:dyDescent="0.25">
      <c r="A2" s="249" t="s">
        <v>1269</v>
      </c>
      <c r="B2" s="249" t="str">
        <f>ProcDataGen2012On!C11</f>
        <v>Generic Waterberg Coal Plant</v>
      </c>
      <c r="C2" s="249" t="str">
        <f>ProcDataGen2012On!C14</f>
        <v>Fluidised Bed Combustion Coal</v>
      </c>
      <c r="D2" s="249" t="str">
        <f>ProcDataGen2012On!C16</f>
        <v>Nuclear Mid</v>
      </c>
      <c r="E2" s="249" t="str">
        <f>ProcDataGen2012On!C22</f>
        <v>Open Cycle Gas Turbine - LNG</v>
      </c>
      <c r="F2" s="249" t="str">
        <f>ProcDataGen2012On!C23</f>
        <v>Combined Cycle Gas Turbine - LNG</v>
      </c>
      <c r="H2" s="249" t="str">
        <f>ProcDataGen2012On!C24</f>
        <v>Gas Engines - LNG</v>
      </c>
      <c r="M2" s="249" t="str">
        <f>ProcDataGen2012On!C12</f>
        <v>Pumped Storage New Ingula - Single Storage Tech</v>
      </c>
      <c r="Q2" s="249" t="str">
        <f>ProcDataGen2012On!C27</f>
        <v>Utility Scale Storage - 4hrs</v>
      </c>
      <c r="T2" s="249" t="str">
        <f>ProcDataGen2012On!C20</f>
        <v>Wind</v>
      </c>
      <c r="U2" s="249" t="str">
        <f>ProcDataGen2012On!C18</f>
        <v>Solar PV Fixed</v>
      </c>
      <c r="V2" s="249" t="str">
        <f>ProcDataGen2012On!C19</f>
        <v>Solar PV tracking</v>
      </c>
      <c r="AC2" s="249" t="str">
        <f>ProcDataGen2012On!C17</f>
        <v>Solar Central Receiver 09 hrs storage</v>
      </c>
      <c r="AE2" s="249" t="str">
        <f>ProcDataGen2012On!C25</f>
        <v>Biomass municipal waste</v>
      </c>
      <c r="AF2" s="249" t="str">
        <f>ProcDataGen2012On!C26</f>
        <v>Landfill gas</v>
      </c>
      <c r="AK2" s="249" t="str">
        <f>ProcDataGen2012On!C15</f>
        <v>Micro hydro</v>
      </c>
    </row>
    <row r="3" spans="1:37" x14ac:dyDescent="0.25">
      <c r="A3" s="249" t="s">
        <v>1268</v>
      </c>
    </row>
    <row r="4" spans="1:37" ht="78" customHeight="1" x14ac:dyDescent="0.25">
      <c r="A4" s="274"/>
      <c r="B4" s="271" t="s">
        <v>1267</v>
      </c>
      <c r="C4" s="271" t="s">
        <v>1266</v>
      </c>
      <c r="D4" s="271" t="s">
        <v>1265</v>
      </c>
      <c r="E4" s="271" t="s">
        <v>766</v>
      </c>
      <c r="F4" s="271" t="s">
        <v>1264</v>
      </c>
      <c r="G4" s="271" t="s">
        <v>1263</v>
      </c>
      <c r="H4" s="271" t="s">
        <v>1262</v>
      </c>
      <c r="I4" s="271" t="s">
        <v>1261</v>
      </c>
      <c r="J4" s="271" t="s">
        <v>1260</v>
      </c>
      <c r="K4" s="271" t="s">
        <v>1259</v>
      </c>
      <c r="L4" s="272"/>
      <c r="M4" s="271" t="s">
        <v>1258</v>
      </c>
      <c r="N4" s="271" t="s">
        <v>1257</v>
      </c>
      <c r="O4" s="271" t="s">
        <v>1256</v>
      </c>
      <c r="P4" s="271" t="s">
        <v>1255</v>
      </c>
      <c r="Q4" s="271" t="s">
        <v>1254</v>
      </c>
      <c r="S4" s="273"/>
      <c r="T4" s="271" t="s">
        <v>253</v>
      </c>
      <c r="U4" s="271" t="s">
        <v>1253</v>
      </c>
      <c r="V4" s="271" t="s">
        <v>1252</v>
      </c>
      <c r="W4" s="271" t="s">
        <v>1251</v>
      </c>
      <c r="X4" s="271" t="s">
        <v>1250</v>
      </c>
      <c r="Y4" s="271" t="s">
        <v>1249</v>
      </c>
      <c r="Z4" s="271" t="s">
        <v>1248</v>
      </c>
      <c r="AA4" s="271" t="s">
        <v>1247</v>
      </c>
      <c r="AB4" s="271" t="s">
        <v>1246</v>
      </c>
      <c r="AC4" s="271" t="s">
        <v>1245</v>
      </c>
      <c r="AD4" s="271" t="s">
        <v>1244</v>
      </c>
      <c r="AE4" s="271" t="s">
        <v>1243</v>
      </c>
      <c r="AF4" s="271" t="s">
        <v>1242</v>
      </c>
      <c r="AG4" s="271" t="s">
        <v>130</v>
      </c>
      <c r="AH4" s="271" t="s">
        <v>1241</v>
      </c>
      <c r="AI4" s="271" t="s">
        <v>1240</v>
      </c>
      <c r="AJ4" s="272"/>
      <c r="AK4" s="271" t="s">
        <v>802</v>
      </c>
    </row>
    <row r="5" spans="1:37" x14ac:dyDescent="0.25">
      <c r="A5" s="270" t="s">
        <v>1239</v>
      </c>
      <c r="B5" s="261">
        <v>4500</v>
      </c>
      <c r="C5" s="261">
        <v>250</v>
      </c>
      <c r="D5" s="261">
        <v>1400</v>
      </c>
      <c r="E5" s="261">
        <v>132</v>
      </c>
      <c r="F5" s="261">
        <v>732</v>
      </c>
      <c r="G5" s="261">
        <v>150</v>
      </c>
      <c r="H5" s="261">
        <v>1.9</v>
      </c>
      <c r="I5" s="261">
        <v>9.4</v>
      </c>
      <c r="J5" s="261">
        <v>12</v>
      </c>
      <c r="K5" s="261">
        <v>500</v>
      </c>
      <c r="L5" s="263"/>
      <c r="M5" s="261">
        <v>333</v>
      </c>
      <c r="N5" s="261">
        <v>3</v>
      </c>
      <c r="O5" s="261">
        <v>3</v>
      </c>
      <c r="P5" s="261">
        <v>180</v>
      </c>
      <c r="Q5" s="261">
        <v>4</v>
      </c>
      <c r="S5" s="269"/>
      <c r="T5" s="261">
        <v>139.22999999999999</v>
      </c>
      <c r="U5" s="261">
        <v>10</v>
      </c>
      <c r="V5" s="261">
        <v>10</v>
      </c>
      <c r="W5" s="261">
        <v>10</v>
      </c>
      <c r="X5" s="261">
        <v>125</v>
      </c>
      <c r="Y5" s="261">
        <v>125</v>
      </c>
      <c r="Z5" s="261">
        <v>125</v>
      </c>
      <c r="AA5" s="261">
        <v>125</v>
      </c>
      <c r="AB5" s="261">
        <v>125</v>
      </c>
      <c r="AC5" s="261">
        <v>125</v>
      </c>
      <c r="AD5" s="261">
        <v>25</v>
      </c>
      <c r="AE5" s="261">
        <v>25</v>
      </c>
      <c r="AF5" s="261">
        <v>5</v>
      </c>
      <c r="AG5" s="261">
        <v>5</v>
      </c>
      <c r="AH5" s="261">
        <v>49</v>
      </c>
      <c r="AI5" s="261">
        <v>52.5</v>
      </c>
      <c r="AK5" s="261">
        <v>2500</v>
      </c>
    </row>
    <row r="6" spans="1:37" ht="45" customHeight="1" x14ac:dyDescent="0.25">
      <c r="A6" s="264" t="s">
        <v>1238</v>
      </c>
      <c r="B6" s="257">
        <v>40031</v>
      </c>
      <c r="C6" s="257">
        <v>48319</v>
      </c>
      <c r="D6" s="257">
        <v>69764.05</v>
      </c>
      <c r="E6" s="257">
        <v>9226</v>
      </c>
      <c r="F6" s="257">
        <v>10131</v>
      </c>
      <c r="G6" s="257">
        <v>9979.8868750000001</v>
      </c>
      <c r="H6" s="257">
        <v>14394</v>
      </c>
      <c r="I6" s="257">
        <v>15427</v>
      </c>
      <c r="J6" s="257">
        <v>9267.654997835496</v>
      </c>
      <c r="K6" s="257">
        <v>0</v>
      </c>
      <c r="L6" s="268"/>
      <c r="M6" s="257">
        <v>22736.239409265527</v>
      </c>
      <c r="N6" s="257">
        <v>11165</v>
      </c>
      <c r="O6" s="257">
        <v>14533.470000000001</v>
      </c>
      <c r="P6" s="257">
        <v>19377.96</v>
      </c>
      <c r="Q6" s="257">
        <v>27646</v>
      </c>
      <c r="R6" s="267"/>
      <c r="S6" s="266"/>
      <c r="T6" s="257">
        <v>17142</v>
      </c>
      <c r="U6" s="257">
        <v>14354.854915143451</v>
      </c>
      <c r="V6" s="257">
        <v>16555</v>
      </c>
      <c r="W6" s="257">
        <v>56863</v>
      </c>
      <c r="X6" s="257">
        <v>97641</v>
      </c>
      <c r="Y6" s="257">
        <v>62559.5</v>
      </c>
      <c r="Z6" s="257">
        <v>147877</v>
      </c>
      <c r="AA6" s="257">
        <v>87126</v>
      </c>
      <c r="AB6" s="257">
        <v>60862.230286747043</v>
      </c>
      <c r="AC6" s="261">
        <v>58832.846900935794</v>
      </c>
      <c r="AD6" s="261">
        <v>57067</v>
      </c>
      <c r="AE6" s="257">
        <v>161424</v>
      </c>
      <c r="AF6" s="261">
        <v>17935.185838306927</v>
      </c>
      <c r="AG6" s="257">
        <v>87242</v>
      </c>
      <c r="AH6" s="257">
        <v>18148.220025091057</v>
      </c>
      <c r="AI6" s="257">
        <v>34793.464341657804</v>
      </c>
      <c r="AK6" s="257">
        <v>12891.5</v>
      </c>
    </row>
    <row r="7" spans="1:37" ht="45" customHeight="1" x14ac:dyDescent="0.25">
      <c r="A7" s="264" t="s">
        <v>1237</v>
      </c>
      <c r="B7" s="255">
        <v>1044</v>
      </c>
      <c r="C7" s="255">
        <v>702</v>
      </c>
      <c r="D7" s="255">
        <v>1093.5</v>
      </c>
      <c r="E7" s="255">
        <v>181</v>
      </c>
      <c r="F7" s="255">
        <v>187</v>
      </c>
      <c r="G7" s="255">
        <v>168.81645905358684</v>
      </c>
      <c r="H7" s="255">
        <v>476</v>
      </c>
      <c r="I7" s="255">
        <v>536</v>
      </c>
      <c r="J7" s="255">
        <v>394.9986147186147</v>
      </c>
      <c r="K7" s="255">
        <v>8.9118037860913386</v>
      </c>
      <c r="L7" s="263"/>
      <c r="M7" s="255">
        <v>204.97148708010081</v>
      </c>
      <c r="N7" s="255">
        <v>697</v>
      </c>
      <c r="O7" s="255">
        <v>697</v>
      </c>
      <c r="P7" s="255">
        <v>240</v>
      </c>
      <c r="Q7" s="255">
        <v>697</v>
      </c>
      <c r="R7" s="265"/>
      <c r="S7" s="262"/>
      <c r="T7" s="255">
        <v>684</v>
      </c>
      <c r="U7" s="257">
        <v>302</v>
      </c>
      <c r="V7" s="255">
        <v>320</v>
      </c>
      <c r="W7" s="255">
        <v>354</v>
      </c>
      <c r="X7" s="255">
        <v>1154</v>
      </c>
      <c r="Y7" s="255">
        <v>1185</v>
      </c>
      <c r="Z7" s="255">
        <v>1216</v>
      </c>
      <c r="AA7" s="255">
        <v>1062</v>
      </c>
      <c r="AB7" s="255">
        <v>1108</v>
      </c>
      <c r="AC7" s="261">
        <v>1139</v>
      </c>
      <c r="AD7" s="261">
        <v>1868</v>
      </c>
      <c r="AE7" s="255">
        <v>7303</v>
      </c>
      <c r="AF7" s="261">
        <v>2678</v>
      </c>
      <c r="AG7" s="255">
        <v>2191</v>
      </c>
      <c r="AH7" s="255">
        <v>174.7827517547164</v>
      </c>
      <c r="AI7" s="255">
        <v>396.90946112304306</v>
      </c>
      <c r="AJ7" s="250"/>
      <c r="AK7" s="255">
        <v>89.22</v>
      </c>
    </row>
    <row r="8" spans="1:37" ht="45" customHeight="1" x14ac:dyDescent="0.25">
      <c r="A8" s="264" t="s">
        <v>1236</v>
      </c>
      <c r="B8" s="255">
        <v>90.3</v>
      </c>
      <c r="C8" s="255">
        <v>195.4</v>
      </c>
      <c r="D8" s="255">
        <v>41.75</v>
      </c>
      <c r="E8" s="255">
        <v>2.7</v>
      </c>
      <c r="F8" s="255">
        <v>24.7</v>
      </c>
      <c r="G8" s="255">
        <v>74.06224025974025</v>
      </c>
      <c r="H8" s="255">
        <v>79</v>
      </c>
      <c r="I8" s="255">
        <v>135.9</v>
      </c>
      <c r="J8" s="255">
        <v>65.42164556277055</v>
      </c>
      <c r="K8" s="255">
        <v>1467.1056982852867</v>
      </c>
      <c r="L8" s="263"/>
      <c r="M8" s="255">
        <v>0</v>
      </c>
      <c r="N8" s="255">
        <v>3.6</v>
      </c>
      <c r="O8" s="255">
        <v>3.6</v>
      </c>
      <c r="P8" s="255">
        <v>2.7</v>
      </c>
      <c r="Q8" s="255">
        <v>3.6</v>
      </c>
      <c r="R8" s="250"/>
      <c r="S8" s="262"/>
      <c r="T8" s="255">
        <v>0</v>
      </c>
      <c r="U8" s="257">
        <v>0</v>
      </c>
      <c r="V8" s="255">
        <v>0</v>
      </c>
      <c r="W8" s="255">
        <v>0</v>
      </c>
      <c r="X8" s="255">
        <v>1</v>
      </c>
      <c r="Y8" s="255">
        <v>0.9</v>
      </c>
      <c r="Z8" s="255">
        <v>0.9</v>
      </c>
      <c r="AA8" s="255">
        <v>1</v>
      </c>
      <c r="AB8" s="255">
        <v>1</v>
      </c>
      <c r="AC8" s="261">
        <v>1</v>
      </c>
      <c r="AD8" s="261">
        <v>74.7</v>
      </c>
      <c r="AE8" s="255">
        <v>128.9</v>
      </c>
      <c r="AF8" s="261">
        <v>69.7</v>
      </c>
      <c r="AG8" s="255">
        <v>57</v>
      </c>
      <c r="AH8" s="255">
        <v>9.0232013334174805</v>
      </c>
      <c r="AI8" s="255">
        <v>27.403796642230866</v>
      </c>
      <c r="AJ8" s="250"/>
      <c r="AK8" s="255">
        <v>0</v>
      </c>
    </row>
    <row r="9" spans="1:37" ht="45" customHeight="1" x14ac:dyDescent="0.25">
      <c r="A9" s="260" t="s">
        <v>1235</v>
      </c>
      <c r="B9" s="255">
        <v>31.1</v>
      </c>
      <c r="C9" s="255">
        <v>15.5</v>
      </c>
      <c r="D9" s="255">
        <v>9.1</v>
      </c>
      <c r="E9" s="255">
        <v>135.69999999999999</v>
      </c>
      <c r="F9" s="255">
        <v>135.69999999999999</v>
      </c>
      <c r="G9" s="255">
        <v>135.69999999999999</v>
      </c>
      <c r="H9" s="255">
        <v>135.69999999999999</v>
      </c>
      <c r="I9" s="255">
        <v>135.69999999999999</v>
      </c>
      <c r="J9" s="255">
        <v>135.69999999999999</v>
      </c>
      <c r="K9" s="255">
        <v>0</v>
      </c>
      <c r="M9" s="255">
        <v>0</v>
      </c>
      <c r="N9" s="255">
        <v>0</v>
      </c>
      <c r="O9" s="255">
        <v>0</v>
      </c>
      <c r="P9" s="255">
        <v>0</v>
      </c>
      <c r="Q9" s="255">
        <v>135.69999999999999</v>
      </c>
      <c r="S9" s="259"/>
      <c r="T9" s="255">
        <v>0</v>
      </c>
      <c r="U9" s="257">
        <v>0</v>
      </c>
      <c r="V9" s="258">
        <v>0</v>
      </c>
      <c r="W9" s="255">
        <v>0</v>
      </c>
      <c r="X9" s="255">
        <v>0</v>
      </c>
      <c r="Y9" s="255">
        <v>0</v>
      </c>
      <c r="Z9" s="255">
        <v>0</v>
      </c>
      <c r="AA9" s="255">
        <v>0</v>
      </c>
      <c r="AB9" s="255">
        <v>0</v>
      </c>
      <c r="AC9" s="255">
        <v>0</v>
      </c>
      <c r="AD9" s="256">
        <v>36</v>
      </c>
      <c r="AE9" s="256">
        <v>0</v>
      </c>
      <c r="AF9" s="257">
        <v>0</v>
      </c>
      <c r="AG9" s="257">
        <v>0</v>
      </c>
      <c r="AH9" s="257">
        <v>82.55</v>
      </c>
      <c r="AI9" s="256">
        <v>82.55</v>
      </c>
      <c r="AK9" s="255">
        <v>0</v>
      </c>
    </row>
    <row r="10" spans="1:37" x14ac:dyDescent="0.25">
      <c r="B10" s="253">
        <v>1000</v>
      </c>
    </row>
    <row r="11" spans="1:37" x14ac:dyDescent="0.25">
      <c r="A11" s="254" t="s">
        <v>1234</v>
      </c>
    </row>
    <row r="12" spans="1:37" x14ac:dyDescent="0.25">
      <c r="A12" s="250" t="str">
        <f>A6</f>
        <v>Total Overnight Cost, ZAR/kW (Jan 2017 Rands)</v>
      </c>
      <c r="B12" s="253">
        <f>B6*Deflator!$W$4</f>
        <v>35758.73776195485</v>
      </c>
      <c r="C12" s="253">
        <f>C6*Deflator!$W$4</f>
        <v>43162.210534832913</v>
      </c>
      <c r="D12" s="253">
        <f>D6*Deflator!$W$4</f>
        <v>62318.56234323165</v>
      </c>
      <c r="E12" s="253">
        <f>E6*Deflator!$W$4</f>
        <v>8241.3658062950071</v>
      </c>
      <c r="F12" s="253">
        <f>F6*Deflator!$W$4</f>
        <v>9049.7807265960018</v>
      </c>
      <c r="G12" s="253">
        <f>G6*Deflator!$W$4</f>
        <v>8914.7949753216271</v>
      </c>
      <c r="H12" s="253">
        <f>H6*Deflator!$W$4</f>
        <v>12857.816975483453</v>
      </c>
      <c r="I12" s="253">
        <f>I6*Deflator!$W$4</f>
        <v>13780.571243628125</v>
      </c>
      <c r="J12" s="253">
        <f>J6*Deflator!$W$4</f>
        <v>8278.5752225992292</v>
      </c>
      <c r="K12" s="253">
        <f>K6*Deflator!$W$4</f>
        <v>0</v>
      </c>
      <c r="L12" s="253">
        <f>L6*Deflator!$W$4</f>
        <v>0</v>
      </c>
      <c r="M12" s="253">
        <f>M6*Deflator!$W$4</f>
        <v>20309.740519321254</v>
      </c>
      <c r="N12" s="253">
        <f>N6*Deflator!$W$4</f>
        <v>9973.4282708957035</v>
      </c>
      <c r="O12" s="253">
        <f>O6*Deflator!$W$4</f>
        <v>12982.402200825309</v>
      </c>
      <c r="P12" s="253">
        <f>P6*Deflator!$W$4</f>
        <v>17309.86960110041</v>
      </c>
      <c r="Q12" s="253">
        <f>Q6*Deflator!$W$4</f>
        <v>24695.5125819241</v>
      </c>
      <c r="R12" s="253"/>
      <c r="S12" s="253"/>
      <c r="T12" s="253">
        <f>T6*Deflator!$W$4</f>
        <v>15312.539849502386</v>
      </c>
      <c r="U12" s="253">
        <f>U6*Deflator!$W$4</f>
        <v>12822.849604594521</v>
      </c>
      <c r="V12" s="253">
        <f>V6*Deflator!$W$4</f>
        <v>14788.186746500525</v>
      </c>
      <c r="W12" s="253">
        <f>W6*Deflator!$W$4</f>
        <v>50794.362003398332</v>
      </c>
      <c r="X12" s="253">
        <f>X6*Deflator!$W$4</f>
        <v>87220.377053159638</v>
      </c>
      <c r="Y12" s="253">
        <f>Y6*Deflator!$W$4</f>
        <v>55882.909620519451</v>
      </c>
      <c r="Z12" s="253">
        <f>Z6*Deflator!$W$4</f>
        <v>132094.99797718262</v>
      </c>
      <c r="AA12" s="253">
        <f>AA6*Deflator!$W$4</f>
        <v>77827.578283032606</v>
      </c>
      <c r="AB12" s="253">
        <f>AB6*Deflator!$W$4</f>
        <v>54366.779057018146</v>
      </c>
      <c r="AC12" s="253">
        <f>AC6*Deflator!$W$4</f>
        <v>52553.9792690615</v>
      </c>
      <c r="AD12" s="253">
        <f>AD6*Deflator!$W$4</f>
        <v>50976.590339024187</v>
      </c>
      <c r="AE12" s="253">
        <f>AE6*Deflator!$W$4</f>
        <v>144196.21004935674</v>
      </c>
      <c r="AF12" s="253">
        <f>AF6*Deflator!$W$4</f>
        <v>16021.073845368432</v>
      </c>
      <c r="AG12" s="253">
        <f>AG6*Deflator!$W$4</f>
        <v>77931.198317015936</v>
      </c>
      <c r="AH12" s="253">
        <f>AH6*Deflator!$W$4</f>
        <v>16211.372204628631</v>
      </c>
      <c r="AI12" s="253">
        <f>AI6*Deflator!$W$4</f>
        <v>31080.172047245094</v>
      </c>
      <c r="AJ12" s="253">
        <f>AJ6*Deflator!$W$4</f>
        <v>0</v>
      </c>
      <c r="AK12" s="253">
        <f>AK6*Deflator!$W$4</f>
        <v>11515.669552552794</v>
      </c>
    </row>
    <row r="13" spans="1:37" x14ac:dyDescent="0.25">
      <c r="A13" s="250" t="str">
        <f>A7</f>
        <v>Fixed O&amp;M Cost (R/KW/Year)</v>
      </c>
      <c r="B13" s="253">
        <f>B7*Deflator!$W$4</f>
        <v>932.58030584998778</v>
      </c>
      <c r="C13" s="253">
        <f>C7*Deflator!$W$4</f>
        <v>627.07986083016419</v>
      </c>
      <c r="D13" s="253">
        <f>D7*Deflator!$W$4</f>
        <v>976.79747552390961</v>
      </c>
      <c r="E13" s="253">
        <f>E7*Deflator!$W$4</f>
        <v>161.68298406019903</v>
      </c>
      <c r="F13" s="253">
        <f>F7*Deflator!$W$4</f>
        <v>167.04264099037138</v>
      </c>
      <c r="G13" s="253">
        <f>G7*Deflator!$W$4</f>
        <v>150.79971744895207</v>
      </c>
      <c r="H13" s="253">
        <f>H7*Deflator!$W$4</f>
        <v>425.19944979367261</v>
      </c>
      <c r="I13" s="253">
        <f>I7*Deflator!$W$4</f>
        <v>478.79601909539605</v>
      </c>
      <c r="J13" s="253">
        <f>J7*Deflator!$W$4</f>
        <v>352.84284379751648</v>
      </c>
      <c r="K13" s="253">
        <f>K7*Deflator!$W$4</f>
        <v>7.9607018204100957</v>
      </c>
      <c r="L13" s="253">
        <f>L7*Deflator!$W$4</f>
        <v>0</v>
      </c>
      <c r="M13" s="253">
        <f>M7*Deflator!$W$4</f>
        <v>183.09614186943222</v>
      </c>
      <c r="N13" s="253">
        <f>N7*Deflator!$W$4</f>
        <v>622.61348005502055</v>
      </c>
      <c r="O13" s="253">
        <f>O7*Deflator!$W$4</f>
        <v>622.61348005502055</v>
      </c>
      <c r="P13" s="253">
        <f>P7*Deflator!$W$4</f>
        <v>214.38627720689374</v>
      </c>
      <c r="Q13" s="253">
        <f>Q7*Deflator!$W$4</f>
        <v>622.61348005502055</v>
      </c>
      <c r="R13" s="253"/>
      <c r="S13" s="253"/>
      <c r="T13" s="253">
        <f>T7*Deflator!$W$4</f>
        <v>611.00089003964717</v>
      </c>
      <c r="U13" s="253">
        <f>U7*Deflator!$W$4</f>
        <v>269.76939881867463</v>
      </c>
      <c r="V13" s="253">
        <f>V7*Deflator!$W$4</f>
        <v>285.84836960919165</v>
      </c>
      <c r="W13" s="253">
        <f>W7*Deflator!$W$4</f>
        <v>316.21975888016829</v>
      </c>
      <c r="X13" s="253">
        <f>X7*Deflator!$W$4</f>
        <v>1030.8406829031474</v>
      </c>
      <c r="Y13" s="253">
        <f>Y7*Deflator!$W$4</f>
        <v>1058.5322437090379</v>
      </c>
      <c r="Z13" s="253">
        <f>Z7*Deflator!$W$4</f>
        <v>1086.2238045149284</v>
      </c>
      <c r="AA13" s="253">
        <f>AA7*Deflator!$W$4</f>
        <v>948.6592766405048</v>
      </c>
      <c r="AB13" s="253">
        <f>AB7*Deflator!$W$4</f>
        <v>989.74997977182613</v>
      </c>
      <c r="AC13" s="253">
        <f>AC7*Deflator!$W$4</f>
        <v>1017.4415405777165</v>
      </c>
      <c r="AD13" s="253">
        <f>AD7*Deflator!$W$4</f>
        <v>1668.6398575936562</v>
      </c>
      <c r="AE13" s="253">
        <f>AE7*Deflator!$W$4</f>
        <v>6523.5957601747705</v>
      </c>
      <c r="AF13" s="253">
        <f>AF7*Deflator!$W$4</f>
        <v>2392.1935431669226</v>
      </c>
      <c r="AG13" s="253">
        <f>AG7*Deflator!$W$4</f>
        <v>1957.1680556679341</v>
      </c>
      <c r="AH13" s="253">
        <f>AH7*Deflator!$W$4</f>
        <v>156.12926445279302</v>
      </c>
      <c r="AI13" s="253">
        <f>AI7*Deflator!$W$4</f>
        <v>354.54975732651468</v>
      </c>
      <c r="AJ13" s="253">
        <f>AJ7*Deflator!$W$4</f>
        <v>0</v>
      </c>
      <c r="AK13" s="253">
        <f>AK7*Deflator!$W$4</f>
        <v>79.698098551662753</v>
      </c>
    </row>
    <row r="14" spans="1:37" x14ac:dyDescent="0.25">
      <c r="A14" s="250" t="str">
        <f>A8</f>
        <v>Variable O&amp;M Cost (R/MWh)</v>
      </c>
      <c r="B14" s="253">
        <f>B8*Deflator!$W$4</f>
        <v>80.662836799093768</v>
      </c>
      <c r="C14" s="253">
        <f>C8*Deflator!$W$4</f>
        <v>174.54616069261266</v>
      </c>
      <c r="D14" s="253">
        <f>D8*Deflator!$W$4</f>
        <v>37.294279472449226</v>
      </c>
      <c r="E14" s="253">
        <f>E8*Deflator!$W$4</f>
        <v>2.411845618577555</v>
      </c>
      <c r="F14" s="253">
        <f>F8*Deflator!$W$4</f>
        <v>22.063921029209482</v>
      </c>
      <c r="G14" s="253">
        <f>G8*Deflator!$W$4</f>
        <v>66.158033212034326</v>
      </c>
      <c r="H14" s="253">
        <f>H8*Deflator!$W$4</f>
        <v>70.568816247269197</v>
      </c>
      <c r="I14" s="253">
        <f>I8*Deflator!$W$4</f>
        <v>121.39622946840359</v>
      </c>
      <c r="J14" s="253">
        <f>J8*Deflator!$W$4</f>
        <v>58.439596003963658</v>
      </c>
      <c r="K14" s="253">
        <f>K8*Deflator!$W$4</f>
        <v>1310.530537185012</v>
      </c>
      <c r="L14" s="253">
        <f>L8*Deflator!$W$4</f>
        <v>0</v>
      </c>
      <c r="M14" s="253">
        <f>M8*Deflator!$W$4</f>
        <v>0</v>
      </c>
      <c r="N14" s="253">
        <f>N8*Deflator!$W$4</f>
        <v>3.2157941581034062</v>
      </c>
      <c r="O14" s="253">
        <f>O8*Deflator!$W$4</f>
        <v>3.2157941581034062</v>
      </c>
      <c r="P14" s="253">
        <f>P8*Deflator!$W$4</f>
        <v>2.411845618577555</v>
      </c>
      <c r="Q14" s="253">
        <f>Q8*Deflator!$W$4</f>
        <v>3.2157941581034062</v>
      </c>
      <c r="R14" s="253"/>
      <c r="S14" s="253"/>
      <c r="T14" s="253">
        <f>T8*Deflator!$W$4</f>
        <v>0</v>
      </c>
      <c r="U14" s="253">
        <f>U8*Deflator!$W$4</f>
        <v>0</v>
      </c>
      <c r="V14" s="253">
        <f>V8*Deflator!$W$4</f>
        <v>0</v>
      </c>
      <c r="W14" s="253">
        <f>W8*Deflator!$W$4</f>
        <v>0</v>
      </c>
      <c r="X14" s="253">
        <f>X8*Deflator!$W$4</f>
        <v>0.89327615502872393</v>
      </c>
      <c r="Y14" s="253">
        <f>Y8*Deflator!$W$4</f>
        <v>0.80394853952585155</v>
      </c>
      <c r="Z14" s="253">
        <f>Z8*Deflator!$W$4</f>
        <v>0.80394853952585155</v>
      </c>
      <c r="AA14" s="253">
        <f>AA8*Deflator!$W$4</f>
        <v>0.89327615502872393</v>
      </c>
      <c r="AB14" s="253">
        <f>AB8*Deflator!$W$4</f>
        <v>0.89327615502872393</v>
      </c>
      <c r="AC14" s="253">
        <f>AC8*Deflator!$W$4</f>
        <v>0.89327615502872393</v>
      </c>
      <c r="AD14" s="253">
        <f>AD8*Deflator!$W$4</f>
        <v>66.727728780645677</v>
      </c>
      <c r="AE14" s="253">
        <f>AE8*Deflator!$W$4</f>
        <v>115.14329638320253</v>
      </c>
      <c r="AF14" s="253">
        <f>AF8*Deflator!$W$4</f>
        <v>62.261348005502057</v>
      </c>
      <c r="AG14" s="253">
        <f>AG8*Deflator!$W$4</f>
        <v>50.916740836637267</v>
      </c>
      <c r="AH14" s="253">
        <f>AH8*Deflator!$W$4</f>
        <v>8.0602105931652215</v>
      </c>
      <c r="AI14" s="253">
        <f>AI8*Deflator!$W$4</f>
        <v>24.479158097761044</v>
      </c>
      <c r="AJ14" s="253">
        <f>AJ8*Deflator!$W$4</f>
        <v>0</v>
      </c>
      <c r="AK14" s="253">
        <f>AK8*Deflator!$W$4</f>
        <v>0</v>
      </c>
    </row>
    <row r="15" spans="1:37" x14ac:dyDescent="0.25">
      <c r="A15" s="250" t="str">
        <f>A9</f>
        <v>Fuel Cost (R/GJ)</v>
      </c>
      <c r="B15" s="253">
        <f>B9*Deflator!$W$4</f>
        <v>27.780888421393314</v>
      </c>
      <c r="C15" s="253">
        <f>C9*Deflator!$W$4</f>
        <v>13.845780402945222</v>
      </c>
      <c r="D15" s="253">
        <f>D9*Deflator!$W$4</f>
        <v>8.1288130107613874</v>
      </c>
      <c r="E15" s="253">
        <f>E9*Deflator!$W$4</f>
        <v>121.21757423739783</v>
      </c>
      <c r="F15" s="253">
        <f>F9*Deflator!$W$4</f>
        <v>121.21757423739783</v>
      </c>
      <c r="G15" s="253">
        <f>G9*Deflator!$W$4</f>
        <v>121.21757423739783</v>
      </c>
      <c r="H15" s="253">
        <f>H9*Deflator!$W$4</f>
        <v>121.21757423739783</v>
      </c>
      <c r="I15" s="253">
        <f>I9*Deflator!$W$4</f>
        <v>121.21757423739783</v>
      </c>
      <c r="J15" s="253">
        <f>J9*Deflator!$W$4</f>
        <v>121.21757423739783</v>
      </c>
      <c r="K15" s="253">
        <f>K9*Deflator!$W$4</f>
        <v>0</v>
      </c>
      <c r="L15" s="253">
        <f>L9*Deflator!$W$4</f>
        <v>0</v>
      </c>
      <c r="M15" s="253">
        <f>M9*Deflator!$W$4</f>
        <v>0</v>
      </c>
      <c r="N15" s="253">
        <f>N9*Deflator!$W$4</f>
        <v>0</v>
      </c>
      <c r="O15" s="253">
        <f>O9*Deflator!$W$4</f>
        <v>0</v>
      </c>
      <c r="P15" s="253">
        <f>P9*Deflator!$W$4</f>
        <v>0</v>
      </c>
      <c r="Q15" s="253">
        <f>Q9*Deflator!$W$4</f>
        <v>121.21757423739783</v>
      </c>
      <c r="R15" s="253"/>
      <c r="S15" s="253"/>
      <c r="T15" s="253">
        <f>T9*Deflator!$W$4</f>
        <v>0</v>
      </c>
      <c r="U15" s="253">
        <f>U9*Deflator!$W$4</f>
        <v>0</v>
      </c>
      <c r="V15" s="253">
        <f>V9*Deflator!$W$4</f>
        <v>0</v>
      </c>
      <c r="W15" s="253">
        <f>W9*Deflator!$W$4</f>
        <v>0</v>
      </c>
      <c r="X15" s="253">
        <f>X9*Deflator!$W$4</f>
        <v>0</v>
      </c>
      <c r="Y15" s="253">
        <f>Y9*Deflator!$W$4</f>
        <v>0</v>
      </c>
      <c r="Z15" s="253">
        <f>Z9*Deflator!$W$4</f>
        <v>0</v>
      </c>
      <c r="AA15" s="253">
        <f>AA9*Deflator!$W$4</f>
        <v>0</v>
      </c>
      <c r="AB15" s="253">
        <f>AB9*Deflator!$W$4</f>
        <v>0</v>
      </c>
      <c r="AC15" s="253">
        <f>AC9*Deflator!$W$4</f>
        <v>0</v>
      </c>
      <c r="AD15" s="253">
        <f>AD9*Deflator!$W$4</f>
        <v>32.157941581034059</v>
      </c>
      <c r="AE15" s="253">
        <f>AE9*Deflator!$W$4</f>
        <v>0</v>
      </c>
      <c r="AF15" s="253">
        <f>AF9*Deflator!$W$4</f>
        <v>0</v>
      </c>
      <c r="AG15" s="253">
        <f>AG9*Deflator!$W$4</f>
        <v>0</v>
      </c>
      <c r="AH15" s="253">
        <f>AH9*Deflator!$W$4</f>
        <v>73.739946597621156</v>
      </c>
      <c r="AI15" s="253">
        <f>AI9*Deflator!$W$4</f>
        <v>73.739946597621156</v>
      </c>
      <c r="AJ15" s="253">
        <f>AJ9*Deflator!$W$4</f>
        <v>0</v>
      </c>
      <c r="AK15" s="253">
        <f>AK9*Deflator!$W$4</f>
        <v>0</v>
      </c>
    </row>
    <row r="16" spans="1:37" x14ac:dyDescent="0.25">
      <c r="A16" s="250" t="s">
        <v>1233</v>
      </c>
      <c r="B16" s="252">
        <v>0.1</v>
      </c>
      <c r="C16" s="252">
        <v>0.1</v>
      </c>
      <c r="D16" s="252">
        <v>0.1</v>
      </c>
      <c r="E16" s="252">
        <v>0.1</v>
      </c>
      <c r="F16" s="252">
        <v>0.1</v>
      </c>
      <c r="G16" s="252">
        <v>0.1</v>
      </c>
      <c r="H16" s="252">
        <v>0.1</v>
      </c>
      <c r="I16" s="252">
        <v>0.1</v>
      </c>
      <c r="J16" s="252">
        <v>0.1</v>
      </c>
      <c r="K16" s="252">
        <v>0.1</v>
      </c>
      <c r="L16" s="252">
        <v>0.1</v>
      </c>
      <c r="M16" s="252">
        <v>0.1</v>
      </c>
      <c r="N16" s="252">
        <v>0.1</v>
      </c>
      <c r="O16" s="252">
        <v>0.1</v>
      </c>
      <c r="P16" s="252">
        <v>0.1</v>
      </c>
      <c r="Q16" s="252">
        <v>0.1</v>
      </c>
      <c r="R16" s="252"/>
      <c r="S16" s="252"/>
      <c r="T16" s="252">
        <v>0</v>
      </c>
      <c r="U16" s="252">
        <v>0</v>
      </c>
      <c r="V16" s="252">
        <v>0</v>
      </c>
      <c r="W16" s="252">
        <v>0</v>
      </c>
      <c r="X16" s="252">
        <v>0</v>
      </c>
      <c r="Y16" s="252">
        <v>0</v>
      </c>
      <c r="Z16" s="252">
        <v>0</v>
      </c>
      <c r="AA16" s="252">
        <v>0</v>
      </c>
      <c r="AB16" s="252">
        <v>0</v>
      </c>
      <c r="AC16" s="252">
        <v>0</v>
      </c>
      <c r="AD16" s="252">
        <v>0</v>
      </c>
      <c r="AE16" s="252">
        <v>0</v>
      </c>
      <c r="AF16" s="252">
        <v>0</v>
      </c>
      <c r="AG16" s="252">
        <v>0</v>
      </c>
      <c r="AH16" s="252">
        <v>0</v>
      </c>
      <c r="AI16" s="252">
        <v>0</v>
      </c>
      <c r="AJ16" s="252">
        <v>0</v>
      </c>
      <c r="AK16" s="252">
        <v>0</v>
      </c>
    </row>
    <row r="17" spans="1:37" x14ac:dyDescent="0.25">
      <c r="A17" s="250" t="s">
        <v>1232</v>
      </c>
      <c r="B17" s="251">
        <f t="shared" ref="B17:Q17" si="0">B12*(1+B16)</f>
        <v>39334.61153815034</v>
      </c>
      <c r="C17" s="251">
        <f t="shared" si="0"/>
        <v>47478.431588316205</v>
      </c>
      <c r="D17" s="251">
        <f t="shared" si="0"/>
        <v>68550.418577554825</v>
      </c>
      <c r="E17" s="251">
        <f t="shared" si="0"/>
        <v>9065.5023869245088</v>
      </c>
      <c r="F17" s="251">
        <f t="shared" si="0"/>
        <v>9954.7587992556037</v>
      </c>
      <c r="G17" s="251">
        <f t="shared" si="0"/>
        <v>9806.2744728537909</v>
      </c>
      <c r="H17" s="251">
        <f t="shared" si="0"/>
        <v>14143.598673031798</v>
      </c>
      <c r="I17" s="251">
        <f t="shared" si="0"/>
        <v>15158.628367990937</v>
      </c>
      <c r="J17" s="251">
        <f t="shared" si="0"/>
        <v>9106.4327448591521</v>
      </c>
      <c r="K17" s="251">
        <f t="shared" si="0"/>
        <v>0</v>
      </c>
      <c r="L17" s="251">
        <f t="shared" si="0"/>
        <v>0</v>
      </c>
      <c r="M17" s="251">
        <f t="shared" si="0"/>
        <v>22340.714571253382</v>
      </c>
      <c r="N17" s="251">
        <f t="shared" si="0"/>
        <v>10970.771097985275</v>
      </c>
      <c r="O17" s="251">
        <f t="shared" si="0"/>
        <v>14280.642420907841</v>
      </c>
      <c r="P17" s="251">
        <f t="shared" si="0"/>
        <v>19040.856561210454</v>
      </c>
      <c r="Q17" s="251">
        <f t="shared" si="0"/>
        <v>27165.063840116512</v>
      </c>
      <c r="R17" s="251"/>
      <c r="S17" s="251"/>
      <c r="T17" s="251">
        <f t="shared" ref="T17:AK17" si="1">T12*(1+T16)</f>
        <v>15312.539849502386</v>
      </c>
      <c r="U17" s="251">
        <f t="shared" si="1"/>
        <v>12822.849604594521</v>
      </c>
      <c r="V17" s="251">
        <f t="shared" si="1"/>
        <v>14788.186746500525</v>
      </c>
      <c r="W17" s="251">
        <f t="shared" si="1"/>
        <v>50794.362003398332</v>
      </c>
      <c r="X17" s="251">
        <f t="shared" si="1"/>
        <v>87220.377053159638</v>
      </c>
      <c r="Y17" s="251">
        <f t="shared" si="1"/>
        <v>55882.909620519451</v>
      </c>
      <c r="Z17" s="251">
        <f t="shared" si="1"/>
        <v>132094.99797718262</v>
      </c>
      <c r="AA17" s="251">
        <f t="shared" si="1"/>
        <v>77827.578283032606</v>
      </c>
      <c r="AB17" s="251">
        <f t="shared" si="1"/>
        <v>54366.779057018146</v>
      </c>
      <c r="AC17" s="251">
        <f t="shared" si="1"/>
        <v>52553.9792690615</v>
      </c>
      <c r="AD17" s="251">
        <f t="shared" si="1"/>
        <v>50976.590339024187</v>
      </c>
      <c r="AE17" s="251">
        <f t="shared" si="1"/>
        <v>144196.21004935674</v>
      </c>
      <c r="AF17" s="251">
        <f t="shared" si="1"/>
        <v>16021.073845368432</v>
      </c>
      <c r="AG17" s="251">
        <f t="shared" si="1"/>
        <v>77931.198317015936</v>
      </c>
      <c r="AH17" s="251">
        <f t="shared" si="1"/>
        <v>16211.372204628631</v>
      </c>
      <c r="AI17" s="251">
        <f t="shared" si="1"/>
        <v>31080.172047245094</v>
      </c>
      <c r="AJ17" s="251">
        <f t="shared" si="1"/>
        <v>0</v>
      </c>
      <c r="AK17" s="251">
        <f t="shared" si="1"/>
        <v>11515.669552552794</v>
      </c>
    </row>
    <row r="18" spans="1:37" x14ac:dyDescent="0.25">
      <c r="A18" s="250"/>
      <c r="T18" s="249">
        <f>T13/T12</f>
        <v>3.9901995099754992E-2</v>
      </c>
    </row>
    <row r="19" spans="1:37" x14ac:dyDescent="0.25">
      <c r="A19" s="250"/>
    </row>
    <row r="20" spans="1:37" x14ac:dyDescent="0.25">
      <c r="A20" s="250"/>
    </row>
    <row r="21" spans="1:37" x14ac:dyDescent="0.25">
      <c r="A21" s="250"/>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 workbookViewId="1"/>
  </sheetViews>
  <sheetFormatPr defaultRowHeight="15" x14ac:dyDescent="0.25"/>
  <cols>
    <col min="1" max="1" width="14.28515625" style="183" bestFit="1" customWidth="1"/>
    <col min="2" max="2" width="22.5703125" style="183" customWidth="1"/>
    <col min="3" max="4" width="9.140625" style="183"/>
    <col min="5" max="5" width="19.42578125" style="183" bestFit="1" customWidth="1"/>
    <col min="6" max="16384" width="9.140625" style="183"/>
  </cols>
  <sheetData>
    <row r="1" spans="1:10" x14ac:dyDescent="0.25">
      <c r="A1" s="183" t="s">
        <v>1450</v>
      </c>
      <c r="B1" s="183" t="s">
        <v>1449</v>
      </c>
      <c r="C1" s="183" t="s">
        <v>1448</v>
      </c>
      <c r="D1" s="183" t="s">
        <v>1447</v>
      </c>
      <c r="E1" s="183" t="s">
        <v>1446</v>
      </c>
      <c r="F1" s="183" t="s">
        <v>340</v>
      </c>
      <c r="G1" s="183" t="s">
        <v>338</v>
      </c>
      <c r="H1" s="183" t="s">
        <v>336</v>
      </c>
      <c r="I1" s="183" t="s">
        <v>334</v>
      </c>
      <c r="J1" s="183" t="s">
        <v>1445</v>
      </c>
    </row>
    <row r="2" spans="1:10" x14ac:dyDescent="0.25">
      <c r="A2" s="183" t="s">
        <v>1444</v>
      </c>
      <c r="B2" s="183" t="s">
        <v>1443</v>
      </c>
      <c r="C2" s="183" t="s">
        <v>1272</v>
      </c>
      <c r="D2" s="183" t="s">
        <v>1438</v>
      </c>
      <c r="E2" s="183" t="s">
        <v>1438</v>
      </c>
      <c r="F2" s="183">
        <f>INDEX('Lab.Calcs.Assumptions'!B$4:B$30,$J2)</f>
        <v>1.72E-2</v>
      </c>
      <c r="G2" s="183">
        <f>INDEX('Lab.Calcs.Assumptions'!C$4:C$30,$J2)</f>
        <v>1.958E-2</v>
      </c>
      <c r="H2" s="183">
        <f>INDEX('Lab.Calcs.Assumptions'!D$4:D$30,$J2)</f>
        <v>6.4769999999999994E-2</v>
      </c>
      <c r="I2" s="183">
        <f>INDEX('Lab.Calcs.Assumptions'!E$4:E$30,$J2)</f>
        <v>0.23189000000000001</v>
      </c>
      <c r="J2" s="183">
        <f>MATCH(E2,'Lab.Calcs.Assumptions'!$A$4:$A$30,0)</f>
        <v>1</v>
      </c>
    </row>
    <row r="3" spans="1:10" x14ac:dyDescent="0.25">
      <c r="A3" s="183" t="s">
        <v>1442</v>
      </c>
      <c r="B3" s="183" t="s">
        <v>1441</v>
      </c>
      <c r="C3" s="183" t="s">
        <v>1272</v>
      </c>
      <c r="D3" s="183" t="s">
        <v>1438</v>
      </c>
      <c r="E3" s="183" t="s">
        <v>1438</v>
      </c>
      <c r="F3" s="183">
        <f>INDEX('Lab.Calcs.Assumptions'!B$4:B$30,$J3)</f>
        <v>1.72E-2</v>
      </c>
      <c r="G3" s="183">
        <f>INDEX('Lab.Calcs.Assumptions'!C$4:C$30,$J3)</f>
        <v>1.958E-2</v>
      </c>
      <c r="H3" s="183">
        <f>INDEX('Lab.Calcs.Assumptions'!D$4:D$30,$J3)</f>
        <v>6.4769999999999994E-2</v>
      </c>
      <c r="I3" s="183">
        <f>INDEX('Lab.Calcs.Assumptions'!E$4:E$30,$J3)</f>
        <v>0.23189000000000001</v>
      </c>
      <c r="J3" s="183">
        <f>MATCH(E3,'Lab.Calcs.Assumptions'!$A$4:$A$30,0)</f>
        <v>1</v>
      </c>
    </row>
    <row r="4" spans="1:10" x14ac:dyDescent="0.25">
      <c r="A4" s="183" t="s">
        <v>271</v>
      </c>
      <c r="B4" s="183" t="s">
        <v>1440</v>
      </c>
      <c r="C4" s="183" t="s">
        <v>1272</v>
      </c>
      <c r="D4" s="183" t="s">
        <v>1438</v>
      </c>
      <c r="E4" s="183" t="s">
        <v>1438</v>
      </c>
      <c r="F4" s="183">
        <f>INDEX('Lab.Calcs.Assumptions'!B$4:B$30,$J4)</f>
        <v>1.72E-2</v>
      </c>
      <c r="G4" s="183">
        <f>INDEX('Lab.Calcs.Assumptions'!C$4:C$30,$J4)</f>
        <v>1.958E-2</v>
      </c>
      <c r="H4" s="183">
        <f>INDEX('Lab.Calcs.Assumptions'!D$4:D$30,$J4)</f>
        <v>6.4769999999999994E-2</v>
      </c>
      <c r="I4" s="183">
        <f>INDEX('Lab.Calcs.Assumptions'!E$4:E$30,$J4)</f>
        <v>0.23189000000000001</v>
      </c>
      <c r="J4" s="183">
        <f>MATCH(E4,'Lab.Calcs.Assumptions'!$A$4:$A$30,0)</f>
        <v>1</v>
      </c>
    </row>
    <row r="5" spans="1:10" x14ac:dyDescent="0.25">
      <c r="A5" s="183" t="s">
        <v>285</v>
      </c>
      <c r="B5" s="183" t="s">
        <v>1439</v>
      </c>
      <c r="C5" s="183" t="s">
        <v>1272</v>
      </c>
      <c r="D5" s="183" t="s">
        <v>1438</v>
      </c>
      <c r="E5" s="183" t="s">
        <v>1438</v>
      </c>
      <c r="F5" s="183">
        <f>INDEX('Lab.Calcs.Assumptions'!B$4:B$30,$J5)</f>
        <v>1.72E-2</v>
      </c>
      <c r="G5" s="183">
        <f>INDEX('Lab.Calcs.Assumptions'!C$4:C$30,$J5)</f>
        <v>1.958E-2</v>
      </c>
      <c r="H5" s="183">
        <f>INDEX('Lab.Calcs.Assumptions'!D$4:D$30,$J5)</f>
        <v>6.4769999999999994E-2</v>
      </c>
      <c r="I5" s="183">
        <f>INDEX('Lab.Calcs.Assumptions'!E$4:E$30,$J5)</f>
        <v>0.23189000000000001</v>
      </c>
      <c r="J5" s="183">
        <f>MATCH(E5,'Lab.Calcs.Assumptions'!$A$4:$A$30,0)</f>
        <v>1</v>
      </c>
    </row>
    <row r="6" spans="1:10" x14ac:dyDescent="0.25">
      <c r="A6" s="183" t="s">
        <v>241</v>
      </c>
      <c r="B6" s="183" t="s">
        <v>1437</v>
      </c>
      <c r="C6" s="183" t="s">
        <v>1272</v>
      </c>
      <c r="D6" s="183" t="s">
        <v>1435</v>
      </c>
      <c r="E6" s="183" t="s">
        <v>1435</v>
      </c>
      <c r="F6" s="183">
        <f>INDEX('Lab.Calcs.Assumptions'!B$4:B$30,$J6)</f>
        <v>1.72E-2</v>
      </c>
      <c r="G6" s="183">
        <f>INDEX('Lab.Calcs.Assumptions'!C$4:C$30,$J6)</f>
        <v>1.958E-2</v>
      </c>
      <c r="H6" s="183">
        <f>INDEX('Lab.Calcs.Assumptions'!D$4:D$30,$J6)</f>
        <v>6.4769999999999994E-2</v>
      </c>
      <c r="I6" s="183">
        <f>INDEX('Lab.Calcs.Assumptions'!E$4:E$30,$J6)</f>
        <v>0.23189000000000001</v>
      </c>
      <c r="J6" s="183">
        <f>MATCH(E6,'Lab.Calcs.Assumptions'!$A$4:$A$30,0)</f>
        <v>2</v>
      </c>
    </row>
    <row r="7" spans="1:10" x14ac:dyDescent="0.25">
      <c r="A7" s="183" t="s">
        <v>243</v>
      </c>
      <c r="B7" s="183" t="s">
        <v>1436</v>
      </c>
      <c r="C7" s="183" t="s">
        <v>1272</v>
      </c>
      <c r="D7" s="183" t="s">
        <v>1435</v>
      </c>
      <c r="E7" s="183" t="s">
        <v>1435</v>
      </c>
      <c r="F7" s="183">
        <f>INDEX('Lab.Calcs.Assumptions'!B$4:B$30,$J7)</f>
        <v>1.72E-2</v>
      </c>
      <c r="G7" s="183">
        <f>INDEX('Lab.Calcs.Assumptions'!C$4:C$30,$J7)</f>
        <v>1.958E-2</v>
      </c>
      <c r="H7" s="183">
        <f>INDEX('Lab.Calcs.Assumptions'!D$4:D$30,$J7)</f>
        <v>6.4769999999999994E-2</v>
      </c>
      <c r="I7" s="183">
        <f>INDEX('Lab.Calcs.Assumptions'!E$4:E$30,$J7)</f>
        <v>0.23189000000000001</v>
      </c>
      <c r="J7" s="183">
        <f>MATCH(E7,'Lab.Calcs.Assumptions'!$A$4:$A$30,0)</f>
        <v>2</v>
      </c>
    </row>
    <row r="8" spans="1:10" x14ac:dyDescent="0.25">
      <c r="A8" s="183" t="s">
        <v>291</v>
      </c>
      <c r="B8" s="183" t="s">
        <v>1434</v>
      </c>
      <c r="C8" s="183" t="s">
        <v>1272</v>
      </c>
      <c r="D8" s="183" t="s">
        <v>1431</v>
      </c>
      <c r="E8" s="183" t="s">
        <v>1431</v>
      </c>
      <c r="F8" s="183">
        <f>INDEX('Lab.Calcs.Assumptions'!B$4:B$30,$J8)</f>
        <v>1.72E-2</v>
      </c>
      <c r="G8" s="183">
        <f>INDEX('Lab.Calcs.Assumptions'!C$4:C$30,$J8)</f>
        <v>1.958E-2</v>
      </c>
      <c r="H8" s="183">
        <f>INDEX('Lab.Calcs.Assumptions'!D$4:D$30,$J8)</f>
        <v>6.4769999999999994E-2</v>
      </c>
      <c r="I8" s="183">
        <f>INDEX('Lab.Calcs.Assumptions'!E$4:E$30,$J8)</f>
        <v>0.23189000000000001</v>
      </c>
      <c r="J8" s="183">
        <f>MATCH(E8,'Lab.Calcs.Assumptions'!$A$4:$A$30,0)</f>
        <v>3</v>
      </c>
    </row>
    <row r="9" spans="1:10" x14ac:dyDescent="0.25">
      <c r="A9" s="183" t="s">
        <v>289</v>
      </c>
      <c r="B9" s="183" t="s">
        <v>1433</v>
      </c>
      <c r="C9" s="183" t="s">
        <v>1272</v>
      </c>
      <c r="D9" s="183" t="s">
        <v>1284</v>
      </c>
      <c r="E9" s="183" t="s">
        <v>1284</v>
      </c>
      <c r="F9" s="183">
        <f>INDEX('Lab.Calcs.Assumptions'!B$4:B$30,$J9)</f>
        <v>0</v>
      </c>
      <c r="G9" s="183">
        <f>INDEX('Lab.Calcs.Assumptions'!C$4:C$30,$J9)</f>
        <v>0</v>
      </c>
      <c r="H9" s="183">
        <f>INDEX('Lab.Calcs.Assumptions'!D$4:D$30,$J9)</f>
        <v>0</v>
      </c>
      <c r="I9" s="183">
        <f>INDEX('Lab.Calcs.Assumptions'!E$4:E$30,$J9)</f>
        <v>0</v>
      </c>
      <c r="J9" s="183">
        <f>MATCH(E9,'Lab.Calcs.Assumptions'!$A$4:$A$30,0)</f>
        <v>4</v>
      </c>
    </row>
    <row r="10" spans="1:10" x14ac:dyDescent="0.25">
      <c r="A10" s="183" t="s">
        <v>265</v>
      </c>
      <c r="B10" s="183" t="s">
        <v>1432</v>
      </c>
      <c r="C10" s="183" t="s">
        <v>1272</v>
      </c>
      <c r="D10" s="183" t="s">
        <v>1431</v>
      </c>
      <c r="E10" s="183" t="s">
        <v>1431</v>
      </c>
      <c r="F10" s="183">
        <f>INDEX('Lab.Calcs.Assumptions'!B$4:B$30,$J10)</f>
        <v>1.72E-2</v>
      </c>
      <c r="G10" s="183">
        <f>INDEX('Lab.Calcs.Assumptions'!C$4:C$30,$J10)</f>
        <v>1.958E-2</v>
      </c>
      <c r="H10" s="183">
        <f>INDEX('Lab.Calcs.Assumptions'!D$4:D$30,$J10)</f>
        <v>6.4769999999999994E-2</v>
      </c>
      <c r="I10" s="183">
        <f>INDEX('Lab.Calcs.Assumptions'!E$4:E$30,$J10)</f>
        <v>0.23189000000000001</v>
      </c>
      <c r="J10" s="183">
        <f>MATCH(E10,'Lab.Calcs.Assumptions'!$A$4:$A$30,0)</f>
        <v>3</v>
      </c>
    </row>
    <row r="11" spans="1:10" x14ac:dyDescent="0.25">
      <c r="A11" s="183" t="s">
        <v>1430</v>
      </c>
      <c r="B11" s="183" t="s">
        <v>1429</v>
      </c>
      <c r="C11" s="183" t="s">
        <v>1272</v>
      </c>
      <c r="D11" s="183" t="s">
        <v>1284</v>
      </c>
      <c r="E11" s="183" t="s">
        <v>1284</v>
      </c>
      <c r="F11" s="183">
        <f>INDEX('Lab.Calcs.Assumptions'!B$4:B$30,$J11)</f>
        <v>0</v>
      </c>
      <c r="G11" s="183">
        <f>INDEX('Lab.Calcs.Assumptions'!C$4:C$30,$J11)</f>
        <v>0</v>
      </c>
      <c r="H11" s="183">
        <f>INDEX('Lab.Calcs.Assumptions'!D$4:D$30,$J11)</f>
        <v>0</v>
      </c>
      <c r="I11" s="183">
        <f>INDEX('Lab.Calcs.Assumptions'!E$4:E$30,$J11)</f>
        <v>0</v>
      </c>
      <c r="J11" s="183">
        <f>MATCH(E11,'Lab.Calcs.Assumptions'!$A$4:$A$30,0)</f>
        <v>4</v>
      </c>
    </row>
    <row r="12" spans="1:10" x14ac:dyDescent="0.25">
      <c r="A12" s="183" t="s">
        <v>1428</v>
      </c>
      <c r="B12" s="183" t="s">
        <v>1427</v>
      </c>
      <c r="C12" s="183" t="s">
        <v>1272</v>
      </c>
      <c r="D12" s="183" t="s">
        <v>1284</v>
      </c>
      <c r="E12" s="183" t="s">
        <v>1284</v>
      </c>
      <c r="F12" s="183">
        <f>INDEX('Lab.Calcs.Assumptions'!B$4:B$30,$J12)</f>
        <v>0</v>
      </c>
      <c r="G12" s="183">
        <f>INDEX('Lab.Calcs.Assumptions'!C$4:C$30,$J12)</f>
        <v>0</v>
      </c>
      <c r="H12" s="183">
        <f>INDEX('Lab.Calcs.Assumptions'!D$4:D$30,$J12)</f>
        <v>0</v>
      </c>
      <c r="I12" s="183">
        <f>INDEX('Lab.Calcs.Assumptions'!E$4:E$30,$J12)</f>
        <v>0</v>
      </c>
      <c r="J12" s="183">
        <f>MATCH(E12,'Lab.Calcs.Assumptions'!$A$4:$A$30,0)</f>
        <v>4</v>
      </c>
    </row>
    <row r="13" spans="1:10" x14ac:dyDescent="0.25">
      <c r="A13" s="183" t="s">
        <v>1426</v>
      </c>
      <c r="B13" s="183" t="s">
        <v>1425</v>
      </c>
      <c r="C13" s="183" t="s">
        <v>1272</v>
      </c>
      <c r="D13" s="183" t="s">
        <v>1284</v>
      </c>
      <c r="E13" s="183" t="s">
        <v>1284</v>
      </c>
      <c r="F13" s="183">
        <f>INDEX('Lab.Calcs.Assumptions'!B$4:B$30,$J13)</f>
        <v>0</v>
      </c>
      <c r="G13" s="183">
        <f>INDEX('Lab.Calcs.Assumptions'!C$4:C$30,$J13)</f>
        <v>0</v>
      </c>
      <c r="H13" s="183">
        <f>INDEX('Lab.Calcs.Assumptions'!D$4:D$30,$J13)</f>
        <v>0</v>
      </c>
      <c r="I13" s="183">
        <f>INDEX('Lab.Calcs.Assumptions'!E$4:E$30,$J13)</f>
        <v>0</v>
      </c>
      <c r="J13" s="183">
        <f>MATCH(E13,'Lab.Calcs.Assumptions'!$A$4:$A$30,0)</f>
        <v>4</v>
      </c>
    </row>
    <row r="14" spans="1:10" x14ac:dyDescent="0.25">
      <c r="A14" s="183" t="s">
        <v>252</v>
      </c>
      <c r="B14" s="183" t="s">
        <v>1424</v>
      </c>
      <c r="C14" s="183" t="s">
        <v>1272</v>
      </c>
      <c r="D14" s="183" t="s">
        <v>1284</v>
      </c>
      <c r="E14" s="183" t="s">
        <v>1284</v>
      </c>
      <c r="F14" s="183">
        <f>INDEX('Lab.Calcs.Assumptions'!B$4:B$30,$J14)</f>
        <v>0</v>
      </c>
      <c r="G14" s="183">
        <f>INDEX('Lab.Calcs.Assumptions'!C$4:C$30,$J14)</f>
        <v>0</v>
      </c>
      <c r="H14" s="183">
        <f>INDEX('Lab.Calcs.Assumptions'!D$4:D$30,$J14)</f>
        <v>0</v>
      </c>
      <c r="I14" s="183">
        <f>INDEX('Lab.Calcs.Assumptions'!E$4:E$30,$J14)</f>
        <v>0</v>
      </c>
      <c r="J14" s="183">
        <f>MATCH(E14,'Lab.Calcs.Assumptions'!$A$4:$A$30,0)</f>
        <v>4</v>
      </c>
    </row>
    <row r="15" spans="1:10" x14ac:dyDescent="0.25">
      <c r="A15" s="183" t="s">
        <v>1423</v>
      </c>
      <c r="B15" s="183" t="s">
        <v>1422</v>
      </c>
      <c r="C15" s="183" t="s">
        <v>1272</v>
      </c>
      <c r="D15" s="183" t="s">
        <v>1284</v>
      </c>
      <c r="E15" s="183" t="s">
        <v>1284</v>
      </c>
      <c r="F15" s="183">
        <f>INDEX('Lab.Calcs.Assumptions'!B$4:B$30,$J15)</f>
        <v>0</v>
      </c>
      <c r="G15" s="183">
        <f>INDEX('Lab.Calcs.Assumptions'!C$4:C$30,$J15)</f>
        <v>0</v>
      </c>
      <c r="H15" s="183">
        <f>INDEX('Lab.Calcs.Assumptions'!D$4:D$30,$J15)</f>
        <v>0</v>
      </c>
      <c r="I15" s="183">
        <f>INDEX('Lab.Calcs.Assumptions'!E$4:E$30,$J15)</f>
        <v>0</v>
      </c>
      <c r="J15" s="183">
        <f>MATCH(E15,'Lab.Calcs.Assumptions'!$A$4:$A$30,0)</f>
        <v>4</v>
      </c>
    </row>
    <row r="16" spans="1:10" x14ac:dyDescent="0.25">
      <c r="A16" s="183" t="s">
        <v>1421</v>
      </c>
      <c r="B16" s="183" t="s">
        <v>1420</v>
      </c>
      <c r="C16" s="183" t="s">
        <v>1272</v>
      </c>
      <c r="D16" s="183" t="s">
        <v>1284</v>
      </c>
      <c r="E16" s="183" t="s">
        <v>1284</v>
      </c>
      <c r="F16" s="183">
        <f>INDEX('Lab.Calcs.Assumptions'!B$4:B$30,$J16)</f>
        <v>0</v>
      </c>
      <c r="G16" s="183">
        <f>INDEX('Lab.Calcs.Assumptions'!C$4:C$30,$J16)</f>
        <v>0</v>
      </c>
      <c r="H16" s="183">
        <f>INDEX('Lab.Calcs.Assumptions'!D$4:D$30,$J16)</f>
        <v>0</v>
      </c>
      <c r="I16" s="183">
        <f>INDEX('Lab.Calcs.Assumptions'!E$4:E$30,$J16)</f>
        <v>0</v>
      </c>
      <c r="J16" s="183">
        <f>MATCH(E16,'Lab.Calcs.Assumptions'!$A$4:$A$30,0)</f>
        <v>4</v>
      </c>
    </row>
    <row r="17" spans="1:10" x14ac:dyDescent="0.25">
      <c r="A17" s="183" t="s">
        <v>1419</v>
      </c>
      <c r="B17" s="183" t="s">
        <v>1418</v>
      </c>
      <c r="C17" s="183" t="s">
        <v>1272</v>
      </c>
      <c r="D17" s="183" t="s">
        <v>1284</v>
      </c>
      <c r="E17" s="183" t="s">
        <v>1284</v>
      </c>
      <c r="F17" s="183">
        <f>INDEX('Lab.Calcs.Assumptions'!B$4:B$30,$J17)</f>
        <v>0</v>
      </c>
      <c r="G17" s="183">
        <f>INDEX('Lab.Calcs.Assumptions'!C$4:C$30,$J17)</f>
        <v>0</v>
      </c>
      <c r="H17" s="183">
        <f>INDEX('Lab.Calcs.Assumptions'!D$4:D$30,$J17)</f>
        <v>0</v>
      </c>
      <c r="I17" s="183">
        <f>INDEX('Lab.Calcs.Assumptions'!E$4:E$30,$J17)</f>
        <v>0</v>
      </c>
      <c r="J17" s="183">
        <f>MATCH(E17,'Lab.Calcs.Assumptions'!$A$4:$A$30,0)</f>
        <v>4</v>
      </c>
    </row>
    <row r="18" spans="1:10" x14ac:dyDescent="0.25">
      <c r="A18" s="183" t="s">
        <v>1417</v>
      </c>
      <c r="B18" s="183" t="s">
        <v>1416</v>
      </c>
      <c r="C18" s="183" t="s">
        <v>1272</v>
      </c>
      <c r="D18" s="183" t="s">
        <v>1284</v>
      </c>
      <c r="E18" s="183" t="s">
        <v>1284</v>
      </c>
      <c r="F18" s="183">
        <f>INDEX('Lab.Calcs.Assumptions'!B$4:B$30,$J18)</f>
        <v>0</v>
      </c>
      <c r="G18" s="183">
        <f>INDEX('Lab.Calcs.Assumptions'!C$4:C$30,$J18)</f>
        <v>0</v>
      </c>
      <c r="H18" s="183">
        <f>INDEX('Lab.Calcs.Assumptions'!D$4:D$30,$J18)</f>
        <v>0</v>
      </c>
      <c r="I18" s="183">
        <f>INDEX('Lab.Calcs.Assumptions'!E$4:E$30,$J18)</f>
        <v>0</v>
      </c>
      <c r="J18" s="183">
        <f>MATCH(E18,'Lab.Calcs.Assumptions'!$A$4:$A$30,0)</f>
        <v>4</v>
      </c>
    </row>
    <row r="19" spans="1:10" x14ac:dyDescent="0.25">
      <c r="A19" s="183" t="s">
        <v>258</v>
      </c>
      <c r="B19" s="183" t="s">
        <v>1415</v>
      </c>
      <c r="C19" s="183" t="s">
        <v>1272</v>
      </c>
      <c r="D19" s="183" t="s">
        <v>1392</v>
      </c>
      <c r="E19" s="183" t="s">
        <v>1413</v>
      </c>
      <c r="F19" s="183">
        <f>INDEX('Lab.Calcs.Assumptions'!B$4:B$30,$J19)</f>
        <v>1.941E-2</v>
      </c>
      <c r="G19" s="183">
        <f>INDEX('Lab.Calcs.Assumptions'!C$4:C$30,$J19)</f>
        <v>2.2089999999999999E-2</v>
      </c>
      <c r="H19" s="183">
        <f>INDEX('Lab.Calcs.Assumptions'!D$4:D$30,$J19)</f>
        <v>7.3090000000000002E-2</v>
      </c>
      <c r="I19" s="183">
        <f>INDEX('Lab.Calcs.Assumptions'!E$4:E$30,$J19)</f>
        <v>0.26167000000000001</v>
      </c>
      <c r="J19" s="183">
        <f>MATCH(E19,'Lab.Calcs.Assumptions'!$A$4:$A$30,0)</f>
        <v>5</v>
      </c>
    </row>
    <row r="20" spans="1:10" x14ac:dyDescent="0.25">
      <c r="A20" s="183" t="s">
        <v>256</v>
      </c>
      <c r="B20" s="183" t="s">
        <v>1414</v>
      </c>
      <c r="C20" s="183" t="s">
        <v>1272</v>
      </c>
      <c r="D20" s="183" t="s">
        <v>1392</v>
      </c>
      <c r="E20" s="183" t="s">
        <v>1413</v>
      </c>
      <c r="F20" s="183">
        <f>INDEX('Lab.Calcs.Assumptions'!B$4:B$30,$J20)</f>
        <v>1.941E-2</v>
      </c>
      <c r="G20" s="183">
        <f>INDEX('Lab.Calcs.Assumptions'!C$4:C$30,$J20)</f>
        <v>2.2089999999999999E-2</v>
      </c>
      <c r="H20" s="183">
        <f>INDEX('Lab.Calcs.Assumptions'!D$4:D$30,$J20)</f>
        <v>7.3090000000000002E-2</v>
      </c>
      <c r="I20" s="183">
        <f>INDEX('Lab.Calcs.Assumptions'!E$4:E$30,$J20)</f>
        <v>0.26167000000000001</v>
      </c>
      <c r="J20" s="183">
        <f>MATCH(E20,'Lab.Calcs.Assumptions'!$A$4:$A$30,0)</f>
        <v>5</v>
      </c>
    </row>
    <row r="21" spans="1:10" x14ac:dyDescent="0.25">
      <c r="A21" s="183" t="s">
        <v>1412</v>
      </c>
      <c r="B21" s="183" t="s">
        <v>1411</v>
      </c>
      <c r="C21" s="183" t="s">
        <v>1272</v>
      </c>
      <c r="D21" s="183" t="s">
        <v>1392</v>
      </c>
      <c r="E21" s="183" t="s">
        <v>1396</v>
      </c>
      <c r="F21" s="183">
        <f>INDEX('Lab.Calcs.Assumptions'!B$4:B$30,$J21)</f>
        <v>1.941E-2</v>
      </c>
      <c r="G21" s="183">
        <f>INDEX('Lab.Calcs.Assumptions'!C$4:C$30,$J21)</f>
        <v>2.2089999999999999E-2</v>
      </c>
      <c r="H21" s="183">
        <f>INDEX('Lab.Calcs.Assumptions'!D$4:D$30,$J21)</f>
        <v>7.3090000000000002E-2</v>
      </c>
      <c r="I21" s="183">
        <f>INDEX('Lab.Calcs.Assumptions'!E$4:E$30,$J21)</f>
        <v>0.26167000000000001</v>
      </c>
      <c r="J21" s="183">
        <f>MATCH(E21,'Lab.Calcs.Assumptions'!$A$4:$A$30,0)</f>
        <v>6</v>
      </c>
    </row>
    <row r="22" spans="1:10" x14ac:dyDescent="0.25">
      <c r="A22" s="183" t="s">
        <v>1410</v>
      </c>
      <c r="B22" s="183" t="s">
        <v>1409</v>
      </c>
      <c r="C22" s="183" t="s">
        <v>1272</v>
      </c>
      <c r="D22" s="183" t="s">
        <v>1392</v>
      </c>
      <c r="E22" s="183" t="s">
        <v>1396</v>
      </c>
      <c r="F22" s="183">
        <f>INDEX('Lab.Calcs.Assumptions'!B$4:B$30,$J22)</f>
        <v>1.941E-2</v>
      </c>
      <c r="G22" s="183">
        <f>INDEX('Lab.Calcs.Assumptions'!C$4:C$30,$J22)</f>
        <v>2.2089999999999999E-2</v>
      </c>
      <c r="H22" s="183">
        <f>INDEX('Lab.Calcs.Assumptions'!D$4:D$30,$J22)</f>
        <v>7.3090000000000002E-2</v>
      </c>
      <c r="I22" s="183">
        <f>INDEX('Lab.Calcs.Assumptions'!E$4:E$30,$J22)</f>
        <v>0.26167000000000001</v>
      </c>
      <c r="J22" s="183">
        <f>MATCH(E22,'Lab.Calcs.Assumptions'!$A$4:$A$30,0)</f>
        <v>6</v>
      </c>
    </row>
    <row r="23" spans="1:10" x14ac:dyDescent="0.25">
      <c r="A23" s="183" t="s">
        <v>1408</v>
      </c>
      <c r="B23" s="183" t="s">
        <v>1407</v>
      </c>
      <c r="C23" s="183" t="s">
        <v>1272</v>
      </c>
      <c r="D23" s="183" t="s">
        <v>1392</v>
      </c>
      <c r="E23" s="183" t="s">
        <v>1396</v>
      </c>
      <c r="F23" s="183">
        <f>INDEX('Lab.Calcs.Assumptions'!B$4:B$30,$J23)</f>
        <v>1.941E-2</v>
      </c>
      <c r="G23" s="183">
        <f>INDEX('Lab.Calcs.Assumptions'!C$4:C$30,$J23)</f>
        <v>2.2089999999999999E-2</v>
      </c>
      <c r="H23" s="183">
        <f>INDEX('Lab.Calcs.Assumptions'!D$4:D$30,$J23)</f>
        <v>7.3090000000000002E-2</v>
      </c>
      <c r="I23" s="183">
        <f>INDEX('Lab.Calcs.Assumptions'!E$4:E$30,$J23)</f>
        <v>0.26167000000000001</v>
      </c>
      <c r="J23" s="183">
        <f>MATCH(E23,'Lab.Calcs.Assumptions'!$A$4:$A$30,0)</f>
        <v>6</v>
      </c>
    </row>
    <row r="24" spans="1:10" x14ac:dyDescent="0.25">
      <c r="A24" s="183" t="s">
        <v>1406</v>
      </c>
      <c r="B24" s="183" t="s">
        <v>1405</v>
      </c>
      <c r="C24" s="183" t="s">
        <v>1272</v>
      </c>
      <c r="D24" s="183" t="s">
        <v>1392</v>
      </c>
      <c r="E24" s="183" t="s">
        <v>1396</v>
      </c>
      <c r="F24" s="183">
        <f>INDEX('Lab.Calcs.Assumptions'!B$4:B$30,$J24)</f>
        <v>1.941E-2</v>
      </c>
      <c r="G24" s="183">
        <f>INDEX('Lab.Calcs.Assumptions'!C$4:C$30,$J24)</f>
        <v>2.2089999999999999E-2</v>
      </c>
      <c r="H24" s="183">
        <f>INDEX('Lab.Calcs.Assumptions'!D$4:D$30,$J24)</f>
        <v>7.3090000000000002E-2</v>
      </c>
      <c r="I24" s="183">
        <f>INDEX('Lab.Calcs.Assumptions'!E$4:E$30,$J24)</f>
        <v>0.26167000000000001</v>
      </c>
      <c r="J24" s="183">
        <f>MATCH(E24,'Lab.Calcs.Assumptions'!$A$4:$A$30,0)</f>
        <v>6</v>
      </c>
    </row>
    <row r="25" spans="1:10" x14ac:dyDescent="0.25">
      <c r="A25" s="183" t="s">
        <v>1404</v>
      </c>
      <c r="B25" s="183" t="s">
        <v>1403</v>
      </c>
      <c r="C25" s="183" t="s">
        <v>1272</v>
      </c>
      <c r="D25" s="183" t="s">
        <v>1392</v>
      </c>
      <c r="E25" s="183" t="s">
        <v>1396</v>
      </c>
      <c r="F25" s="183">
        <f>INDEX('Lab.Calcs.Assumptions'!B$4:B$30,$J25)</f>
        <v>1.941E-2</v>
      </c>
      <c r="G25" s="183">
        <f>INDEX('Lab.Calcs.Assumptions'!C$4:C$30,$J25)</f>
        <v>2.2089999999999999E-2</v>
      </c>
      <c r="H25" s="183">
        <f>INDEX('Lab.Calcs.Assumptions'!D$4:D$30,$J25)</f>
        <v>7.3090000000000002E-2</v>
      </c>
      <c r="I25" s="183">
        <f>INDEX('Lab.Calcs.Assumptions'!E$4:E$30,$J25)</f>
        <v>0.26167000000000001</v>
      </c>
      <c r="J25" s="183">
        <f>MATCH(E25,'Lab.Calcs.Assumptions'!$A$4:$A$30,0)</f>
        <v>6</v>
      </c>
    </row>
    <row r="26" spans="1:10" x14ac:dyDescent="0.25">
      <c r="A26" s="183" t="s">
        <v>1402</v>
      </c>
      <c r="B26" s="183" t="s">
        <v>1401</v>
      </c>
      <c r="C26" s="183" t="s">
        <v>1272</v>
      </c>
      <c r="D26" s="183" t="s">
        <v>1392</v>
      </c>
      <c r="E26" s="183" t="s">
        <v>1396</v>
      </c>
      <c r="F26" s="183">
        <f>INDEX('Lab.Calcs.Assumptions'!B$4:B$30,$J26)</f>
        <v>1.941E-2</v>
      </c>
      <c r="G26" s="183">
        <f>INDEX('Lab.Calcs.Assumptions'!C$4:C$30,$J26)</f>
        <v>2.2089999999999999E-2</v>
      </c>
      <c r="H26" s="183">
        <f>INDEX('Lab.Calcs.Assumptions'!D$4:D$30,$J26)</f>
        <v>7.3090000000000002E-2</v>
      </c>
      <c r="I26" s="183">
        <f>INDEX('Lab.Calcs.Assumptions'!E$4:E$30,$J26)</f>
        <v>0.26167000000000001</v>
      </c>
      <c r="J26" s="183">
        <f>MATCH(E26,'Lab.Calcs.Assumptions'!$A$4:$A$30,0)</f>
        <v>6</v>
      </c>
    </row>
    <row r="27" spans="1:10" x14ac:dyDescent="0.25">
      <c r="A27" s="183" t="s">
        <v>1400</v>
      </c>
      <c r="B27" s="183" t="s">
        <v>1399</v>
      </c>
      <c r="C27" s="183" t="s">
        <v>1272</v>
      </c>
      <c r="D27" s="183" t="s">
        <v>1392</v>
      </c>
      <c r="E27" s="183" t="s">
        <v>1396</v>
      </c>
      <c r="F27" s="183">
        <f>INDEX('Lab.Calcs.Assumptions'!B$4:B$30,$J27)</f>
        <v>1.941E-2</v>
      </c>
      <c r="G27" s="183">
        <f>INDEX('Lab.Calcs.Assumptions'!C$4:C$30,$J27)</f>
        <v>2.2089999999999999E-2</v>
      </c>
      <c r="H27" s="183">
        <f>INDEX('Lab.Calcs.Assumptions'!D$4:D$30,$J27)</f>
        <v>7.3090000000000002E-2</v>
      </c>
      <c r="I27" s="183">
        <f>INDEX('Lab.Calcs.Assumptions'!E$4:E$30,$J27)</f>
        <v>0.26167000000000001</v>
      </c>
      <c r="J27" s="183">
        <f>MATCH(E27,'Lab.Calcs.Assumptions'!$A$4:$A$30,0)</f>
        <v>6</v>
      </c>
    </row>
    <row r="28" spans="1:10" x14ac:dyDescent="0.25">
      <c r="A28" s="183" t="s">
        <v>1398</v>
      </c>
      <c r="B28" s="183" t="s">
        <v>1397</v>
      </c>
      <c r="C28" s="183" t="s">
        <v>1272</v>
      </c>
      <c r="D28" s="183" t="s">
        <v>1392</v>
      </c>
      <c r="E28" s="183" t="s">
        <v>1396</v>
      </c>
      <c r="F28" s="183">
        <f>INDEX('Lab.Calcs.Assumptions'!B$4:B$30,$J28)</f>
        <v>1.941E-2</v>
      </c>
      <c r="G28" s="183">
        <f>INDEX('Lab.Calcs.Assumptions'!C$4:C$30,$J28)</f>
        <v>2.2089999999999999E-2</v>
      </c>
      <c r="H28" s="183">
        <f>INDEX('Lab.Calcs.Assumptions'!D$4:D$30,$J28)</f>
        <v>7.3090000000000002E-2</v>
      </c>
      <c r="I28" s="183">
        <f>INDEX('Lab.Calcs.Assumptions'!E$4:E$30,$J28)</f>
        <v>0.26167000000000001</v>
      </c>
      <c r="J28" s="183">
        <f>MATCH(E28,'Lab.Calcs.Assumptions'!$A$4:$A$30,0)</f>
        <v>6</v>
      </c>
    </row>
    <row r="29" spans="1:10" x14ac:dyDescent="0.25">
      <c r="A29" s="183" t="s">
        <v>235</v>
      </c>
      <c r="B29" s="183" t="s">
        <v>1395</v>
      </c>
      <c r="C29" s="183" t="s">
        <v>1272</v>
      </c>
      <c r="D29" s="183" t="s">
        <v>1392</v>
      </c>
      <c r="E29" s="183" t="s">
        <v>1394</v>
      </c>
      <c r="F29" s="183">
        <f>INDEX('Lab.Calcs.Assumptions'!B$4:B$30,$J29)</f>
        <v>1.941E-2</v>
      </c>
      <c r="G29" s="183">
        <f>INDEX('Lab.Calcs.Assumptions'!C$4:C$30,$J29)</f>
        <v>2.2089999999999999E-2</v>
      </c>
      <c r="H29" s="183">
        <f>INDEX('Lab.Calcs.Assumptions'!D$4:D$30,$J29)</f>
        <v>7.3090000000000002E-2</v>
      </c>
      <c r="I29" s="183">
        <f>INDEX('Lab.Calcs.Assumptions'!E$4:E$30,$J29)</f>
        <v>0.26167000000000001</v>
      </c>
      <c r="J29" s="183">
        <f>MATCH(E29,'Lab.Calcs.Assumptions'!$A$4:$A$30,0)</f>
        <v>7</v>
      </c>
    </row>
    <row r="30" spans="1:10" x14ac:dyDescent="0.25">
      <c r="A30" s="183" t="s">
        <v>233</v>
      </c>
      <c r="B30" s="183" t="s">
        <v>1393</v>
      </c>
      <c r="C30" s="183" t="s">
        <v>1272</v>
      </c>
      <c r="D30" s="183" t="s">
        <v>1392</v>
      </c>
      <c r="E30" s="183" t="s">
        <v>1391</v>
      </c>
      <c r="F30" s="183">
        <f>INDEX('Lab.Calcs.Assumptions'!B$4:B$30,$J30)</f>
        <v>1.941E-2</v>
      </c>
      <c r="G30" s="183">
        <f>INDEX('Lab.Calcs.Assumptions'!C$4:C$30,$J30)</f>
        <v>2.2089999999999999E-2</v>
      </c>
      <c r="H30" s="183">
        <f>INDEX('Lab.Calcs.Assumptions'!D$4:D$30,$J30)</f>
        <v>7.3090000000000002E-2</v>
      </c>
      <c r="I30" s="183">
        <f>INDEX('Lab.Calcs.Assumptions'!E$4:E$30,$J30)</f>
        <v>0.26167000000000001</v>
      </c>
      <c r="J30" s="183">
        <f>MATCH(E30,'Lab.Calcs.Assumptions'!$A$4:$A$30,0)</f>
        <v>8</v>
      </c>
    </row>
    <row r="31" spans="1:10" x14ac:dyDescent="0.25">
      <c r="A31" s="183" t="s">
        <v>1390</v>
      </c>
      <c r="B31" s="183" t="s">
        <v>1389</v>
      </c>
      <c r="C31" s="183" t="s">
        <v>1272</v>
      </c>
      <c r="D31" s="183" t="s">
        <v>1371</v>
      </c>
      <c r="E31" s="183" t="s">
        <v>1371</v>
      </c>
      <c r="F31" s="183">
        <f>INDEX('Lab.Calcs.Assumptions'!B$4:B$30,$J31)</f>
        <v>2.3769999999999999E-2</v>
      </c>
      <c r="G31" s="183">
        <f>INDEX('Lab.Calcs.Assumptions'!C$4:C$30,$J31)</f>
        <v>2.7050000000000001E-2</v>
      </c>
      <c r="H31" s="183">
        <f>INDEX('Lab.Calcs.Assumptions'!D$4:D$30,$J31)</f>
        <v>8.949E-2</v>
      </c>
      <c r="I31" s="183">
        <f>INDEX('Lab.Calcs.Assumptions'!E$4:E$30,$J31)</f>
        <v>0.32040000000000002</v>
      </c>
      <c r="J31" s="183">
        <f>MATCH(E31,'Lab.Calcs.Assumptions'!$A$4:$A$30,0)</f>
        <v>9</v>
      </c>
    </row>
    <row r="32" spans="1:10" x14ac:dyDescent="0.25">
      <c r="A32" s="183" t="s">
        <v>1388</v>
      </c>
      <c r="B32" s="183" t="s">
        <v>1387</v>
      </c>
      <c r="C32" s="183" t="s">
        <v>1272</v>
      </c>
      <c r="D32" s="183" t="s">
        <v>1371</v>
      </c>
      <c r="E32" s="183" t="s">
        <v>1371</v>
      </c>
      <c r="F32" s="183">
        <f>INDEX('Lab.Calcs.Assumptions'!B$4:B$30,$J32)</f>
        <v>2.3769999999999999E-2</v>
      </c>
      <c r="G32" s="183">
        <f>INDEX('Lab.Calcs.Assumptions'!C$4:C$30,$J32)</f>
        <v>2.7050000000000001E-2</v>
      </c>
      <c r="H32" s="183">
        <f>INDEX('Lab.Calcs.Assumptions'!D$4:D$30,$J32)</f>
        <v>8.949E-2</v>
      </c>
      <c r="I32" s="183">
        <f>INDEX('Lab.Calcs.Assumptions'!E$4:E$30,$J32)</f>
        <v>0.32040000000000002</v>
      </c>
      <c r="J32" s="183">
        <f>MATCH(E32,'Lab.Calcs.Assumptions'!$A$4:$A$30,0)</f>
        <v>9</v>
      </c>
    </row>
    <row r="33" spans="1:10" x14ac:dyDescent="0.25">
      <c r="A33" s="183" t="s">
        <v>260</v>
      </c>
      <c r="B33" s="183" t="s">
        <v>1386</v>
      </c>
      <c r="C33" s="183" t="s">
        <v>1272</v>
      </c>
      <c r="D33" s="183" t="s">
        <v>1371</v>
      </c>
      <c r="E33" s="183" t="s">
        <v>1371</v>
      </c>
      <c r="F33" s="183">
        <f>INDEX('Lab.Calcs.Assumptions'!B$4:B$30,$J33)</f>
        <v>2.3769999999999999E-2</v>
      </c>
      <c r="G33" s="183">
        <f>INDEX('Lab.Calcs.Assumptions'!C$4:C$30,$J33)</f>
        <v>2.7050000000000001E-2</v>
      </c>
      <c r="H33" s="183">
        <f>INDEX('Lab.Calcs.Assumptions'!D$4:D$30,$J33)</f>
        <v>8.949E-2</v>
      </c>
      <c r="I33" s="183">
        <f>INDEX('Lab.Calcs.Assumptions'!E$4:E$30,$J33)</f>
        <v>0.32040000000000002</v>
      </c>
      <c r="J33" s="183">
        <f>MATCH(E33,'Lab.Calcs.Assumptions'!$A$4:$A$30,0)</f>
        <v>9</v>
      </c>
    </row>
    <row r="34" spans="1:10" x14ac:dyDescent="0.25">
      <c r="A34" s="183" t="s">
        <v>1385</v>
      </c>
      <c r="B34" s="183" t="s">
        <v>1384</v>
      </c>
      <c r="C34" s="183" t="s">
        <v>1272</v>
      </c>
      <c r="D34" s="183" t="s">
        <v>1371</v>
      </c>
      <c r="E34" s="183" t="s">
        <v>1371</v>
      </c>
      <c r="F34" s="183">
        <f>INDEX('Lab.Calcs.Assumptions'!B$4:B$30,$J34)</f>
        <v>2.3769999999999999E-2</v>
      </c>
      <c r="G34" s="183">
        <f>INDEX('Lab.Calcs.Assumptions'!C$4:C$30,$J34)</f>
        <v>2.7050000000000001E-2</v>
      </c>
      <c r="H34" s="183">
        <f>INDEX('Lab.Calcs.Assumptions'!D$4:D$30,$J34)</f>
        <v>8.949E-2</v>
      </c>
      <c r="I34" s="183">
        <f>INDEX('Lab.Calcs.Assumptions'!E$4:E$30,$J34)</f>
        <v>0.32040000000000002</v>
      </c>
      <c r="J34" s="183">
        <f>MATCH(E34,'Lab.Calcs.Assumptions'!$A$4:$A$30,0)</f>
        <v>9</v>
      </c>
    </row>
    <row r="35" spans="1:10" x14ac:dyDescent="0.25">
      <c r="A35" s="183" t="s">
        <v>1383</v>
      </c>
      <c r="B35" s="183" t="s">
        <v>1382</v>
      </c>
      <c r="C35" s="183" t="s">
        <v>1272</v>
      </c>
      <c r="D35" s="183" t="s">
        <v>1371</v>
      </c>
      <c r="E35" s="183" t="s">
        <v>1371</v>
      </c>
      <c r="F35" s="183">
        <f>INDEX('Lab.Calcs.Assumptions'!B$4:B$30,$J35)</f>
        <v>2.3769999999999999E-2</v>
      </c>
      <c r="G35" s="183">
        <f>INDEX('Lab.Calcs.Assumptions'!C$4:C$30,$J35)</f>
        <v>2.7050000000000001E-2</v>
      </c>
      <c r="H35" s="183">
        <f>INDEX('Lab.Calcs.Assumptions'!D$4:D$30,$J35)</f>
        <v>8.949E-2</v>
      </c>
      <c r="I35" s="183">
        <f>INDEX('Lab.Calcs.Assumptions'!E$4:E$30,$J35)</f>
        <v>0.32040000000000002</v>
      </c>
      <c r="J35" s="183">
        <f>MATCH(E35,'Lab.Calcs.Assumptions'!$A$4:$A$30,0)</f>
        <v>9</v>
      </c>
    </row>
    <row r="36" spans="1:10" x14ac:dyDescent="0.25">
      <c r="A36" s="183" t="s">
        <v>1381</v>
      </c>
      <c r="B36" s="183" t="s">
        <v>1380</v>
      </c>
      <c r="C36" s="183" t="s">
        <v>1272</v>
      </c>
      <c r="D36" s="183" t="s">
        <v>1371</v>
      </c>
      <c r="E36" s="183" t="s">
        <v>1371</v>
      </c>
      <c r="F36" s="183">
        <f>INDEX('Lab.Calcs.Assumptions'!B$4:B$30,$J36)</f>
        <v>2.3769999999999999E-2</v>
      </c>
      <c r="G36" s="183">
        <f>INDEX('Lab.Calcs.Assumptions'!C$4:C$30,$J36)</f>
        <v>2.7050000000000001E-2</v>
      </c>
      <c r="H36" s="183">
        <f>INDEX('Lab.Calcs.Assumptions'!D$4:D$30,$J36)</f>
        <v>8.949E-2</v>
      </c>
      <c r="I36" s="183">
        <f>INDEX('Lab.Calcs.Assumptions'!E$4:E$30,$J36)</f>
        <v>0.32040000000000002</v>
      </c>
      <c r="J36" s="183">
        <f>MATCH(E36,'Lab.Calcs.Assumptions'!$A$4:$A$30,0)</f>
        <v>9</v>
      </c>
    </row>
    <row r="37" spans="1:10" x14ac:dyDescent="0.25">
      <c r="A37" s="183" t="s">
        <v>1379</v>
      </c>
      <c r="B37" s="183" t="s">
        <v>1378</v>
      </c>
      <c r="C37" s="183" t="s">
        <v>1272</v>
      </c>
      <c r="D37" s="183" t="s">
        <v>1371</v>
      </c>
      <c r="E37" s="183" t="s">
        <v>1371</v>
      </c>
      <c r="F37" s="183">
        <f>INDEX('Lab.Calcs.Assumptions'!B$4:B$30,$J37)</f>
        <v>2.3769999999999999E-2</v>
      </c>
      <c r="G37" s="183">
        <f>INDEX('Lab.Calcs.Assumptions'!C$4:C$30,$J37)</f>
        <v>2.7050000000000001E-2</v>
      </c>
      <c r="H37" s="183">
        <f>INDEX('Lab.Calcs.Assumptions'!D$4:D$30,$J37)</f>
        <v>8.949E-2</v>
      </c>
      <c r="I37" s="183">
        <f>INDEX('Lab.Calcs.Assumptions'!E$4:E$30,$J37)</f>
        <v>0.32040000000000002</v>
      </c>
      <c r="J37" s="183">
        <f>MATCH(E37,'Lab.Calcs.Assumptions'!$A$4:$A$30,0)</f>
        <v>9</v>
      </c>
    </row>
    <row r="38" spans="1:10" x14ac:dyDescent="0.25">
      <c r="A38" s="183" t="s">
        <v>1377</v>
      </c>
      <c r="B38" s="183" t="s">
        <v>1376</v>
      </c>
      <c r="C38" s="183" t="s">
        <v>1272</v>
      </c>
      <c r="D38" s="183" t="s">
        <v>1371</v>
      </c>
      <c r="E38" s="183" t="s">
        <v>1371</v>
      </c>
      <c r="F38" s="183">
        <f>INDEX('Lab.Calcs.Assumptions'!B$4:B$30,$J38)</f>
        <v>2.3769999999999999E-2</v>
      </c>
      <c r="G38" s="183">
        <f>INDEX('Lab.Calcs.Assumptions'!C$4:C$30,$J38)</f>
        <v>2.7050000000000001E-2</v>
      </c>
      <c r="H38" s="183">
        <f>INDEX('Lab.Calcs.Assumptions'!D$4:D$30,$J38)</f>
        <v>8.949E-2</v>
      </c>
      <c r="I38" s="183">
        <f>INDEX('Lab.Calcs.Assumptions'!E$4:E$30,$J38)</f>
        <v>0.32040000000000002</v>
      </c>
      <c r="J38" s="183">
        <f>MATCH(E38,'Lab.Calcs.Assumptions'!$A$4:$A$30,0)</f>
        <v>9</v>
      </c>
    </row>
    <row r="39" spans="1:10" x14ac:dyDescent="0.25">
      <c r="A39" s="183" t="s">
        <v>1375</v>
      </c>
      <c r="B39" s="183" t="s">
        <v>1374</v>
      </c>
      <c r="C39" s="183" t="s">
        <v>1272</v>
      </c>
      <c r="D39" s="183" t="s">
        <v>1371</v>
      </c>
      <c r="E39" s="183" t="s">
        <v>1371</v>
      </c>
      <c r="F39" s="183">
        <f>INDEX('Lab.Calcs.Assumptions'!B$4:B$30,$J39)</f>
        <v>2.3769999999999999E-2</v>
      </c>
      <c r="G39" s="183">
        <f>INDEX('Lab.Calcs.Assumptions'!C$4:C$30,$J39)</f>
        <v>2.7050000000000001E-2</v>
      </c>
      <c r="H39" s="183">
        <f>INDEX('Lab.Calcs.Assumptions'!D$4:D$30,$J39)</f>
        <v>8.949E-2</v>
      </c>
      <c r="I39" s="183">
        <f>INDEX('Lab.Calcs.Assumptions'!E$4:E$30,$J39)</f>
        <v>0.32040000000000002</v>
      </c>
      <c r="J39" s="183">
        <f>MATCH(E39,'Lab.Calcs.Assumptions'!$A$4:$A$30,0)</f>
        <v>9</v>
      </c>
    </row>
    <row r="40" spans="1:10" x14ac:dyDescent="0.25">
      <c r="A40" s="183" t="s">
        <v>1373</v>
      </c>
      <c r="B40" s="183" t="s">
        <v>1372</v>
      </c>
      <c r="C40" s="183" t="s">
        <v>1272</v>
      </c>
      <c r="D40" s="183" t="s">
        <v>1371</v>
      </c>
      <c r="E40" s="183" t="s">
        <v>1371</v>
      </c>
      <c r="F40" s="183">
        <f>INDEX('Lab.Calcs.Assumptions'!B$4:B$30,$J40)</f>
        <v>2.3769999999999999E-2</v>
      </c>
      <c r="G40" s="183">
        <f>INDEX('Lab.Calcs.Assumptions'!C$4:C$30,$J40)</f>
        <v>2.7050000000000001E-2</v>
      </c>
      <c r="H40" s="183">
        <f>INDEX('Lab.Calcs.Assumptions'!D$4:D$30,$J40)</f>
        <v>8.949E-2</v>
      </c>
      <c r="I40" s="183">
        <f>INDEX('Lab.Calcs.Assumptions'!E$4:E$30,$J40)</f>
        <v>0.32040000000000002</v>
      </c>
      <c r="J40" s="183">
        <f>MATCH(E40,'Lab.Calcs.Assumptions'!$A$4:$A$30,0)</f>
        <v>9</v>
      </c>
    </row>
    <row r="41" spans="1:10" x14ac:dyDescent="0.25">
      <c r="A41" s="183" t="s">
        <v>254</v>
      </c>
      <c r="B41" s="183" t="s">
        <v>1370</v>
      </c>
      <c r="C41" s="183" t="s">
        <v>1272</v>
      </c>
      <c r="D41" s="183" t="s">
        <v>1367</v>
      </c>
      <c r="E41" s="183" t="s">
        <v>1367</v>
      </c>
      <c r="F41" s="183">
        <f>INDEX('Lab.Calcs.Assumptions'!B$4:B$30,$J41)</f>
        <v>1.6049999999999998E-2</v>
      </c>
      <c r="G41" s="183">
        <f>INDEX('Lab.Calcs.Assumptions'!C$4:C$30,$J41)</f>
        <v>1.8259999999999998E-2</v>
      </c>
      <c r="H41" s="183">
        <f>INDEX('Lab.Calcs.Assumptions'!D$4:D$30,$J41)</f>
        <v>6.0429999999999998E-2</v>
      </c>
      <c r="I41" s="183">
        <f>INDEX('Lab.Calcs.Assumptions'!E$4:E$30,$J41)</f>
        <v>0.21634</v>
      </c>
      <c r="J41" s="183">
        <f>MATCH(E41,'Lab.Calcs.Assumptions'!$A$4:$A$30,0)</f>
        <v>10</v>
      </c>
    </row>
    <row r="42" spans="1:10" x14ac:dyDescent="0.25">
      <c r="A42" s="183" t="s">
        <v>1369</v>
      </c>
      <c r="B42" s="183" t="s">
        <v>1368</v>
      </c>
      <c r="C42" s="183" t="s">
        <v>1272</v>
      </c>
      <c r="D42" s="183" t="s">
        <v>1367</v>
      </c>
      <c r="E42" s="183" t="s">
        <v>1367</v>
      </c>
      <c r="F42" s="183">
        <f>INDEX('Lab.Calcs.Assumptions'!B$4:B$30,$J42)</f>
        <v>1.6049999999999998E-2</v>
      </c>
      <c r="G42" s="183">
        <f>INDEX('Lab.Calcs.Assumptions'!C$4:C$30,$J42)</f>
        <v>1.8259999999999998E-2</v>
      </c>
      <c r="H42" s="183">
        <f>INDEX('Lab.Calcs.Assumptions'!D$4:D$30,$J42)</f>
        <v>6.0429999999999998E-2</v>
      </c>
      <c r="I42" s="183">
        <f>INDEX('Lab.Calcs.Assumptions'!E$4:E$30,$J42)</f>
        <v>0.21634</v>
      </c>
      <c r="J42" s="183">
        <f>MATCH(E42,'Lab.Calcs.Assumptions'!$A$4:$A$30,0)</f>
        <v>10</v>
      </c>
    </row>
    <row r="43" spans="1:10" x14ac:dyDescent="0.25">
      <c r="A43" s="183" t="s">
        <v>1366</v>
      </c>
      <c r="B43" s="183" t="s">
        <v>1365</v>
      </c>
      <c r="C43" s="183" t="s">
        <v>1272</v>
      </c>
      <c r="D43" s="183" t="s">
        <v>1342</v>
      </c>
      <c r="E43" s="183" t="s">
        <v>1364</v>
      </c>
      <c r="F43" s="183">
        <f>INDEX('Lab.Calcs.Assumptions'!B$4:B$30,$J43)</f>
        <v>1.72E-2</v>
      </c>
      <c r="G43" s="183">
        <f>INDEX('Lab.Calcs.Assumptions'!C$4:C$30,$J43)</f>
        <v>1.958E-2</v>
      </c>
      <c r="H43" s="183">
        <f>INDEX('Lab.Calcs.Assumptions'!D$4:D$30,$J43)</f>
        <v>6.4769999999999994E-2</v>
      </c>
      <c r="I43" s="183">
        <f>INDEX('Lab.Calcs.Assumptions'!E$4:E$30,$J43)</f>
        <v>0.23189000000000001</v>
      </c>
      <c r="J43" s="183">
        <f>MATCH(E43,'Lab.Calcs.Assumptions'!$A$4:$A$30,0)</f>
        <v>11</v>
      </c>
    </row>
    <row r="44" spans="1:10" x14ac:dyDescent="0.25">
      <c r="A44" s="183" t="s">
        <v>1363</v>
      </c>
      <c r="B44" s="183" t="s">
        <v>1362</v>
      </c>
      <c r="C44" s="183" t="s">
        <v>1272</v>
      </c>
      <c r="D44" s="183" t="s">
        <v>1342</v>
      </c>
      <c r="E44" s="183" t="s">
        <v>1347</v>
      </c>
      <c r="F44" s="183">
        <f>INDEX('Lab.Calcs.Assumptions'!B$4:B$30,$J44)</f>
        <v>1.72E-2</v>
      </c>
      <c r="G44" s="183">
        <f>INDEX('Lab.Calcs.Assumptions'!C$4:C$30,$J44)</f>
        <v>1.958E-2</v>
      </c>
      <c r="H44" s="183">
        <f>INDEX('Lab.Calcs.Assumptions'!D$4:D$30,$J44)</f>
        <v>6.4769999999999994E-2</v>
      </c>
      <c r="I44" s="183">
        <f>INDEX('Lab.Calcs.Assumptions'!E$4:E$30,$J44)</f>
        <v>0.23189000000000001</v>
      </c>
      <c r="J44" s="183">
        <f>MATCH(E44,'Lab.Calcs.Assumptions'!$A$4:$A$30,0)</f>
        <v>12</v>
      </c>
    </row>
    <row r="45" spans="1:10" x14ac:dyDescent="0.25">
      <c r="A45" s="183" t="s">
        <v>1361</v>
      </c>
      <c r="B45" s="183" t="s">
        <v>1360</v>
      </c>
      <c r="C45" s="183" t="s">
        <v>1272</v>
      </c>
      <c r="D45" s="183" t="s">
        <v>1342</v>
      </c>
      <c r="E45" s="183" t="s">
        <v>1347</v>
      </c>
      <c r="F45" s="183">
        <f>INDEX('Lab.Calcs.Assumptions'!B$4:B$30,$J45)</f>
        <v>1.72E-2</v>
      </c>
      <c r="G45" s="183">
        <f>INDEX('Lab.Calcs.Assumptions'!C$4:C$30,$J45)</f>
        <v>1.958E-2</v>
      </c>
      <c r="H45" s="183">
        <f>INDEX('Lab.Calcs.Assumptions'!D$4:D$30,$J45)</f>
        <v>6.4769999999999994E-2</v>
      </c>
      <c r="I45" s="183">
        <f>INDEX('Lab.Calcs.Assumptions'!E$4:E$30,$J45)</f>
        <v>0.23189000000000001</v>
      </c>
      <c r="J45" s="183">
        <f>MATCH(E45,'Lab.Calcs.Assumptions'!$A$4:$A$30,0)</f>
        <v>12</v>
      </c>
    </row>
    <row r="46" spans="1:10" x14ac:dyDescent="0.25">
      <c r="A46" s="183" t="s">
        <v>1359</v>
      </c>
      <c r="B46" s="183" t="s">
        <v>1358</v>
      </c>
      <c r="C46" s="183" t="s">
        <v>1272</v>
      </c>
      <c r="D46" s="183" t="s">
        <v>1342</v>
      </c>
      <c r="E46" s="183" t="s">
        <v>1347</v>
      </c>
      <c r="F46" s="183">
        <f>INDEX('Lab.Calcs.Assumptions'!B$4:B$30,$J46)</f>
        <v>1.72E-2</v>
      </c>
      <c r="G46" s="183">
        <f>INDEX('Lab.Calcs.Assumptions'!C$4:C$30,$J46)</f>
        <v>1.958E-2</v>
      </c>
      <c r="H46" s="183">
        <f>INDEX('Lab.Calcs.Assumptions'!D$4:D$30,$J46)</f>
        <v>6.4769999999999994E-2</v>
      </c>
      <c r="I46" s="183">
        <f>INDEX('Lab.Calcs.Assumptions'!E$4:E$30,$J46)</f>
        <v>0.23189000000000001</v>
      </c>
      <c r="J46" s="183">
        <f>MATCH(E46,'Lab.Calcs.Assumptions'!$A$4:$A$30,0)</f>
        <v>12</v>
      </c>
    </row>
    <row r="47" spans="1:10" x14ac:dyDescent="0.25">
      <c r="A47" s="183" t="s">
        <v>1357</v>
      </c>
      <c r="B47" s="183" t="s">
        <v>1356</v>
      </c>
      <c r="C47" s="183" t="s">
        <v>1272</v>
      </c>
      <c r="D47" s="183" t="s">
        <v>1342</v>
      </c>
      <c r="E47" s="183" t="s">
        <v>1347</v>
      </c>
      <c r="F47" s="183">
        <f>INDEX('Lab.Calcs.Assumptions'!B$4:B$30,$J47)</f>
        <v>1.72E-2</v>
      </c>
      <c r="G47" s="183">
        <f>INDEX('Lab.Calcs.Assumptions'!C$4:C$30,$J47)</f>
        <v>1.958E-2</v>
      </c>
      <c r="H47" s="183">
        <f>INDEX('Lab.Calcs.Assumptions'!D$4:D$30,$J47)</f>
        <v>6.4769999999999994E-2</v>
      </c>
      <c r="I47" s="183">
        <f>INDEX('Lab.Calcs.Assumptions'!E$4:E$30,$J47)</f>
        <v>0.23189000000000001</v>
      </c>
      <c r="J47" s="183">
        <f>MATCH(E47,'Lab.Calcs.Assumptions'!$A$4:$A$30,0)</f>
        <v>12</v>
      </c>
    </row>
    <row r="48" spans="1:10" x14ac:dyDescent="0.25">
      <c r="A48" s="183" t="s">
        <v>1355</v>
      </c>
      <c r="B48" s="183" t="s">
        <v>1354</v>
      </c>
      <c r="C48" s="183" t="s">
        <v>1272</v>
      </c>
      <c r="D48" s="183" t="s">
        <v>1342</v>
      </c>
      <c r="E48" s="183" t="s">
        <v>1347</v>
      </c>
      <c r="F48" s="183">
        <f>INDEX('Lab.Calcs.Assumptions'!B$4:B$30,$J48)</f>
        <v>1.72E-2</v>
      </c>
      <c r="G48" s="183">
        <f>INDEX('Lab.Calcs.Assumptions'!C$4:C$30,$J48)</f>
        <v>1.958E-2</v>
      </c>
      <c r="H48" s="183">
        <f>INDEX('Lab.Calcs.Assumptions'!D$4:D$30,$J48)</f>
        <v>6.4769999999999994E-2</v>
      </c>
      <c r="I48" s="183">
        <f>INDEX('Lab.Calcs.Assumptions'!E$4:E$30,$J48)</f>
        <v>0.23189000000000001</v>
      </c>
      <c r="J48" s="183">
        <f>MATCH(E48,'Lab.Calcs.Assumptions'!$A$4:$A$30,0)</f>
        <v>12</v>
      </c>
    </row>
    <row r="49" spans="1:10" x14ac:dyDescent="0.25">
      <c r="A49" s="183" t="s">
        <v>1353</v>
      </c>
      <c r="B49" s="183" t="s">
        <v>1352</v>
      </c>
      <c r="C49" s="183" t="s">
        <v>1272</v>
      </c>
      <c r="D49" s="183" t="s">
        <v>1342</v>
      </c>
      <c r="E49" s="183" t="s">
        <v>1347</v>
      </c>
      <c r="F49" s="183">
        <f>INDEX('Lab.Calcs.Assumptions'!B$4:B$30,$J49)</f>
        <v>1.72E-2</v>
      </c>
      <c r="G49" s="183">
        <f>INDEX('Lab.Calcs.Assumptions'!C$4:C$30,$J49)</f>
        <v>1.958E-2</v>
      </c>
      <c r="H49" s="183">
        <f>INDEX('Lab.Calcs.Assumptions'!D$4:D$30,$J49)</f>
        <v>6.4769999999999994E-2</v>
      </c>
      <c r="I49" s="183">
        <f>INDEX('Lab.Calcs.Assumptions'!E$4:E$30,$J49)</f>
        <v>0.23189000000000001</v>
      </c>
      <c r="J49" s="183">
        <f>MATCH(E49,'Lab.Calcs.Assumptions'!$A$4:$A$30,0)</f>
        <v>12</v>
      </c>
    </row>
    <row r="50" spans="1:10" x14ac:dyDescent="0.25">
      <c r="A50" s="183" t="s">
        <v>1351</v>
      </c>
      <c r="B50" s="183" t="s">
        <v>1350</v>
      </c>
      <c r="C50" s="183" t="s">
        <v>1272</v>
      </c>
      <c r="D50" s="183" t="s">
        <v>1342</v>
      </c>
      <c r="E50" s="183" t="s">
        <v>1347</v>
      </c>
      <c r="F50" s="183">
        <f>INDEX('Lab.Calcs.Assumptions'!B$4:B$30,$J50)</f>
        <v>1.72E-2</v>
      </c>
      <c r="G50" s="183">
        <f>INDEX('Lab.Calcs.Assumptions'!C$4:C$30,$J50)</f>
        <v>1.958E-2</v>
      </c>
      <c r="H50" s="183">
        <f>INDEX('Lab.Calcs.Assumptions'!D$4:D$30,$J50)</f>
        <v>6.4769999999999994E-2</v>
      </c>
      <c r="I50" s="183">
        <f>INDEX('Lab.Calcs.Assumptions'!E$4:E$30,$J50)</f>
        <v>0.23189000000000001</v>
      </c>
      <c r="J50" s="183">
        <f>MATCH(E50,'Lab.Calcs.Assumptions'!$A$4:$A$30,0)</f>
        <v>12</v>
      </c>
    </row>
    <row r="51" spans="1:10" x14ac:dyDescent="0.25">
      <c r="A51" s="183" t="s">
        <v>1349</v>
      </c>
      <c r="B51" s="183" t="s">
        <v>1348</v>
      </c>
      <c r="C51" s="183" t="s">
        <v>1272</v>
      </c>
      <c r="D51" s="183" t="s">
        <v>1342</v>
      </c>
      <c r="E51" s="183" t="s">
        <v>1347</v>
      </c>
      <c r="F51" s="183">
        <f>INDEX('Lab.Calcs.Assumptions'!B$4:B$30,$J51)</f>
        <v>1.72E-2</v>
      </c>
      <c r="G51" s="183">
        <f>INDEX('Lab.Calcs.Assumptions'!C$4:C$30,$J51)</f>
        <v>1.958E-2</v>
      </c>
      <c r="H51" s="183">
        <f>INDEX('Lab.Calcs.Assumptions'!D$4:D$30,$J51)</f>
        <v>6.4769999999999994E-2</v>
      </c>
      <c r="I51" s="183">
        <f>INDEX('Lab.Calcs.Assumptions'!E$4:E$30,$J51)</f>
        <v>0.23189000000000001</v>
      </c>
      <c r="J51" s="183">
        <f>MATCH(E51,'Lab.Calcs.Assumptions'!$A$4:$A$30,0)</f>
        <v>12</v>
      </c>
    </row>
    <row r="52" spans="1:10" x14ac:dyDescent="0.25">
      <c r="A52" s="183" t="s">
        <v>1346</v>
      </c>
      <c r="B52" s="183" t="s">
        <v>1345</v>
      </c>
      <c r="C52" s="183" t="s">
        <v>1272</v>
      </c>
      <c r="D52" s="183" t="s">
        <v>1342</v>
      </c>
      <c r="E52" s="183" t="s">
        <v>1344</v>
      </c>
      <c r="F52" s="183">
        <f>INDEX('Lab.Calcs.Assumptions'!B$4:B$30,$J52)</f>
        <v>1.72E-2</v>
      </c>
      <c r="G52" s="183">
        <f>INDEX('Lab.Calcs.Assumptions'!C$4:C$30,$J52)</f>
        <v>1.958E-2</v>
      </c>
      <c r="H52" s="183">
        <f>INDEX('Lab.Calcs.Assumptions'!D$4:D$30,$J52)</f>
        <v>6.4769999999999994E-2</v>
      </c>
      <c r="I52" s="183">
        <f>INDEX('Lab.Calcs.Assumptions'!E$4:E$30,$J52)</f>
        <v>0.23189000000000001</v>
      </c>
      <c r="J52" s="183">
        <f>MATCH(E52,'Lab.Calcs.Assumptions'!$A$4:$A$30,0)</f>
        <v>13</v>
      </c>
    </row>
    <row r="53" spans="1:10" x14ac:dyDescent="0.25">
      <c r="A53" s="183" t="s">
        <v>239</v>
      </c>
      <c r="B53" s="183" t="s">
        <v>1343</v>
      </c>
      <c r="C53" s="183" t="s">
        <v>1272</v>
      </c>
      <c r="D53" s="183" t="s">
        <v>1342</v>
      </c>
      <c r="E53" s="183" t="s">
        <v>1341</v>
      </c>
      <c r="F53" s="183">
        <f>INDEX('Lab.Calcs.Assumptions'!B$4:B$30,$J53)</f>
        <v>1.72E-2</v>
      </c>
      <c r="G53" s="183">
        <f>INDEX('Lab.Calcs.Assumptions'!C$4:C$30,$J53)</f>
        <v>1.958E-2</v>
      </c>
      <c r="H53" s="183">
        <f>INDEX('Lab.Calcs.Assumptions'!D$4:D$30,$J53)</f>
        <v>6.4769999999999994E-2</v>
      </c>
      <c r="I53" s="183">
        <f>INDEX('Lab.Calcs.Assumptions'!E$4:E$30,$J53)</f>
        <v>0.23189000000000001</v>
      </c>
      <c r="J53" s="183">
        <f>MATCH(E53,'Lab.Calcs.Assumptions'!$A$4:$A$30,0)</f>
        <v>14</v>
      </c>
    </row>
    <row r="54" spans="1:10" x14ac:dyDescent="0.25">
      <c r="A54" s="183" t="s">
        <v>267</v>
      </c>
      <c r="B54" s="183" t="s">
        <v>1340</v>
      </c>
      <c r="C54" s="183" t="s">
        <v>1272</v>
      </c>
      <c r="D54" s="183" t="s">
        <v>1307</v>
      </c>
      <c r="E54" s="183" t="s">
        <v>1306</v>
      </c>
      <c r="F54" s="183">
        <f>INDEX('Lab.Calcs.Assumptions'!B$4:B$30,$J54)</f>
        <v>1.72E-2</v>
      </c>
      <c r="G54" s="183">
        <f>INDEX('Lab.Calcs.Assumptions'!C$4:C$30,$J54)</f>
        <v>1.958E-2</v>
      </c>
      <c r="H54" s="183">
        <f>INDEX('Lab.Calcs.Assumptions'!D$4:D$30,$J54)</f>
        <v>6.4769999999999994E-2</v>
      </c>
      <c r="I54" s="183">
        <f>INDEX('Lab.Calcs.Assumptions'!E$4:E$30,$J54)</f>
        <v>0.23189000000000001</v>
      </c>
      <c r="J54" s="183">
        <f>MATCH(E54,'Lab.Calcs.Assumptions'!$A$4:$A$30,0)</f>
        <v>15</v>
      </c>
    </row>
    <row r="55" spans="1:10" x14ac:dyDescent="0.25">
      <c r="A55" s="183" t="s">
        <v>317</v>
      </c>
      <c r="B55" s="183" t="s">
        <v>1339</v>
      </c>
      <c r="C55" s="183" t="s">
        <v>1272</v>
      </c>
      <c r="D55" s="183" t="s">
        <v>1307</v>
      </c>
      <c r="E55" s="183" t="s">
        <v>1306</v>
      </c>
      <c r="F55" s="183">
        <f>INDEX('Lab.Calcs.Assumptions'!B$4:B$30,$J55)</f>
        <v>1.72E-2</v>
      </c>
      <c r="G55" s="183">
        <f>INDEX('Lab.Calcs.Assumptions'!C$4:C$30,$J55)</f>
        <v>1.958E-2</v>
      </c>
      <c r="H55" s="183">
        <f>INDEX('Lab.Calcs.Assumptions'!D$4:D$30,$J55)</f>
        <v>6.4769999999999994E-2</v>
      </c>
      <c r="I55" s="183">
        <f>INDEX('Lab.Calcs.Assumptions'!E$4:E$30,$J55)</f>
        <v>0.23189000000000001</v>
      </c>
      <c r="J55" s="183">
        <f>MATCH(E55,'Lab.Calcs.Assumptions'!$A$4:$A$30,0)</f>
        <v>15</v>
      </c>
    </row>
    <row r="56" spans="1:10" x14ac:dyDescent="0.25">
      <c r="A56" s="183" t="s">
        <v>323</v>
      </c>
      <c r="B56" s="183" t="s">
        <v>1338</v>
      </c>
      <c r="C56" s="183" t="s">
        <v>1272</v>
      </c>
      <c r="D56" s="183" t="s">
        <v>1307</v>
      </c>
      <c r="E56" s="183" t="s">
        <v>1306</v>
      </c>
      <c r="F56" s="183">
        <f>INDEX('Lab.Calcs.Assumptions'!B$4:B$30,$J56)</f>
        <v>1.72E-2</v>
      </c>
      <c r="G56" s="183">
        <f>INDEX('Lab.Calcs.Assumptions'!C$4:C$30,$J56)</f>
        <v>1.958E-2</v>
      </c>
      <c r="H56" s="183">
        <f>INDEX('Lab.Calcs.Assumptions'!D$4:D$30,$J56)</f>
        <v>6.4769999999999994E-2</v>
      </c>
      <c r="I56" s="183">
        <f>INDEX('Lab.Calcs.Assumptions'!E$4:E$30,$J56)</f>
        <v>0.23189000000000001</v>
      </c>
      <c r="J56" s="183">
        <f>MATCH(E56,'Lab.Calcs.Assumptions'!$A$4:$A$30,0)</f>
        <v>15</v>
      </c>
    </row>
    <row r="57" spans="1:10" x14ac:dyDescent="0.25">
      <c r="A57" s="183" t="s">
        <v>315</v>
      </c>
      <c r="B57" s="183" t="s">
        <v>1337</v>
      </c>
      <c r="C57" s="183" t="s">
        <v>1272</v>
      </c>
      <c r="D57" s="183" t="s">
        <v>1307</v>
      </c>
      <c r="E57" s="183" t="s">
        <v>1306</v>
      </c>
      <c r="F57" s="183">
        <f>INDEX('Lab.Calcs.Assumptions'!B$4:B$30,$J57)</f>
        <v>1.72E-2</v>
      </c>
      <c r="G57" s="183">
        <f>INDEX('Lab.Calcs.Assumptions'!C$4:C$30,$J57)</f>
        <v>1.958E-2</v>
      </c>
      <c r="H57" s="183">
        <f>INDEX('Lab.Calcs.Assumptions'!D$4:D$30,$J57)</f>
        <v>6.4769999999999994E-2</v>
      </c>
      <c r="I57" s="183">
        <f>INDEX('Lab.Calcs.Assumptions'!E$4:E$30,$J57)</f>
        <v>0.23189000000000001</v>
      </c>
      <c r="J57" s="183">
        <f>MATCH(E57,'Lab.Calcs.Assumptions'!$A$4:$A$30,0)</f>
        <v>15</v>
      </c>
    </row>
    <row r="58" spans="1:10" x14ac:dyDescent="0.25">
      <c r="A58" s="183" t="s">
        <v>321</v>
      </c>
      <c r="B58" s="183" t="s">
        <v>1336</v>
      </c>
      <c r="C58" s="183" t="s">
        <v>1272</v>
      </c>
      <c r="D58" s="183" t="s">
        <v>1307</v>
      </c>
      <c r="E58" s="183" t="s">
        <v>1306</v>
      </c>
      <c r="F58" s="183">
        <f>INDEX('Lab.Calcs.Assumptions'!B$4:B$30,$J58)</f>
        <v>1.72E-2</v>
      </c>
      <c r="G58" s="183">
        <f>INDEX('Lab.Calcs.Assumptions'!C$4:C$30,$J58)</f>
        <v>1.958E-2</v>
      </c>
      <c r="H58" s="183">
        <f>INDEX('Lab.Calcs.Assumptions'!D$4:D$30,$J58)</f>
        <v>6.4769999999999994E-2</v>
      </c>
      <c r="I58" s="183">
        <f>INDEX('Lab.Calcs.Assumptions'!E$4:E$30,$J58)</f>
        <v>0.23189000000000001</v>
      </c>
      <c r="J58" s="183">
        <f>MATCH(E58,'Lab.Calcs.Assumptions'!$A$4:$A$30,0)</f>
        <v>15</v>
      </c>
    </row>
    <row r="59" spans="1:10" x14ac:dyDescent="0.25">
      <c r="A59" s="183" t="s">
        <v>313</v>
      </c>
      <c r="B59" s="183" t="s">
        <v>1335</v>
      </c>
      <c r="C59" s="183" t="s">
        <v>1272</v>
      </c>
      <c r="D59" s="183" t="s">
        <v>1307</v>
      </c>
      <c r="E59" s="183" t="s">
        <v>1306</v>
      </c>
      <c r="F59" s="183">
        <f>INDEX('Lab.Calcs.Assumptions'!B$4:B$30,$J59)</f>
        <v>1.72E-2</v>
      </c>
      <c r="G59" s="183">
        <f>INDEX('Lab.Calcs.Assumptions'!C$4:C$30,$J59)</f>
        <v>1.958E-2</v>
      </c>
      <c r="H59" s="183">
        <f>INDEX('Lab.Calcs.Assumptions'!D$4:D$30,$J59)</f>
        <v>6.4769999999999994E-2</v>
      </c>
      <c r="I59" s="183">
        <f>INDEX('Lab.Calcs.Assumptions'!E$4:E$30,$J59)</f>
        <v>0.23189000000000001</v>
      </c>
      <c r="J59" s="183">
        <f>MATCH(E59,'Lab.Calcs.Assumptions'!$A$4:$A$30,0)</f>
        <v>15</v>
      </c>
    </row>
    <row r="60" spans="1:10" x14ac:dyDescent="0.25">
      <c r="A60" s="183" t="s">
        <v>1334</v>
      </c>
      <c r="B60" s="183" t="s">
        <v>1333</v>
      </c>
      <c r="C60" s="183" t="s">
        <v>1272</v>
      </c>
      <c r="D60" s="183" t="s">
        <v>1307</v>
      </c>
      <c r="E60" s="183" t="s">
        <v>1306</v>
      </c>
      <c r="F60" s="183">
        <f>INDEX('Lab.Calcs.Assumptions'!B$4:B$30,$J60)</f>
        <v>1.72E-2</v>
      </c>
      <c r="G60" s="183">
        <f>INDEX('Lab.Calcs.Assumptions'!C$4:C$30,$J60)</f>
        <v>1.958E-2</v>
      </c>
      <c r="H60" s="183">
        <f>INDEX('Lab.Calcs.Assumptions'!D$4:D$30,$J60)</f>
        <v>6.4769999999999994E-2</v>
      </c>
      <c r="I60" s="183">
        <f>INDEX('Lab.Calcs.Assumptions'!E$4:E$30,$J60)</f>
        <v>0.23189000000000001</v>
      </c>
      <c r="J60" s="183">
        <f>MATCH(E60,'Lab.Calcs.Assumptions'!$A$4:$A$30,0)</f>
        <v>15</v>
      </c>
    </row>
    <row r="61" spans="1:10" x14ac:dyDescent="0.25">
      <c r="A61" s="183" t="s">
        <v>1332</v>
      </c>
      <c r="B61" s="183" t="s">
        <v>1331</v>
      </c>
      <c r="C61" s="183" t="s">
        <v>1272</v>
      </c>
      <c r="D61" s="183" t="s">
        <v>1307</v>
      </c>
      <c r="E61" s="183" t="s">
        <v>1306</v>
      </c>
      <c r="F61" s="183">
        <f>INDEX('Lab.Calcs.Assumptions'!B$4:B$30,$J61)</f>
        <v>1.72E-2</v>
      </c>
      <c r="G61" s="183">
        <f>INDEX('Lab.Calcs.Assumptions'!C$4:C$30,$J61)</f>
        <v>1.958E-2</v>
      </c>
      <c r="H61" s="183">
        <f>INDEX('Lab.Calcs.Assumptions'!D$4:D$30,$J61)</f>
        <v>6.4769999999999994E-2</v>
      </c>
      <c r="I61" s="183">
        <f>INDEX('Lab.Calcs.Assumptions'!E$4:E$30,$J61)</f>
        <v>0.23189000000000001</v>
      </c>
      <c r="J61" s="183">
        <f>MATCH(E61,'Lab.Calcs.Assumptions'!$A$4:$A$30,0)</f>
        <v>15</v>
      </c>
    </row>
    <row r="62" spans="1:10" x14ac:dyDescent="0.25">
      <c r="A62" s="183" t="s">
        <v>295</v>
      </c>
      <c r="B62" s="183" t="s">
        <v>1330</v>
      </c>
      <c r="C62" s="183" t="s">
        <v>1272</v>
      </c>
      <c r="D62" s="183" t="s">
        <v>1307</v>
      </c>
      <c r="E62" s="183" t="s">
        <v>1306</v>
      </c>
      <c r="F62" s="183">
        <f>INDEX('Lab.Calcs.Assumptions'!B$4:B$30,$J62)</f>
        <v>1.72E-2</v>
      </c>
      <c r="G62" s="183">
        <f>INDEX('Lab.Calcs.Assumptions'!C$4:C$30,$J62)</f>
        <v>1.958E-2</v>
      </c>
      <c r="H62" s="183">
        <f>INDEX('Lab.Calcs.Assumptions'!D$4:D$30,$J62)</f>
        <v>6.4769999999999994E-2</v>
      </c>
      <c r="I62" s="183">
        <f>INDEX('Lab.Calcs.Assumptions'!E$4:E$30,$J62)</f>
        <v>0.23189000000000001</v>
      </c>
      <c r="J62" s="183">
        <f>MATCH(E62,'Lab.Calcs.Assumptions'!$A$4:$A$30,0)</f>
        <v>15</v>
      </c>
    </row>
    <row r="63" spans="1:10" x14ac:dyDescent="0.25">
      <c r="A63" s="183" t="s">
        <v>311</v>
      </c>
      <c r="B63" s="183" t="s">
        <v>1329</v>
      </c>
      <c r="C63" s="183" t="s">
        <v>1272</v>
      </c>
      <c r="D63" s="183" t="s">
        <v>1307</v>
      </c>
      <c r="E63" s="183" t="s">
        <v>1306</v>
      </c>
      <c r="F63" s="183">
        <f>INDEX('Lab.Calcs.Assumptions'!B$4:B$30,$J63)</f>
        <v>1.72E-2</v>
      </c>
      <c r="G63" s="183">
        <f>INDEX('Lab.Calcs.Assumptions'!C$4:C$30,$J63)</f>
        <v>1.958E-2</v>
      </c>
      <c r="H63" s="183">
        <f>INDEX('Lab.Calcs.Assumptions'!D$4:D$30,$J63)</f>
        <v>6.4769999999999994E-2</v>
      </c>
      <c r="I63" s="183">
        <f>INDEX('Lab.Calcs.Assumptions'!E$4:E$30,$J63)</f>
        <v>0.23189000000000001</v>
      </c>
      <c r="J63" s="183">
        <f>MATCH(E63,'Lab.Calcs.Assumptions'!$A$4:$A$30,0)</f>
        <v>15</v>
      </c>
    </row>
    <row r="64" spans="1:10" x14ac:dyDescent="0.25">
      <c r="A64" s="183" t="s">
        <v>319</v>
      </c>
      <c r="B64" s="183" t="s">
        <v>1328</v>
      </c>
      <c r="C64" s="183" t="s">
        <v>1272</v>
      </c>
      <c r="D64" s="183" t="s">
        <v>1307</v>
      </c>
      <c r="E64" s="183" t="s">
        <v>1306</v>
      </c>
      <c r="F64" s="183">
        <f>INDEX('Lab.Calcs.Assumptions'!B$4:B$30,$J64)</f>
        <v>1.72E-2</v>
      </c>
      <c r="G64" s="183">
        <f>INDEX('Lab.Calcs.Assumptions'!C$4:C$30,$J64)</f>
        <v>1.958E-2</v>
      </c>
      <c r="H64" s="183">
        <f>INDEX('Lab.Calcs.Assumptions'!D$4:D$30,$J64)</f>
        <v>6.4769999999999994E-2</v>
      </c>
      <c r="I64" s="183">
        <f>INDEX('Lab.Calcs.Assumptions'!E$4:E$30,$J64)</f>
        <v>0.23189000000000001</v>
      </c>
      <c r="J64" s="183">
        <f>MATCH(E64,'Lab.Calcs.Assumptions'!$A$4:$A$30,0)</f>
        <v>15</v>
      </c>
    </row>
    <row r="65" spans="1:10" x14ac:dyDescent="0.25">
      <c r="A65" s="183" t="s">
        <v>309</v>
      </c>
      <c r="B65" s="183" t="s">
        <v>1327</v>
      </c>
      <c r="C65" s="183" t="s">
        <v>1272</v>
      </c>
      <c r="D65" s="183" t="s">
        <v>1307</v>
      </c>
      <c r="E65" s="183" t="s">
        <v>1306</v>
      </c>
      <c r="F65" s="183">
        <f>INDEX('Lab.Calcs.Assumptions'!B$4:B$30,$J65)</f>
        <v>1.72E-2</v>
      </c>
      <c r="G65" s="183">
        <f>INDEX('Lab.Calcs.Assumptions'!C$4:C$30,$J65)</f>
        <v>1.958E-2</v>
      </c>
      <c r="H65" s="183">
        <f>INDEX('Lab.Calcs.Assumptions'!D$4:D$30,$J65)</f>
        <v>6.4769999999999994E-2</v>
      </c>
      <c r="I65" s="183">
        <f>INDEX('Lab.Calcs.Assumptions'!E$4:E$30,$J65)</f>
        <v>0.23189000000000001</v>
      </c>
      <c r="J65" s="183">
        <f>MATCH(E65,'Lab.Calcs.Assumptions'!$A$4:$A$30,0)</f>
        <v>15</v>
      </c>
    </row>
    <row r="66" spans="1:10" x14ac:dyDescent="0.25">
      <c r="A66" s="183" t="s">
        <v>307</v>
      </c>
      <c r="B66" s="183" t="s">
        <v>1326</v>
      </c>
      <c r="C66" s="183" t="s">
        <v>1272</v>
      </c>
      <c r="D66" s="183" t="s">
        <v>1307</v>
      </c>
      <c r="E66" s="183" t="s">
        <v>1306</v>
      </c>
      <c r="F66" s="183">
        <f>INDEX('Lab.Calcs.Assumptions'!B$4:B$30,$J66)</f>
        <v>1.72E-2</v>
      </c>
      <c r="G66" s="183">
        <f>INDEX('Lab.Calcs.Assumptions'!C$4:C$30,$J66)</f>
        <v>1.958E-2</v>
      </c>
      <c r="H66" s="183">
        <f>INDEX('Lab.Calcs.Assumptions'!D$4:D$30,$J66)</f>
        <v>6.4769999999999994E-2</v>
      </c>
      <c r="I66" s="183">
        <f>INDEX('Lab.Calcs.Assumptions'!E$4:E$30,$J66)</f>
        <v>0.23189000000000001</v>
      </c>
      <c r="J66" s="183">
        <f>MATCH(E66,'Lab.Calcs.Assumptions'!$A$4:$A$30,0)</f>
        <v>15</v>
      </c>
    </row>
    <row r="67" spans="1:10" x14ac:dyDescent="0.25">
      <c r="A67" s="183" t="s">
        <v>305</v>
      </c>
      <c r="B67" s="183" t="s">
        <v>1325</v>
      </c>
      <c r="C67" s="183" t="s">
        <v>1272</v>
      </c>
      <c r="D67" s="183" t="s">
        <v>1307</v>
      </c>
      <c r="E67" s="183" t="s">
        <v>1306</v>
      </c>
      <c r="F67" s="183">
        <f>INDEX('Lab.Calcs.Assumptions'!B$4:B$30,$J67)</f>
        <v>1.72E-2</v>
      </c>
      <c r="G67" s="183">
        <f>INDEX('Lab.Calcs.Assumptions'!C$4:C$30,$J67)</f>
        <v>1.958E-2</v>
      </c>
      <c r="H67" s="183">
        <f>INDEX('Lab.Calcs.Assumptions'!D$4:D$30,$J67)</f>
        <v>6.4769999999999994E-2</v>
      </c>
      <c r="I67" s="183">
        <f>INDEX('Lab.Calcs.Assumptions'!E$4:E$30,$J67)</f>
        <v>0.23189000000000001</v>
      </c>
      <c r="J67" s="183">
        <f>MATCH(E67,'Lab.Calcs.Assumptions'!$A$4:$A$30,0)</f>
        <v>15</v>
      </c>
    </row>
    <row r="68" spans="1:10" x14ac:dyDescent="0.25">
      <c r="A68" s="183" t="s">
        <v>303</v>
      </c>
      <c r="B68" s="183" t="s">
        <v>1324</v>
      </c>
      <c r="C68" s="183" t="s">
        <v>1272</v>
      </c>
      <c r="D68" s="183" t="s">
        <v>1307</v>
      </c>
      <c r="E68" s="183" t="s">
        <v>1306</v>
      </c>
      <c r="F68" s="183">
        <f>INDEX('Lab.Calcs.Assumptions'!B$4:B$30,$J68)</f>
        <v>1.72E-2</v>
      </c>
      <c r="G68" s="183">
        <f>INDEX('Lab.Calcs.Assumptions'!C$4:C$30,$J68)</f>
        <v>1.958E-2</v>
      </c>
      <c r="H68" s="183">
        <f>INDEX('Lab.Calcs.Assumptions'!D$4:D$30,$J68)</f>
        <v>6.4769999999999994E-2</v>
      </c>
      <c r="I68" s="183">
        <f>INDEX('Lab.Calcs.Assumptions'!E$4:E$30,$J68)</f>
        <v>0.23189000000000001</v>
      </c>
      <c r="J68" s="183">
        <f>MATCH(E68,'Lab.Calcs.Assumptions'!$A$4:$A$30,0)</f>
        <v>15</v>
      </c>
    </row>
    <row r="69" spans="1:10" x14ac:dyDescent="0.25">
      <c r="A69" s="183" t="s">
        <v>301</v>
      </c>
      <c r="B69" s="183" t="s">
        <v>1323</v>
      </c>
      <c r="C69" s="183" t="s">
        <v>1272</v>
      </c>
      <c r="D69" s="183" t="s">
        <v>1307</v>
      </c>
      <c r="E69" s="183" t="s">
        <v>1306</v>
      </c>
      <c r="F69" s="183">
        <f>INDEX('Lab.Calcs.Assumptions'!B$4:B$30,$J69)</f>
        <v>1.72E-2</v>
      </c>
      <c r="G69" s="183">
        <f>INDEX('Lab.Calcs.Assumptions'!C$4:C$30,$J69)</f>
        <v>1.958E-2</v>
      </c>
      <c r="H69" s="183">
        <f>INDEX('Lab.Calcs.Assumptions'!D$4:D$30,$J69)</f>
        <v>6.4769999999999994E-2</v>
      </c>
      <c r="I69" s="183">
        <f>INDEX('Lab.Calcs.Assumptions'!E$4:E$30,$J69)</f>
        <v>0.23189000000000001</v>
      </c>
      <c r="J69" s="183">
        <f>MATCH(E69,'Lab.Calcs.Assumptions'!$A$4:$A$30,0)</f>
        <v>15</v>
      </c>
    </row>
    <row r="70" spans="1:10" x14ac:dyDescent="0.25">
      <c r="A70" s="183" t="s">
        <v>299</v>
      </c>
      <c r="B70" s="183" t="s">
        <v>1322</v>
      </c>
      <c r="C70" s="183" t="s">
        <v>1272</v>
      </c>
      <c r="D70" s="183" t="s">
        <v>1307</v>
      </c>
      <c r="E70" s="183" t="s">
        <v>1306</v>
      </c>
      <c r="F70" s="183">
        <f>INDEX('Lab.Calcs.Assumptions'!B$4:B$30,$J70)</f>
        <v>1.72E-2</v>
      </c>
      <c r="G70" s="183">
        <f>INDEX('Lab.Calcs.Assumptions'!C$4:C$30,$J70)</f>
        <v>1.958E-2</v>
      </c>
      <c r="H70" s="183">
        <f>INDEX('Lab.Calcs.Assumptions'!D$4:D$30,$J70)</f>
        <v>6.4769999999999994E-2</v>
      </c>
      <c r="I70" s="183">
        <f>INDEX('Lab.Calcs.Assumptions'!E$4:E$30,$J70)</f>
        <v>0.23189000000000001</v>
      </c>
      <c r="J70" s="183">
        <f>MATCH(E70,'Lab.Calcs.Assumptions'!$A$4:$A$30,0)</f>
        <v>15</v>
      </c>
    </row>
    <row r="71" spans="1:10" x14ac:dyDescent="0.25">
      <c r="A71" s="183" t="s">
        <v>1321</v>
      </c>
      <c r="B71" s="183" t="s">
        <v>276</v>
      </c>
      <c r="C71" s="183" t="s">
        <v>1272</v>
      </c>
      <c r="D71" s="183" t="s">
        <v>1307</v>
      </c>
      <c r="E71" s="183" t="s">
        <v>1310</v>
      </c>
      <c r="F71" s="183">
        <f>INDEX('Lab.Calcs.Assumptions'!B$4:B$30,$J71)</f>
        <v>1.72E-2</v>
      </c>
      <c r="G71" s="183">
        <f>INDEX('Lab.Calcs.Assumptions'!C$4:C$30,$J71)</f>
        <v>1.958E-2</v>
      </c>
      <c r="H71" s="183">
        <f>INDEX('Lab.Calcs.Assumptions'!D$4:D$30,$J71)</f>
        <v>6.4769999999999994E-2</v>
      </c>
      <c r="I71" s="183">
        <f>INDEX('Lab.Calcs.Assumptions'!E$4:E$30,$J71)</f>
        <v>0.23189000000000001</v>
      </c>
      <c r="J71" s="183">
        <f>MATCH(E71,'Lab.Calcs.Assumptions'!$A$4:$A$30,0)</f>
        <v>16</v>
      </c>
    </row>
    <row r="72" spans="1:10" x14ac:dyDescent="0.25">
      <c r="A72" s="183" t="s">
        <v>1320</v>
      </c>
      <c r="B72" s="183" t="s">
        <v>1319</v>
      </c>
      <c r="C72" s="183" t="s">
        <v>1272</v>
      </c>
      <c r="D72" s="183" t="s">
        <v>1307</v>
      </c>
      <c r="E72" s="183" t="s">
        <v>1310</v>
      </c>
      <c r="F72" s="183">
        <f>INDEX('Lab.Calcs.Assumptions'!B$4:B$30,$J72)</f>
        <v>1.72E-2</v>
      </c>
      <c r="G72" s="183">
        <f>INDEX('Lab.Calcs.Assumptions'!C$4:C$30,$J72)</f>
        <v>1.958E-2</v>
      </c>
      <c r="H72" s="183">
        <f>INDEX('Lab.Calcs.Assumptions'!D$4:D$30,$J72)</f>
        <v>6.4769999999999994E-2</v>
      </c>
      <c r="I72" s="183">
        <f>INDEX('Lab.Calcs.Assumptions'!E$4:E$30,$J72)</f>
        <v>0.23189000000000001</v>
      </c>
      <c r="J72" s="183">
        <f>MATCH(E72,'Lab.Calcs.Assumptions'!$A$4:$A$30,0)</f>
        <v>16</v>
      </c>
    </row>
    <row r="73" spans="1:10" x14ac:dyDescent="0.25">
      <c r="A73" s="183" t="s">
        <v>280</v>
      </c>
      <c r="B73" s="183" t="s">
        <v>1318</v>
      </c>
      <c r="C73" s="183" t="s">
        <v>1272</v>
      </c>
      <c r="D73" s="183" t="s">
        <v>1307</v>
      </c>
      <c r="E73" s="183" t="s">
        <v>1306</v>
      </c>
      <c r="F73" s="183">
        <f>INDEX('Lab.Calcs.Assumptions'!B$4:B$30,$J73)</f>
        <v>1.72E-2</v>
      </c>
      <c r="G73" s="183">
        <f>INDEX('Lab.Calcs.Assumptions'!C$4:C$30,$J73)</f>
        <v>1.958E-2</v>
      </c>
      <c r="H73" s="183">
        <f>INDEX('Lab.Calcs.Assumptions'!D$4:D$30,$J73)</f>
        <v>6.4769999999999994E-2</v>
      </c>
      <c r="I73" s="183">
        <f>INDEX('Lab.Calcs.Assumptions'!E$4:E$30,$J73)</f>
        <v>0.23189000000000001</v>
      </c>
      <c r="J73" s="183">
        <f>MATCH(E73,'Lab.Calcs.Assumptions'!$A$4:$A$30,0)</f>
        <v>15</v>
      </c>
    </row>
    <row r="74" spans="1:10" x14ac:dyDescent="0.25">
      <c r="A74" s="183" t="s">
        <v>282</v>
      </c>
      <c r="B74" s="183" t="s">
        <v>1317</v>
      </c>
      <c r="C74" s="183" t="s">
        <v>1272</v>
      </c>
      <c r="D74" s="183" t="s">
        <v>1307</v>
      </c>
      <c r="E74" s="183" t="s">
        <v>1306</v>
      </c>
      <c r="F74" s="183">
        <f>INDEX('Lab.Calcs.Assumptions'!B$4:B$30,$J74)</f>
        <v>1.72E-2</v>
      </c>
      <c r="G74" s="183">
        <f>INDEX('Lab.Calcs.Assumptions'!C$4:C$30,$J74)</f>
        <v>1.958E-2</v>
      </c>
      <c r="H74" s="183">
        <f>INDEX('Lab.Calcs.Assumptions'!D$4:D$30,$J74)</f>
        <v>6.4769999999999994E-2</v>
      </c>
      <c r="I74" s="183">
        <f>INDEX('Lab.Calcs.Assumptions'!E$4:E$30,$J74)</f>
        <v>0.23189000000000001</v>
      </c>
      <c r="J74" s="183">
        <f>MATCH(E74,'Lab.Calcs.Assumptions'!$A$4:$A$30,0)</f>
        <v>15</v>
      </c>
    </row>
    <row r="75" spans="1:10" x14ac:dyDescent="0.25">
      <c r="A75" s="183" t="s">
        <v>1316</v>
      </c>
      <c r="B75" s="183" t="s">
        <v>1315</v>
      </c>
      <c r="C75" s="183" t="s">
        <v>1272</v>
      </c>
      <c r="D75" s="183" t="s">
        <v>1307</v>
      </c>
      <c r="E75" s="183" t="s">
        <v>1306</v>
      </c>
      <c r="F75" s="183">
        <f>INDEX('Lab.Calcs.Assumptions'!B$4:B$30,$J75)</f>
        <v>1.72E-2</v>
      </c>
      <c r="G75" s="183">
        <f>INDEX('Lab.Calcs.Assumptions'!C$4:C$30,$J75)</f>
        <v>1.958E-2</v>
      </c>
      <c r="H75" s="183">
        <f>INDEX('Lab.Calcs.Assumptions'!D$4:D$30,$J75)</f>
        <v>6.4769999999999994E-2</v>
      </c>
      <c r="I75" s="183">
        <f>INDEX('Lab.Calcs.Assumptions'!E$4:E$30,$J75)</f>
        <v>0.23189000000000001</v>
      </c>
      <c r="J75" s="183">
        <f>MATCH(E75,'Lab.Calcs.Assumptions'!$A$4:$A$30,0)</f>
        <v>15</v>
      </c>
    </row>
    <row r="76" spans="1:10" x14ac:dyDescent="0.25">
      <c r="A76" s="183" t="s">
        <v>1314</v>
      </c>
      <c r="B76" s="183" t="s">
        <v>1313</v>
      </c>
      <c r="C76" s="183" t="s">
        <v>1272</v>
      </c>
      <c r="D76" s="183" t="s">
        <v>1307</v>
      </c>
      <c r="E76" s="183" t="s">
        <v>1306</v>
      </c>
      <c r="F76" s="183">
        <f>INDEX('Lab.Calcs.Assumptions'!B$4:B$30,$J76)</f>
        <v>1.72E-2</v>
      </c>
      <c r="G76" s="183">
        <f>INDEX('Lab.Calcs.Assumptions'!C$4:C$30,$J76)</f>
        <v>1.958E-2</v>
      </c>
      <c r="H76" s="183">
        <f>INDEX('Lab.Calcs.Assumptions'!D$4:D$30,$J76)</f>
        <v>6.4769999999999994E-2</v>
      </c>
      <c r="I76" s="183">
        <f>INDEX('Lab.Calcs.Assumptions'!E$4:E$30,$J76)</f>
        <v>0.23189000000000001</v>
      </c>
      <c r="J76" s="183">
        <f>MATCH(E76,'Lab.Calcs.Assumptions'!$A$4:$A$30,0)</f>
        <v>15</v>
      </c>
    </row>
    <row r="77" spans="1:10" x14ac:dyDescent="0.25">
      <c r="A77" s="183" t="s">
        <v>1312</v>
      </c>
      <c r="B77" s="183" t="s">
        <v>1311</v>
      </c>
      <c r="C77" s="183" t="s">
        <v>1272</v>
      </c>
      <c r="D77" s="183" t="s">
        <v>1307</v>
      </c>
      <c r="E77" s="183" t="s">
        <v>1310</v>
      </c>
      <c r="F77" s="183">
        <f>INDEX('Lab.Calcs.Assumptions'!B$4:B$30,$J77)</f>
        <v>1.72E-2</v>
      </c>
      <c r="G77" s="183">
        <f>INDEX('Lab.Calcs.Assumptions'!C$4:C$30,$J77)</f>
        <v>1.958E-2</v>
      </c>
      <c r="H77" s="183">
        <f>INDEX('Lab.Calcs.Assumptions'!D$4:D$30,$J77)</f>
        <v>6.4769999999999994E-2</v>
      </c>
      <c r="I77" s="183">
        <f>INDEX('Lab.Calcs.Assumptions'!E$4:E$30,$J77)</f>
        <v>0.23189000000000001</v>
      </c>
      <c r="J77" s="183">
        <f>MATCH(E77,'Lab.Calcs.Assumptions'!$A$4:$A$30,0)</f>
        <v>16</v>
      </c>
    </row>
    <row r="78" spans="1:10" x14ac:dyDescent="0.25">
      <c r="A78" s="183" t="s">
        <v>1309</v>
      </c>
      <c r="B78" s="183" t="s">
        <v>274</v>
      </c>
      <c r="C78" s="183" t="s">
        <v>1272</v>
      </c>
      <c r="D78" s="183" t="s">
        <v>1307</v>
      </c>
      <c r="E78" s="183" t="s">
        <v>1306</v>
      </c>
      <c r="F78" s="183">
        <f>INDEX('Lab.Calcs.Assumptions'!B$4:B$30,$J78)</f>
        <v>1.72E-2</v>
      </c>
      <c r="G78" s="183">
        <f>INDEX('Lab.Calcs.Assumptions'!C$4:C$30,$J78)</f>
        <v>1.958E-2</v>
      </c>
      <c r="H78" s="183">
        <f>INDEX('Lab.Calcs.Assumptions'!D$4:D$30,$J78)</f>
        <v>6.4769999999999994E-2</v>
      </c>
      <c r="I78" s="183">
        <f>INDEX('Lab.Calcs.Assumptions'!E$4:E$30,$J78)</f>
        <v>0.23189000000000001</v>
      </c>
      <c r="J78" s="183">
        <f>MATCH(E78,'Lab.Calcs.Assumptions'!$A$4:$A$30,0)</f>
        <v>15</v>
      </c>
    </row>
    <row r="79" spans="1:10" x14ac:dyDescent="0.25">
      <c r="A79" s="183" t="s">
        <v>297</v>
      </c>
      <c r="B79" s="183" t="s">
        <v>1308</v>
      </c>
      <c r="C79" s="183" t="s">
        <v>1272</v>
      </c>
      <c r="D79" s="183" t="s">
        <v>1307</v>
      </c>
      <c r="E79" s="183" t="s">
        <v>1306</v>
      </c>
      <c r="F79" s="183">
        <f>INDEX('Lab.Calcs.Assumptions'!B$4:B$30,$J79)</f>
        <v>1.72E-2</v>
      </c>
      <c r="G79" s="183">
        <f>INDEX('Lab.Calcs.Assumptions'!C$4:C$30,$J79)</f>
        <v>1.958E-2</v>
      </c>
      <c r="H79" s="183">
        <f>INDEX('Lab.Calcs.Assumptions'!D$4:D$30,$J79)</f>
        <v>6.4769999999999994E-2</v>
      </c>
      <c r="I79" s="183">
        <f>INDEX('Lab.Calcs.Assumptions'!E$4:E$30,$J79)</f>
        <v>0.23189000000000001</v>
      </c>
      <c r="J79" s="183">
        <f>MATCH(E79,'Lab.Calcs.Assumptions'!$A$4:$A$30,0)</f>
        <v>15</v>
      </c>
    </row>
    <row r="80" spans="1:10" x14ac:dyDescent="0.25">
      <c r="A80" s="183" t="s">
        <v>1305</v>
      </c>
      <c r="B80" s="183" t="s">
        <v>1304</v>
      </c>
      <c r="C80" s="183" t="s">
        <v>1272</v>
      </c>
      <c r="D80" s="183" t="s">
        <v>1284</v>
      </c>
      <c r="E80" s="183" t="s">
        <v>1284</v>
      </c>
      <c r="F80" s="183">
        <f>INDEX('Lab.Calcs.Assumptions'!B$4:B$30,$J80)</f>
        <v>0</v>
      </c>
      <c r="G80" s="183">
        <f>INDEX('Lab.Calcs.Assumptions'!C$4:C$30,$J80)</f>
        <v>0</v>
      </c>
      <c r="H80" s="183">
        <f>INDEX('Lab.Calcs.Assumptions'!D$4:D$30,$J80)</f>
        <v>0</v>
      </c>
      <c r="I80" s="183">
        <f>INDEX('Lab.Calcs.Assumptions'!E$4:E$30,$J80)</f>
        <v>0</v>
      </c>
      <c r="J80" s="183">
        <f>MATCH(E80,'Lab.Calcs.Assumptions'!$A$4:$A$30,0)</f>
        <v>4</v>
      </c>
    </row>
    <row r="81" spans="1:10" x14ac:dyDescent="0.25">
      <c r="A81" s="183" t="s">
        <v>1303</v>
      </c>
      <c r="B81" s="183" t="s">
        <v>1302</v>
      </c>
      <c r="C81" s="183" t="s">
        <v>1272</v>
      </c>
      <c r="D81" s="183" t="s">
        <v>1284</v>
      </c>
      <c r="E81" s="183" t="s">
        <v>1284</v>
      </c>
      <c r="F81" s="183">
        <f>INDEX('Lab.Calcs.Assumptions'!B$4:B$30,$J81)</f>
        <v>0</v>
      </c>
      <c r="G81" s="183">
        <f>INDEX('Lab.Calcs.Assumptions'!C$4:C$30,$J81)</f>
        <v>0</v>
      </c>
      <c r="H81" s="183">
        <f>INDEX('Lab.Calcs.Assumptions'!D$4:D$30,$J81)</f>
        <v>0</v>
      </c>
      <c r="I81" s="183">
        <f>INDEX('Lab.Calcs.Assumptions'!E$4:E$30,$J81)</f>
        <v>0</v>
      </c>
      <c r="J81" s="183">
        <f>MATCH(E81,'Lab.Calcs.Assumptions'!$A$4:$A$30,0)</f>
        <v>4</v>
      </c>
    </row>
    <row r="82" spans="1:10" x14ac:dyDescent="0.25">
      <c r="A82" s="183" t="s">
        <v>1301</v>
      </c>
      <c r="B82" s="183" t="s">
        <v>1300</v>
      </c>
      <c r="C82" s="183" t="s">
        <v>1272</v>
      </c>
      <c r="D82" s="183" t="s">
        <v>1287</v>
      </c>
      <c r="E82" s="183" t="s">
        <v>1287</v>
      </c>
      <c r="F82" s="183">
        <f>INDEX('Lab.Calcs.Assumptions'!B$4:B$30,$J82)</f>
        <v>1.72E-2</v>
      </c>
      <c r="G82" s="183">
        <f>INDEX('Lab.Calcs.Assumptions'!C$4:C$30,$J82)</f>
        <v>1.958E-2</v>
      </c>
      <c r="H82" s="183">
        <f>INDEX('Lab.Calcs.Assumptions'!D$4:D$30,$J82)</f>
        <v>6.4769999999999994E-2</v>
      </c>
      <c r="I82" s="183">
        <f>INDEX('Lab.Calcs.Assumptions'!E$4:E$30,$J82)</f>
        <v>0.23189000000000001</v>
      </c>
      <c r="J82" s="183">
        <f>MATCH(E82,'Lab.Calcs.Assumptions'!$A$4:$A$30,0)</f>
        <v>17</v>
      </c>
    </row>
    <row r="83" spans="1:10" x14ac:dyDescent="0.25">
      <c r="A83" s="183" t="s">
        <v>1299</v>
      </c>
      <c r="B83" s="183" t="s">
        <v>1298</v>
      </c>
      <c r="C83" s="183" t="s">
        <v>1272</v>
      </c>
      <c r="D83" s="183" t="s">
        <v>1287</v>
      </c>
      <c r="E83" s="183" t="s">
        <v>1287</v>
      </c>
      <c r="F83" s="183">
        <f>INDEX('Lab.Calcs.Assumptions'!B$4:B$30,$J83)</f>
        <v>1.72E-2</v>
      </c>
      <c r="G83" s="183">
        <f>INDEX('Lab.Calcs.Assumptions'!C$4:C$30,$J83)</f>
        <v>1.958E-2</v>
      </c>
      <c r="H83" s="183">
        <f>INDEX('Lab.Calcs.Assumptions'!D$4:D$30,$J83)</f>
        <v>6.4769999999999994E-2</v>
      </c>
      <c r="I83" s="183">
        <f>INDEX('Lab.Calcs.Assumptions'!E$4:E$30,$J83)</f>
        <v>0.23189000000000001</v>
      </c>
      <c r="J83" s="183">
        <f>MATCH(E83,'Lab.Calcs.Assumptions'!$A$4:$A$30,0)</f>
        <v>17</v>
      </c>
    </row>
    <row r="84" spans="1:10" x14ac:dyDescent="0.25">
      <c r="A84" s="183" t="s">
        <v>1297</v>
      </c>
      <c r="B84" s="183" t="s">
        <v>1296</v>
      </c>
      <c r="C84" s="183" t="s">
        <v>1272</v>
      </c>
      <c r="D84" s="183" t="s">
        <v>1287</v>
      </c>
      <c r="E84" s="183" t="s">
        <v>1287</v>
      </c>
      <c r="F84" s="183">
        <f>INDEX('Lab.Calcs.Assumptions'!B$4:B$30,$J84)</f>
        <v>1.72E-2</v>
      </c>
      <c r="G84" s="183">
        <f>INDEX('Lab.Calcs.Assumptions'!C$4:C$30,$J84)</f>
        <v>1.958E-2</v>
      </c>
      <c r="H84" s="183">
        <f>INDEX('Lab.Calcs.Assumptions'!D$4:D$30,$J84)</f>
        <v>6.4769999999999994E-2</v>
      </c>
      <c r="I84" s="183">
        <f>INDEX('Lab.Calcs.Assumptions'!E$4:E$30,$J84)</f>
        <v>0.23189000000000001</v>
      </c>
      <c r="J84" s="183">
        <f>MATCH(E84,'Lab.Calcs.Assumptions'!$A$4:$A$30,0)</f>
        <v>17</v>
      </c>
    </row>
    <row r="85" spans="1:10" x14ac:dyDescent="0.25">
      <c r="A85" s="183" t="s">
        <v>248</v>
      </c>
      <c r="B85" s="183" t="s">
        <v>1295</v>
      </c>
      <c r="C85" s="183" t="s">
        <v>1272</v>
      </c>
      <c r="D85" s="183" t="s">
        <v>1287</v>
      </c>
      <c r="E85" s="183" t="s">
        <v>1287</v>
      </c>
      <c r="F85" s="183">
        <f>INDEX('Lab.Calcs.Assumptions'!B$4:B$30,$J85)</f>
        <v>1.72E-2</v>
      </c>
      <c r="G85" s="183">
        <f>INDEX('Lab.Calcs.Assumptions'!C$4:C$30,$J85)</f>
        <v>1.958E-2</v>
      </c>
      <c r="H85" s="183">
        <f>INDEX('Lab.Calcs.Assumptions'!D$4:D$30,$J85)</f>
        <v>6.4769999999999994E-2</v>
      </c>
      <c r="I85" s="183">
        <f>INDEX('Lab.Calcs.Assumptions'!E$4:E$30,$J85)</f>
        <v>0.23189000000000001</v>
      </c>
      <c r="J85" s="183">
        <f>MATCH(E85,'Lab.Calcs.Assumptions'!$A$4:$A$30,0)</f>
        <v>17</v>
      </c>
    </row>
    <row r="86" spans="1:10" x14ac:dyDescent="0.25">
      <c r="A86" s="183" t="s">
        <v>250</v>
      </c>
      <c r="B86" s="183" t="s">
        <v>1294</v>
      </c>
      <c r="C86" s="183" t="s">
        <v>1272</v>
      </c>
      <c r="D86" s="183" t="s">
        <v>1287</v>
      </c>
      <c r="E86" s="183" t="s">
        <v>1287</v>
      </c>
      <c r="F86" s="183">
        <f>INDEX('Lab.Calcs.Assumptions'!B$4:B$30,$J86)</f>
        <v>1.72E-2</v>
      </c>
      <c r="G86" s="183">
        <f>INDEX('Lab.Calcs.Assumptions'!C$4:C$30,$J86)</f>
        <v>1.958E-2</v>
      </c>
      <c r="H86" s="183">
        <f>INDEX('Lab.Calcs.Assumptions'!D$4:D$30,$J86)</f>
        <v>6.4769999999999994E-2</v>
      </c>
      <c r="I86" s="183">
        <f>INDEX('Lab.Calcs.Assumptions'!E$4:E$30,$J86)</f>
        <v>0.23189000000000001</v>
      </c>
      <c r="J86" s="183">
        <f>MATCH(E86,'Lab.Calcs.Assumptions'!$A$4:$A$30,0)</f>
        <v>17</v>
      </c>
    </row>
    <row r="87" spans="1:10" x14ac:dyDescent="0.25">
      <c r="A87" s="183" t="s">
        <v>1293</v>
      </c>
      <c r="B87" s="183" t="s">
        <v>1292</v>
      </c>
      <c r="C87" s="183" t="s">
        <v>1272</v>
      </c>
      <c r="D87" s="183" t="s">
        <v>1287</v>
      </c>
      <c r="E87" s="183" t="s">
        <v>1287</v>
      </c>
      <c r="F87" s="183">
        <f>INDEX('Lab.Calcs.Assumptions'!B$4:B$30,$J87)</f>
        <v>1.72E-2</v>
      </c>
      <c r="G87" s="183">
        <f>INDEX('Lab.Calcs.Assumptions'!C$4:C$30,$J87)</f>
        <v>1.958E-2</v>
      </c>
      <c r="H87" s="183">
        <f>INDEX('Lab.Calcs.Assumptions'!D$4:D$30,$J87)</f>
        <v>6.4769999999999994E-2</v>
      </c>
      <c r="I87" s="183">
        <f>INDEX('Lab.Calcs.Assumptions'!E$4:E$30,$J87)</f>
        <v>0.23189000000000001</v>
      </c>
      <c r="J87" s="183">
        <f>MATCH(E87,'Lab.Calcs.Assumptions'!$A$4:$A$30,0)</f>
        <v>17</v>
      </c>
    </row>
    <row r="88" spans="1:10" x14ac:dyDescent="0.25">
      <c r="A88" s="183" t="s">
        <v>1291</v>
      </c>
      <c r="B88" s="183" t="s">
        <v>1290</v>
      </c>
      <c r="C88" s="183" t="s">
        <v>1272</v>
      </c>
      <c r="D88" s="183" t="s">
        <v>1287</v>
      </c>
      <c r="E88" s="183" t="s">
        <v>1287</v>
      </c>
      <c r="F88" s="183">
        <f>INDEX('Lab.Calcs.Assumptions'!B$4:B$30,$J88)</f>
        <v>1.72E-2</v>
      </c>
      <c r="G88" s="183">
        <f>INDEX('Lab.Calcs.Assumptions'!C$4:C$30,$J88)</f>
        <v>1.958E-2</v>
      </c>
      <c r="H88" s="183">
        <f>INDEX('Lab.Calcs.Assumptions'!D$4:D$30,$J88)</f>
        <v>6.4769999999999994E-2</v>
      </c>
      <c r="I88" s="183">
        <f>INDEX('Lab.Calcs.Assumptions'!E$4:E$30,$J88)</f>
        <v>0.23189000000000001</v>
      </c>
      <c r="J88" s="183">
        <f>MATCH(E88,'Lab.Calcs.Assumptions'!$A$4:$A$30,0)</f>
        <v>17</v>
      </c>
    </row>
    <row r="89" spans="1:10" x14ac:dyDescent="0.25">
      <c r="A89" s="183" t="s">
        <v>1289</v>
      </c>
      <c r="B89" s="183" t="s">
        <v>1288</v>
      </c>
      <c r="C89" s="183" t="s">
        <v>1272</v>
      </c>
      <c r="D89" s="183" t="s">
        <v>1287</v>
      </c>
      <c r="E89" s="183" t="s">
        <v>1287</v>
      </c>
      <c r="F89" s="183">
        <f>INDEX('Lab.Calcs.Assumptions'!B$4:B$30,$J89)</f>
        <v>1.72E-2</v>
      </c>
      <c r="G89" s="183">
        <f>INDEX('Lab.Calcs.Assumptions'!C$4:C$30,$J89)</f>
        <v>1.958E-2</v>
      </c>
      <c r="H89" s="183">
        <f>INDEX('Lab.Calcs.Assumptions'!D$4:D$30,$J89)</f>
        <v>6.4769999999999994E-2</v>
      </c>
      <c r="I89" s="183">
        <f>INDEX('Lab.Calcs.Assumptions'!E$4:E$30,$J89)</f>
        <v>0.23189000000000001</v>
      </c>
      <c r="J89" s="183">
        <f>MATCH(E89,'Lab.Calcs.Assumptions'!$A$4:$A$30,0)</f>
        <v>17</v>
      </c>
    </row>
    <row r="90" spans="1:10" x14ac:dyDescent="0.25">
      <c r="A90" s="183" t="s">
        <v>1286</v>
      </c>
      <c r="B90" s="183" t="s">
        <v>1285</v>
      </c>
      <c r="C90" s="183" t="s">
        <v>1272</v>
      </c>
      <c r="D90" s="183" t="s">
        <v>1284</v>
      </c>
      <c r="E90" s="183" t="s">
        <v>1284</v>
      </c>
      <c r="F90" s="183">
        <f>INDEX('Lab.Calcs.Assumptions'!B$4:B$30,$J90)</f>
        <v>0</v>
      </c>
      <c r="G90" s="183">
        <f>INDEX('Lab.Calcs.Assumptions'!C$4:C$30,$J90)</f>
        <v>0</v>
      </c>
      <c r="H90" s="183">
        <f>INDEX('Lab.Calcs.Assumptions'!D$4:D$30,$J90)</f>
        <v>0</v>
      </c>
      <c r="I90" s="183">
        <f>INDEX('Lab.Calcs.Assumptions'!E$4:E$30,$J90)</f>
        <v>0</v>
      </c>
      <c r="J90" s="183">
        <f>MATCH(E90,'Lab.Calcs.Assumptions'!$A$4:$A$30,0)</f>
        <v>4</v>
      </c>
    </row>
    <row r="91" spans="1:10" x14ac:dyDescent="0.25">
      <c r="A91" s="183" t="s">
        <v>287</v>
      </c>
      <c r="B91" s="183" t="s">
        <v>1283</v>
      </c>
      <c r="C91" s="183" t="s">
        <v>1272</v>
      </c>
      <c r="D91" s="183" t="s">
        <v>1281</v>
      </c>
      <c r="E91" s="183" t="s">
        <v>1281</v>
      </c>
      <c r="F91" s="183">
        <f>INDEX('Lab.Calcs.Assumptions'!B$4:B$30,$J91)</f>
        <v>3.3279999999999997E-2</v>
      </c>
      <c r="G91" s="183">
        <f>INDEX('Lab.Calcs.Assumptions'!C$4:C$30,$J91)</f>
        <v>3.7879999999999997E-2</v>
      </c>
      <c r="H91" s="183">
        <f>INDEX('Lab.Calcs.Assumptions'!D$4:D$30,$J91)</f>
        <v>0.12533</v>
      </c>
      <c r="I91" s="183">
        <f>INDEX('Lab.Calcs.Assumptions'!E$4:E$30,$J91)</f>
        <v>0.44868000000000002</v>
      </c>
      <c r="J91" s="183">
        <f>MATCH(E91,'Lab.Calcs.Assumptions'!$A$4:$A$30,0)</f>
        <v>18</v>
      </c>
    </row>
    <row r="92" spans="1:10" x14ac:dyDescent="0.25">
      <c r="A92" s="183" t="s">
        <v>263</v>
      </c>
      <c r="B92" s="183" t="s">
        <v>1282</v>
      </c>
      <c r="C92" s="183" t="s">
        <v>1272</v>
      </c>
      <c r="D92" s="183" t="s">
        <v>1281</v>
      </c>
      <c r="E92" s="183" t="s">
        <v>1281</v>
      </c>
      <c r="F92" s="183">
        <f>INDEX('Lab.Calcs.Assumptions'!B$4:B$30,$J92)</f>
        <v>3.3279999999999997E-2</v>
      </c>
      <c r="G92" s="183">
        <f>INDEX('Lab.Calcs.Assumptions'!C$4:C$30,$J92)</f>
        <v>3.7879999999999997E-2</v>
      </c>
      <c r="H92" s="183">
        <f>INDEX('Lab.Calcs.Assumptions'!D$4:D$30,$J92)</f>
        <v>0.12533</v>
      </c>
      <c r="I92" s="183">
        <f>INDEX('Lab.Calcs.Assumptions'!E$4:E$30,$J92)</f>
        <v>0.44868000000000002</v>
      </c>
      <c r="J92" s="183">
        <f>MATCH(E92,'Lab.Calcs.Assumptions'!$A$4:$A$30,0)</f>
        <v>18</v>
      </c>
    </row>
    <row r="93" spans="1:10" x14ac:dyDescent="0.25">
      <c r="A93" s="183" t="s">
        <v>293</v>
      </c>
      <c r="B93" s="183" t="s">
        <v>1280</v>
      </c>
      <c r="C93" s="183" t="s">
        <v>1272</v>
      </c>
      <c r="D93" s="183" t="s">
        <v>1278</v>
      </c>
      <c r="E93" s="183" t="s">
        <v>1278</v>
      </c>
      <c r="F93" s="183">
        <f>INDEX('Lab.Calcs.Assumptions'!B$4:B$30,$J93)</f>
        <v>1.72E-2</v>
      </c>
      <c r="G93" s="183">
        <f>INDEX('Lab.Calcs.Assumptions'!C$4:C$30,$J93)</f>
        <v>1.958E-2</v>
      </c>
      <c r="H93" s="183">
        <f>INDEX('Lab.Calcs.Assumptions'!D$4:D$30,$J93)</f>
        <v>6.4769999999999994E-2</v>
      </c>
      <c r="I93" s="183">
        <f>INDEX('Lab.Calcs.Assumptions'!E$4:E$30,$J93)</f>
        <v>0.23189000000000001</v>
      </c>
      <c r="J93" s="183">
        <f>MATCH(E93,'Lab.Calcs.Assumptions'!$A$4:$A$30,0)</f>
        <v>19</v>
      </c>
    </row>
    <row r="94" spans="1:10" x14ac:dyDescent="0.25">
      <c r="A94" s="183" t="s">
        <v>269</v>
      </c>
      <c r="B94" s="183" t="s">
        <v>1279</v>
      </c>
      <c r="C94" s="183" t="s">
        <v>1272</v>
      </c>
      <c r="D94" s="183" t="s">
        <v>1278</v>
      </c>
      <c r="E94" s="183" t="s">
        <v>1278</v>
      </c>
      <c r="F94" s="183">
        <f>INDEX('Lab.Calcs.Assumptions'!B$4:B$30,$J94)</f>
        <v>1.72E-2</v>
      </c>
      <c r="G94" s="183">
        <f>INDEX('Lab.Calcs.Assumptions'!C$4:C$30,$J94)</f>
        <v>1.958E-2</v>
      </c>
      <c r="H94" s="183">
        <f>INDEX('Lab.Calcs.Assumptions'!D$4:D$30,$J94)</f>
        <v>6.4769999999999994E-2</v>
      </c>
      <c r="I94" s="183">
        <f>INDEX('Lab.Calcs.Assumptions'!E$4:E$30,$J94)</f>
        <v>0.23189000000000001</v>
      </c>
      <c r="J94" s="183">
        <f>MATCH(E94,'Lab.Calcs.Assumptions'!$A$4:$A$30,0)</f>
        <v>19</v>
      </c>
    </row>
    <row r="95" spans="1:10" x14ac:dyDescent="0.25">
      <c r="A95" s="183" t="s">
        <v>217</v>
      </c>
      <c r="B95" s="183" t="s">
        <v>216</v>
      </c>
      <c r="C95" s="183" t="s">
        <v>1272</v>
      </c>
      <c r="D95" s="183" t="s">
        <v>1277</v>
      </c>
      <c r="E95" s="183" t="s">
        <v>1277</v>
      </c>
      <c r="F95" s="183">
        <f>INDEX('Lab.Calcs.Assumptions'!B$4:B$30,$J95)</f>
        <v>1.474E-2</v>
      </c>
      <c r="G95" s="183">
        <f>INDEX('Lab.Calcs.Assumptions'!C$4:C$30,$J95)</f>
        <v>1.678E-2</v>
      </c>
      <c r="H95" s="183">
        <f>INDEX('Lab.Calcs.Assumptions'!D$4:D$30,$J95)</f>
        <v>5.5509999999999997E-2</v>
      </c>
      <c r="I95" s="183">
        <f>INDEX('Lab.Calcs.Assumptions'!E$4:E$30,$J95)</f>
        <v>0.19872999999999999</v>
      </c>
      <c r="J95" s="183">
        <f>MATCH(E95,'Lab.Calcs.Assumptions'!$A$4:$A$30,0)</f>
        <v>21</v>
      </c>
    </row>
    <row r="96" spans="1:10" x14ac:dyDescent="0.25">
      <c r="A96" s="183" t="s">
        <v>215</v>
      </c>
      <c r="B96" s="183" t="s">
        <v>214</v>
      </c>
      <c r="C96" s="183" t="s">
        <v>1272</v>
      </c>
      <c r="D96" s="183" t="s">
        <v>1271</v>
      </c>
      <c r="E96" s="183" t="s">
        <v>1276</v>
      </c>
      <c r="F96" s="183">
        <f>INDEX('Lab.Calcs.Assumptions'!B$4:B$30,$J96)</f>
        <v>3.1989999999999998E-2</v>
      </c>
      <c r="G96" s="183">
        <f>INDEX('Lab.Calcs.Assumptions'!C$4:C$30,$J96)</f>
        <v>3.6400000000000002E-2</v>
      </c>
      <c r="H96" s="183">
        <f>INDEX('Lab.Calcs.Assumptions'!D$4:D$30,$J96)</f>
        <v>0.12044000000000001</v>
      </c>
      <c r="I96" s="183">
        <f>INDEX('Lab.Calcs.Assumptions'!E$4:E$30,$J96)</f>
        <v>0.43119000000000002</v>
      </c>
      <c r="J96" s="183">
        <f>MATCH(E96,'Lab.Calcs.Assumptions'!$A$4:$A$30,0)</f>
        <v>24</v>
      </c>
    </row>
    <row r="97" spans="1:10" x14ac:dyDescent="0.25">
      <c r="A97" s="183" t="s">
        <v>213</v>
      </c>
      <c r="B97" s="183" t="s">
        <v>212</v>
      </c>
      <c r="C97" s="183" t="s">
        <v>1272</v>
      </c>
      <c r="D97" s="183" t="s">
        <v>1271</v>
      </c>
      <c r="E97" s="183" t="s">
        <v>1275</v>
      </c>
      <c r="F97" s="183">
        <f>INDEX('Lab.Calcs.Assumptions'!B$4:B$30,$J97)</f>
        <v>2.8969999999999999E-2</v>
      </c>
      <c r="G97" s="183">
        <f>INDEX('Lab.Calcs.Assumptions'!C$4:C$30,$J97)</f>
        <v>3.2969999999999999E-2</v>
      </c>
      <c r="H97" s="183">
        <f>INDEX('Lab.Calcs.Assumptions'!D$4:D$30,$J97)</f>
        <v>0.1091</v>
      </c>
      <c r="I97" s="183">
        <f>INDEX('Lab.Calcs.Assumptions'!E$4:E$30,$J97)</f>
        <v>0.39056999999999997</v>
      </c>
      <c r="J97" s="183">
        <f>MATCH(E97,'Lab.Calcs.Assumptions'!$A$4:$A$30,0)</f>
        <v>26</v>
      </c>
    </row>
    <row r="98" spans="1:10" x14ac:dyDescent="0.25">
      <c r="A98" s="183" t="s">
        <v>211</v>
      </c>
      <c r="B98" s="183" t="s">
        <v>210</v>
      </c>
      <c r="C98" s="183" t="s">
        <v>1272</v>
      </c>
      <c r="D98" s="183" t="s">
        <v>1271</v>
      </c>
      <c r="E98" s="183" t="s">
        <v>1270</v>
      </c>
      <c r="F98" s="183">
        <f>INDEX('Lab.Calcs.Assumptions'!B$4:B$30,$J98)</f>
        <v>2.656E-2</v>
      </c>
      <c r="G98" s="183">
        <f>INDEX('Lab.Calcs.Assumptions'!C$4:C$30,$J98)</f>
        <v>3.023E-2</v>
      </c>
      <c r="H98" s="183">
        <f>INDEX('Lab.Calcs.Assumptions'!D$4:D$30,$J98)</f>
        <v>0.10002999999999999</v>
      </c>
      <c r="I98" s="183">
        <f>INDEX('Lab.Calcs.Assumptions'!E$4:E$30,$J98)</f>
        <v>0.35811999999999999</v>
      </c>
      <c r="J98" s="183">
        <f>MATCH(E98,'Lab.Calcs.Assumptions'!$A$4:$A$30,0)</f>
        <v>25</v>
      </c>
    </row>
    <row r="99" spans="1:10" x14ac:dyDescent="0.25">
      <c r="A99" s="183" t="s">
        <v>209</v>
      </c>
      <c r="B99" s="183" t="s">
        <v>208</v>
      </c>
      <c r="C99" s="183" t="s">
        <v>1272</v>
      </c>
      <c r="D99" s="183" t="s">
        <v>1271</v>
      </c>
      <c r="E99" s="183" t="s">
        <v>1270</v>
      </c>
      <c r="F99" s="183">
        <f>INDEX('Lab.Calcs.Assumptions'!B$4:B$30,$J99)</f>
        <v>2.656E-2</v>
      </c>
      <c r="G99" s="183">
        <f>INDEX('Lab.Calcs.Assumptions'!C$4:C$30,$J99)</f>
        <v>3.023E-2</v>
      </c>
      <c r="H99" s="183">
        <f>INDEX('Lab.Calcs.Assumptions'!D$4:D$30,$J99)</f>
        <v>0.10002999999999999</v>
      </c>
      <c r="I99" s="183">
        <f>INDEX('Lab.Calcs.Assumptions'!E$4:E$30,$J99)</f>
        <v>0.35811999999999999</v>
      </c>
      <c r="J99" s="183">
        <f>MATCH(E99,'Lab.Calcs.Assumptions'!$A$4:$A$30,0)</f>
        <v>25</v>
      </c>
    </row>
    <row r="100" spans="1:10" x14ac:dyDescent="0.25">
      <c r="A100" s="183" t="s">
        <v>207</v>
      </c>
      <c r="B100" s="183" t="s">
        <v>206</v>
      </c>
      <c r="C100" s="183" t="s">
        <v>1272</v>
      </c>
      <c r="D100" s="183" t="s">
        <v>1271</v>
      </c>
      <c r="E100" s="183" t="s">
        <v>1270</v>
      </c>
      <c r="F100" s="183">
        <f>INDEX('Lab.Calcs.Assumptions'!B$4:B$30,$J100)</f>
        <v>2.656E-2</v>
      </c>
      <c r="G100" s="183">
        <f>INDEX('Lab.Calcs.Assumptions'!C$4:C$30,$J100)</f>
        <v>3.023E-2</v>
      </c>
      <c r="H100" s="183">
        <f>INDEX('Lab.Calcs.Assumptions'!D$4:D$30,$J100)</f>
        <v>0.10002999999999999</v>
      </c>
      <c r="I100" s="183">
        <f>INDEX('Lab.Calcs.Assumptions'!E$4:E$30,$J100)</f>
        <v>0.35811999999999999</v>
      </c>
      <c r="J100" s="183">
        <f>MATCH(E100,'Lab.Calcs.Assumptions'!$A$4:$A$30,0)</f>
        <v>25</v>
      </c>
    </row>
    <row r="101" spans="1:10" x14ac:dyDescent="0.25">
      <c r="A101" s="183" t="s">
        <v>205</v>
      </c>
      <c r="B101" s="183" t="s">
        <v>204</v>
      </c>
      <c r="C101" s="183" t="s">
        <v>1272</v>
      </c>
      <c r="D101" s="183" t="s">
        <v>1271</v>
      </c>
      <c r="E101" s="183" t="s">
        <v>1270</v>
      </c>
      <c r="F101" s="183">
        <f>INDEX('Lab.Calcs.Assumptions'!B$4:B$30,$J101)</f>
        <v>2.656E-2</v>
      </c>
      <c r="G101" s="183">
        <f>INDEX('Lab.Calcs.Assumptions'!C$4:C$30,$J101)</f>
        <v>3.023E-2</v>
      </c>
      <c r="H101" s="183">
        <f>INDEX('Lab.Calcs.Assumptions'!D$4:D$30,$J101)</f>
        <v>0.10002999999999999</v>
      </c>
      <c r="I101" s="183">
        <f>INDEX('Lab.Calcs.Assumptions'!E$4:E$30,$J101)</f>
        <v>0.35811999999999999</v>
      </c>
      <c r="J101" s="183">
        <f>MATCH(E101,'Lab.Calcs.Assumptions'!$A$4:$A$30,0)</f>
        <v>25</v>
      </c>
    </row>
    <row r="102" spans="1:10" x14ac:dyDescent="0.25">
      <c r="A102" s="183" t="s">
        <v>203</v>
      </c>
      <c r="B102" s="183" t="s">
        <v>202</v>
      </c>
      <c r="C102" s="183" t="s">
        <v>1272</v>
      </c>
      <c r="D102" s="183" t="s">
        <v>1271</v>
      </c>
      <c r="E102" s="183" t="s">
        <v>1270</v>
      </c>
      <c r="F102" s="183">
        <f>INDEX('Lab.Calcs.Assumptions'!B$4:B$30,$J102)</f>
        <v>2.656E-2</v>
      </c>
      <c r="G102" s="183">
        <f>INDEX('Lab.Calcs.Assumptions'!C$4:C$30,$J102)</f>
        <v>3.023E-2</v>
      </c>
      <c r="H102" s="183">
        <f>INDEX('Lab.Calcs.Assumptions'!D$4:D$30,$J102)</f>
        <v>0.10002999999999999</v>
      </c>
      <c r="I102" s="183">
        <f>INDEX('Lab.Calcs.Assumptions'!E$4:E$30,$J102)</f>
        <v>0.35811999999999999</v>
      </c>
      <c r="J102" s="183">
        <f>MATCH(E102,'Lab.Calcs.Assumptions'!$A$4:$A$30,0)</f>
        <v>25</v>
      </c>
    </row>
    <row r="103" spans="1:10" x14ac:dyDescent="0.25">
      <c r="A103" s="183" t="s">
        <v>201</v>
      </c>
      <c r="B103" s="183" t="s">
        <v>200</v>
      </c>
      <c r="C103" s="183" t="s">
        <v>1272</v>
      </c>
      <c r="D103" s="183" t="s">
        <v>1271</v>
      </c>
      <c r="E103" s="183" t="s">
        <v>1270</v>
      </c>
      <c r="F103" s="183">
        <f>INDEX('Lab.Calcs.Assumptions'!B$4:B$30,$J103)</f>
        <v>2.656E-2</v>
      </c>
      <c r="G103" s="183">
        <f>INDEX('Lab.Calcs.Assumptions'!C$4:C$30,$J103)</f>
        <v>3.023E-2</v>
      </c>
      <c r="H103" s="183">
        <f>INDEX('Lab.Calcs.Assumptions'!D$4:D$30,$J103)</f>
        <v>0.10002999999999999</v>
      </c>
      <c r="I103" s="183">
        <f>INDEX('Lab.Calcs.Assumptions'!E$4:E$30,$J103)</f>
        <v>0.35811999999999999</v>
      </c>
      <c r="J103" s="183">
        <f>MATCH(E103,'Lab.Calcs.Assumptions'!$A$4:$A$30,0)</f>
        <v>25</v>
      </c>
    </row>
    <row r="104" spans="1:10" x14ac:dyDescent="0.25">
      <c r="A104" s="183" t="s">
        <v>199</v>
      </c>
      <c r="B104" s="183" t="s">
        <v>198</v>
      </c>
      <c r="C104" s="183" t="s">
        <v>1272</v>
      </c>
      <c r="D104" s="183" t="s">
        <v>1271</v>
      </c>
      <c r="E104" s="183" t="s">
        <v>1270</v>
      </c>
      <c r="F104" s="183">
        <f>INDEX('Lab.Calcs.Assumptions'!B$4:B$30,$J104)</f>
        <v>2.656E-2</v>
      </c>
      <c r="G104" s="183">
        <f>INDEX('Lab.Calcs.Assumptions'!C$4:C$30,$J104)</f>
        <v>3.023E-2</v>
      </c>
      <c r="H104" s="183">
        <f>INDEX('Lab.Calcs.Assumptions'!D$4:D$30,$J104)</f>
        <v>0.10002999999999999</v>
      </c>
      <c r="I104" s="183">
        <f>INDEX('Lab.Calcs.Assumptions'!E$4:E$30,$J104)</f>
        <v>0.35811999999999999</v>
      </c>
      <c r="J104" s="183">
        <f>MATCH(E104,'Lab.Calcs.Assumptions'!$A$4:$A$30,0)</f>
        <v>25</v>
      </c>
    </row>
    <row r="105" spans="1:10" x14ac:dyDescent="0.25">
      <c r="A105" s="183" t="s">
        <v>197</v>
      </c>
      <c r="B105" s="183" t="s">
        <v>196</v>
      </c>
      <c r="C105" s="183" t="s">
        <v>1272</v>
      </c>
      <c r="D105" s="183" t="s">
        <v>1271</v>
      </c>
      <c r="E105" s="183" t="s">
        <v>1270</v>
      </c>
      <c r="F105" s="183">
        <f>INDEX('Lab.Calcs.Assumptions'!B$4:B$30,$J105)</f>
        <v>2.656E-2</v>
      </c>
      <c r="G105" s="183">
        <f>INDEX('Lab.Calcs.Assumptions'!C$4:C$30,$J105)</f>
        <v>3.023E-2</v>
      </c>
      <c r="H105" s="183">
        <f>INDEX('Lab.Calcs.Assumptions'!D$4:D$30,$J105)</f>
        <v>0.10002999999999999</v>
      </c>
      <c r="I105" s="183">
        <f>INDEX('Lab.Calcs.Assumptions'!E$4:E$30,$J105)</f>
        <v>0.35811999999999999</v>
      </c>
      <c r="J105" s="183">
        <f>MATCH(E105,'Lab.Calcs.Assumptions'!$A$4:$A$30,0)</f>
        <v>25</v>
      </c>
    </row>
    <row r="106" spans="1:10" x14ac:dyDescent="0.25">
      <c r="A106" s="183" t="s">
        <v>195</v>
      </c>
      <c r="B106" s="183" t="s">
        <v>194</v>
      </c>
      <c r="C106" s="183" t="s">
        <v>1272</v>
      </c>
      <c r="D106" s="183" t="s">
        <v>1271</v>
      </c>
      <c r="E106" s="183" t="s">
        <v>1270</v>
      </c>
      <c r="F106" s="183">
        <f>INDEX('Lab.Calcs.Assumptions'!B$4:B$30,$J106)</f>
        <v>2.656E-2</v>
      </c>
      <c r="G106" s="183">
        <f>INDEX('Lab.Calcs.Assumptions'!C$4:C$30,$J106)</f>
        <v>3.023E-2</v>
      </c>
      <c r="H106" s="183">
        <f>INDEX('Lab.Calcs.Assumptions'!D$4:D$30,$J106)</f>
        <v>0.10002999999999999</v>
      </c>
      <c r="I106" s="183">
        <f>INDEX('Lab.Calcs.Assumptions'!E$4:E$30,$J106)</f>
        <v>0.35811999999999999</v>
      </c>
      <c r="J106" s="183">
        <f>MATCH(E106,'Lab.Calcs.Assumptions'!$A$4:$A$30,0)</f>
        <v>25</v>
      </c>
    </row>
    <row r="107" spans="1:10" x14ac:dyDescent="0.25">
      <c r="A107" s="183" t="s">
        <v>193</v>
      </c>
      <c r="B107" s="183" t="s">
        <v>192</v>
      </c>
      <c r="C107" s="183" t="s">
        <v>1272</v>
      </c>
      <c r="D107" s="183" t="s">
        <v>1271</v>
      </c>
      <c r="E107" s="183" t="s">
        <v>1274</v>
      </c>
      <c r="F107" s="183">
        <f>INDEX('Lab.Calcs.Assumptions'!B$4:B$30,$J107)</f>
        <v>0.16136</v>
      </c>
      <c r="G107" s="183">
        <f>INDEX('Lab.Calcs.Assumptions'!C$4:C$30,$J107)</f>
        <v>0.18362999999999999</v>
      </c>
      <c r="H107" s="183">
        <f>INDEX('Lab.Calcs.Assumptions'!D$4:D$30,$J107)</f>
        <v>0.60758999999999996</v>
      </c>
      <c r="I107" s="183">
        <f>INDEX('Lab.Calcs.Assumptions'!E$4:E$30,$J107)</f>
        <v>2.1752199999999999</v>
      </c>
      <c r="J107" s="183">
        <f>MATCH(E107,'Lab.Calcs.Assumptions'!$A$4:$A$30,0)</f>
        <v>23</v>
      </c>
    </row>
    <row r="108" spans="1:10" x14ac:dyDescent="0.25">
      <c r="A108" s="183" t="s">
        <v>191</v>
      </c>
      <c r="B108" s="183" t="s">
        <v>190</v>
      </c>
      <c r="C108" s="183" t="s">
        <v>1272</v>
      </c>
      <c r="D108" s="183" t="s">
        <v>1271</v>
      </c>
      <c r="E108" s="183" t="s">
        <v>1273</v>
      </c>
      <c r="F108" s="183">
        <f>INDEX('Lab.Calcs.Assumptions'!B$4:B$30,$J108)</f>
        <v>2.6519999999999998E-2</v>
      </c>
      <c r="G108" s="183">
        <f>INDEX('Lab.Calcs.Assumptions'!C$4:C$30,$J108)</f>
        <v>3.0179999999999998E-2</v>
      </c>
      <c r="H108" s="183">
        <f>INDEX('Lab.Calcs.Assumptions'!D$4:D$30,$J108)</f>
        <v>9.9849999999999994E-2</v>
      </c>
      <c r="I108" s="183">
        <f>INDEX('Lab.Calcs.Assumptions'!E$4:E$30,$J108)</f>
        <v>0.35747000000000001</v>
      </c>
      <c r="J108" s="183">
        <f>MATCH(E108,'Lab.Calcs.Assumptions'!$A$4:$A$30,0)</f>
        <v>27</v>
      </c>
    </row>
    <row r="109" spans="1:10" x14ac:dyDescent="0.25">
      <c r="A109" s="183" t="s">
        <v>189</v>
      </c>
      <c r="B109" s="183" t="s">
        <v>188</v>
      </c>
      <c r="C109" s="183" t="s">
        <v>1272</v>
      </c>
      <c r="D109" s="183" t="s">
        <v>1271</v>
      </c>
      <c r="E109" s="183" t="s">
        <v>1270</v>
      </c>
      <c r="F109" s="183">
        <f>INDEX('Lab.Calcs.Assumptions'!B$4:B$30,$J109)</f>
        <v>2.656E-2</v>
      </c>
      <c r="G109" s="183">
        <f>INDEX('Lab.Calcs.Assumptions'!C$4:C$30,$J109)</f>
        <v>3.023E-2</v>
      </c>
      <c r="H109" s="183">
        <f>INDEX('Lab.Calcs.Assumptions'!D$4:D$30,$J109)</f>
        <v>0.10002999999999999</v>
      </c>
      <c r="I109" s="183">
        <f>INDEX('Lab.Calcs.Assumptions'!E$4:E$30,$J109)</f>
        <v>0.35811999999999999</v>
      </c>
      <c r="J109" s="183">
        <f>MATCH(E109,'Lab.Calcs.Assumptions'!$A$4:$A$30,0)</f>
        <v>25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workbookViewId="0"/>
    <sheetView workbookViewId="1"/>
  </sheetViews>
  <sheetFormatPr defaultRowHeight="15" x14ac:dyDescent="0.25"/>
  <cols>
    <col min="1" max="1" width="19.5703125" style="183" customWidth="1"/>
    <col min="2" max="5" width="9.140625" style="183"/>
    <col min="6" max="6" width="13.85546875" style="183" customWidth="1"/>
    <col min="7" max="7" width="16.7109375" style="183" bestFit="1" customWidth="1"/>
    <col min="8" max="8" width="10.85546875" style="183" customWidth="1"/>
    <col min="9" max="9" width="12" style="183" customWidth="1"/>
    <col min="10" max="10" width="11.5703125" style="183" bestFit="1" customWidth="1"/>
    <col min="11" max="11" width="12.7109375" style="183" bestFit="1" customWidth="1"/>
    <col min="12" max="12" width="13.85546875" style="183" customWidth="1"/>
    <col min="13" max="13" width="13.85546875" style="183" bestFit="1" customWidth="1"/>
    <col min="14" max="16" width="9.140625" style="183"/>
    <col min="17" max="17" width="16.7109375" style="183" bestFit="1" customWidth="1"/>
    <col min="18" max="22" width="9.140625" style="183"/>
    <col min="23" max="23" width="16.85546875" style="183" customWidth="1"/>
    <col min="24" max="16384" width="9.140625" style="183"/>
  </cols>
  <sheetData>
    <row r="1" spans="1:16" x14ac:dyDescent="0.25">
      <c r="B1" s="183" t="s">
        <v>1566</v>
      </c>
      <c r="H1" s="183" t="s">
        <v>166</v>
      </c>
      <c r="I1" s="183">
        <f t="array" ref="I1:L1">TRANSPOSE('From SAM'!Q28:Q31)*1000</f>
        <v>110.01900000000001</v>
      </c>
      <c r="J1" s="183">
        <v>112.75</v>
      </c>
      <c r="K1" s="183">
        <v>173.19399999999999</v>
      </c>
      <c r="L1" s="183">
        <v>395.77199999999999</v>
      </c>
    </row>
    <row r="2" spans="1:16" x14ac:dyDescent="0.25">
      <c r="A2" s="183" t="s">
        <v>1446</v>
      </c>
      <c r="B2" s="183" t="s">
        <v>1504</v>
      </c>
      <c r="C2" s="183" t="s">
        <v>1503</v>
      </c>
      <c r="D2" s="183" t="s">
        <v>1502</v>
      </c>
      <c r="E2" s="183" t="s">
        <v>1501</v>
      </c>
      <c r="F2" s="183" t="s">
        <v>116</v>
      </c>
      <c r="G2" s="183" t="s">
        <v>765</v>
      </c>
      <c r="H2" s="183" t="s">
        <v>116</v>
      </c>
      <c r="I2" s="183" t="str">
        <f>B2</f>
        <v>flab-p</v>
      </c>
      <c r="J2" s="183" t="str">
        <f>C2</f>
        <v>flab-m</v>
      </c>
      <c r="K2" s="183" t="str">
        <f>D2</f>
        <v>flab-s</v>
      </c>
      <c r="L2" s="183" t="str">
        <f>E2</f>
        <v>flab-t</v>
      </c>
      <c r="M2" s="183" t="s">
        <v>1565</v>
      </c>
      <c r="N2" s="183" t="s">
        <v>1564</v>
      </c>
      <c r="O2" s="183" t="s">
        <v>1563</v>
      </c>
      <c r="P2" s="183" t="s">
        <v>1562</v>
      </c>
    </row>
    <row r="3" spans="1:16" x14ac:dyDescent="0.25">
      <c r="A3" s="183" t="s">
        <v>1561</v>
      </c>
      <c r="B3" s="183">
        <f t="array" ref="B3:E3">TRANSPOSE('From SAM'!G28:G31)</f>
        <v>5.1587548519758449E-2</v>
      </c>
      <c r="C3" s="183">
        <v>5.8710463397399472E-2</v>
      </c>
      <c r="D3" s="183">
        <v>0.19425465215810078</v>
      </c>
      <c r="E3" s="183">
        <v>0.69544733592474128</v>
      </c>
      <c r="F3" s="284" t="s">
        <v>1471</v>
      </c>
      <c r="G3" s="183" t="s">
        <v>157</v>
      </c>
      <c r="H3" s="284" t="s">
        <v>1560</v>
      </c>
    </row>
    <row r="4" spans="1:16" x14ac:dyDescent="0.25">
      <c r="A4" s="183" t="s">
        <v>1438</v>
      </c>
      <c r="B4" s="183">
        <f t="shared" ref="B4:E22" si="0">ROUND(B$3*$F4,5)</f>
        <v>1.72E-2</v>
      </c>
      <c r="C4" s="183">
        <f t="shared" si="0"/>
        <v>1.958E-2</v>
      </c>
      <c r="D4" s="183">
        <f t="shared" si="0"/>
        <v>6.4769999999999994E-2</v>
      </c>
      <c r="E4" s="183">
        <f t="shared" si="0"/>
        <v>0.23189000000000001</v>
      </c>
      <c r="F4" s="275">
        <f>F6</f>
        <v>0.33344431232659533</v>
      </c>
      <c r="G4" s="183">
        <f t="shared" ref="G4:G22" si="1">SUMIF($A$40:$A$47,A4,$B$40:$B$47)</f>
        <v>1.58</v>
      </c>
      <c r="H4" s="275">
        <f t="shared" ref="H4:H22" si="2">G4*F4</f>
        <v>0.52684201347602067</v>
      </c>
      <c r="I4" s="285">
        <f t="shared" ref="I4:I22" si="3">B4*$G4*I$1</f>
        <v>2.9898763440000002</v>
      </c>
      <c r="J4" s="285">
        <f t="shared" ref="J4:J22" si="4">C4*$G4*J$1</f>
        <v>3.4880791000000002</v>
      </c>
      <c r="K4" s="285">
        <f t="shared" ref="K4:K22" si="5">D4*$G4*K$1</f>
        <v>17.7240851004</v>
      </c>
      <c r="L4" s="285">
        <f t="shared" ref="L4:L22" si="6">E4*$G4*L$1</f>
        <v>145.00539914640001</v>
      </c>
      <c r="M4" s="285">
        <f t="shared" ref="M4:M22" si="7">SUM(I4:L4)</f>
        <v>169.20743969080002</v>
      </c>
      <c r="O4" s="277">
        <f t="shared" ref="O4:O30" si="8">SUMPRODUCT(B4:E4,$I$1:$L$1)</f>
        <v>107.09331625999999</v>
      </c>
      <c r="P4" s="183">
        <v>3.9</v>
      </c>
    </row>
    <row r="5" spans="1:16" x14ac:dyDescent="0.25">
      <c r="A5" s="183" t="s">
        <v>1435</v>
      </c>
      <c r="B5" s="183">
        <f t="shared" si="0"/>
        <v>1.72E-2</v>
      </c>
      <c r="C5" s="183">
        <f t="shared" si="0"/>
        <v>1.958E-2</v>
      </c>
      <c r="D5" s="183">
        <f t="shared" si="0"/>
        <v>6.4769999999999994E-2</v>
      </c>
      <c r="E5" s="183">
        <f t="shared" si="0"/>
        <v>0.23189000000000001</v>
      </c>
      <c r="F5" s="275">
        <f>F6</f>
        <v>0.33344431232659533</v>
      </c>
      <c r="G5" s="183">
        <f t="shared" si="1"/>
        <v>0</v>
      </c>
      <c r="H5" s="275">
        <f t="shared" si="2"/>
        <v>0</v>
      </c>
      <c r="I5" s="285">
        <f t="shared" si="3"/>
        <v>0</v>
      </c>
      <c r="J5" s="285">
        <f t="shared" si="4"/>
        <v>0</v>
      </c>
      <c r="K5" s="285">
        <f t="shared" si="5"/>
        <v>0</v>
      </c>
      <c r="L5" s="285">
        <f t="shared" si="6"/>
        <v>0</v>
      </c>
      <c r="M5" s="285">
        <f t="shared" si="7"/>
        <v>0</v>
      </c>
      <c r="O5" s="277">
        <f t="shared" si="8"/>
        <v>107.09331625999999</v>
      </c>
    </row>
    <row r="6" spans="1:16" x14ac:dyDescent="0.25">
      <c r="A6" s="183" t="s">
        <v>1431</v>
      </c>
      <c r="B6" s="183">
        <f t="shared" si="0"/>
        <v>1.72E-2</v>
      </c>
      <c r="C6" s="183">
        <f t="shared" si="0"/>
        <v>1.958E-2</v>
      </c>
      <c r="D6" s="183">
        <f t="shared" si="0"/>
        <v>6.4769999999999994E-2</v>
      </c>
      <c r="E6" s="183">
        <f t="shared" si="0"/>
        <v>0.23189000000000001</v>
      </c>
      <c r="F6" s="275">
        <f>F18</f>
        <v>0.33344431232659533</v>
      </c>
      <c r="G6" s="183">
        <f t="shared" si="1"/>
        <v>0.67</v>
      </c>
      <c r="H6" s="275">
        <f t="shared" si="2"/>
        <v>0.22340768925881888</v>
      </c>
      <c r="I6" s="285">
        <f t="shared" si="3"/>
        <v>1.2678589560000002</v>
      </c>
      <c r="J6" s="285">
        <f t="shared" si="4"/>
        <v>1.47912215</v>
      </c>
      <c r="K6" s="285">
        <f t="shared" si="5"/>
        <v>7.5159095045999997</v>
      </c>
      <c r="L6" s="285">
        <f t="shared" si="6"/>
        <v>61.489631283600005</v>
      </c>
      <c r="M6" s="285">
        <f t="shared" si="7"/>
        <v>71.752521894200001</v>
      </c>
      <c r="O6" s="277">
        <f t="shared" si="8"/>
        <v>107.09331625999999</v>
      </c>
      <c r="P6" s="183">
        <v>36</v>
      </c>
    </row>
    <row r="7" spans="1:16" x14ac:dyDescent="0.25">
      <c r="A7" s="183" t="s">
        <v>1284</v>
      </c>
      <c r="B7" s="183">
        <f t="shared" si="0"/>
        <v>0</v>
      </c>
      <c r="C7" s="183">
        <f t="shared" si="0"/>
        <v>0</v>
      </c>
      <c r="D7" s="183">
        <f t="shared" si="0"/>
        <v>0</v>
      </c>
      <c r="E7" s="183">
        <f t="shared" si="0"/>
        <v>0</v>
      </c>
      <c r="F7" s="275">
        <v>0</v>
      </c>
      <c r="G7" s="183">
        <f t="shared" si="1"/>
        <v>1.5</v>
      </c>
      <c r="H7" s="275">
        <f t="shared" si="2"/>
        <v>0</v>
      </c>
      <c r="I7" s="285">
        <f t="shared" si="3"/>
        <v>0</v>
      </c>
      <c r="J7" s="285">
        <f t="shared" si="4"/>
        <v>0</v>
      </c>
      <c r="K7" s="285">
        <f t="shared" si="5"/>
        <v>0</v>
      </c>
      <c r="L7" s="285">
        <f t="shared" si="6"/>
        <v>0</v>
      </c>
      <c r="M7" s="285">
        <f t="shared" si="7"/>
        <v>0</v>
      </c>
      <c r="O7" s="277">
        <f t="shared" si="8"/>
        <v>0</v>
      </c>
    </row>
    <row r="8" spans="1:16" x14ac:dyDescent="0.25">
      <c r="A8" s="183" t="s">
        <v>1413</v>
      </c>
      <c r="B8" s="183">
        <f t="shared" si="0"/>
        <v>1.941E-2</v>
      </c>
      <c r="C8" s="183">
        <f t="shared" si="0"/>
        <v>2.2089999999999999E-2</v>
      </c>
      <c r="D8" s="183">
        <f t="shared" si="0"/>
        <v>7.3090000000000002E-2</v>
      </c>
      <c r="E8" s="183">
        <f t="shared" si="0"/>
        <v>0.26167000000000001</v>
      </c>
      <c r="F8" s="275">
        <f>L60/1000</f>
        <v>0.37626180068603343</v>
      </c>
      <c r="G8" s="183">
        <f t="shared" si="1"/>
        <v>0</v>
      </c>
      <c r="H8" s="275">
        <f t="shared" si="2"/>
        <v>0</v>
      </c>
      <c r="I8" s="285">
        <f t="shared" si="3"/>
        <v>0</v>
      </c>
      <c r="J8" s="285">
        <f t="shared" si="4"/>
        <v>0</v>
      </c>
      <c r="K8" s="285">
        <f t="shared" si="5"/>
        <v>0</v>
      </c>
      <c r="L8" s="285">
        <f t="shared" si="6"/>
        <v>0</v>
      </c>
      <c r="M8" s="285">
        <f t="shared" si="7"/>
        <v>0</v>
      </c>
      <c r="O8" s="277">
        <f t="shared" si="8"/>
        <v>120.84652498999999</v>
      </c>
      <c r="P8" s="183">
        <v>256</v>
      </c>
    </row>
    <row r="9" spans="1:16" x14ac:dyDescent="0.25">
      <c r="A9" s="183" t="s">
        <v>1396</v>
      </c>
      <c r="B9" s="183">
        <f t="shared" si="0"/>
        <v>1.941E-2</v>
      </c>
      <c r="C9" s="183">
        <f t="shared" si="0"/>
        <v>2.2089999999999999E-2</v>
      </c>
      <c r="D9" s="183">
        <f t="shared" si="0"/>
        <v>7.3090000000000002E-2</v>
      </c>
      <c r="E9" s="183">
        <f t="shared" si="0"/>
        <v>0.26167000000000001</v>
      </c>
      <c r="F9" s="275">
        <f>F8</f>
        <v>0.37626180068603343</v>
      </c>
      <c r="G9" s="183">
        <f t="shared" si="1"/>
        <v>0</v>
      </c>
      <c r="H9" s="275">
        <f t="shared" si="2"/>
        <v>0</v>
      </c>
      <c r="I9" s="285">
        <f t="shared" si="3"/>
        <v>0</v>
      </c>
      <c r="J9" s="285">
        <f t="shared" si="4"/>
        <v>0</v>
      </c>
      <c r="K9" s="285">
        <f t="shared" si="5"/>
        <v>0</v>
      </c>
      <c r="L9" s="285">
        <f t="shared" si="6"/>
        <v>0</v>
      </c>
      <c r="M9" s="285">
        <f t="shared" si="7"/>
        <v>0</v>
      </c>
      <c r="O9" s="277">
        <f t="shared" si="8"/>
        <v>120.84652498999999</v>
      </c>
      <c r="P9" s="183">
        <v>299</v>
      </c>
    </row>
    <row r="10" spans="1:16" x14ac:dyDescent="0.25">
      <c r="A10" s="183" t="s">
        <v>1394</v>
      </c>
      <c r="B10" s="183">
        <f t="shared" si="0"/>
        <v>1.941E-2</v>
      </c>
      <c r="C10" s="183">
        <f t="shared" si="0"/>
        <v>2.2089999999999999E-2</v>
      </c>
      <c r="D10" s="183">
        <f t="shared" si="0"/>
        <v>7.3090000000000002E-2</v>
      </c>
      <c r="E10" s="183">
        <f t="shared" si="0"/>
        <v>0.26167000000000001</v>
      </c>
      <c r="F10" s="275">
        <f>F9</f>
        <v>0.37626180068603343</v>
      </c>
      <c r="G10" s="183">
        <f t="shared" si="1"/>
        <v>0</v>
      </c>
      <c r="H10" s="275">
        <f t="shared" si="2"/>
        <v>0</v>
      </c>
      <c r="I10" s="285">
        <f t="shared" si="3"/>
        <v>0</v>
      </c>
      <c r="J10" s="285">
        <f t="shared" si="4"/>
        <v>0</v>
      </c>
      <c r="K10" s="285">
        <f t="shared" si="5"/>
        <v>0</v>
      </c>
      <c r="L10" s="285">
        <f t="shared" si="6"/>
        <v>0</v>
      </c>
      <c r="M10" s="285">
        <f t="shared" si="7"/>
        <v>0</v>
      </c>
      <c r="O10" s="277">
        <f t="shared" si="8"/>
        <v>120.84652498999999</v>
      </c>
      <c r="P10" s="183">
        <v>299</v>
      </c>
    </row>
    <row r="11" spans="1:16" x14ac:dyDescent="0.25">
      <c r="A11" s="183" t="s">
        <v>1391</v>
      </c>
      <c r="B11" s="183">
        <f t="shared" si="0"/>
        <v>1.941E-2</v>
      </c>
      <c r="C11" s="183">
        <f t="shared" si="0"/>
        <v>2.2089999999999999E-2</v>
      </c>
      <c r="D11" s="183">
        <f t="shared" si="0"/>
        <v>7.3090000000000002E-2</v>
      </c>
      <c r="E11" s="183">
        <f t="shared" si="0"/>
        <v>0.26167000000000001</v>
      </c>
      <c r="F11" s="275">
        <f>F10</f>
        <v>0.37626180068603343</v>
      </c>
      <c r="G11" s="183">
        <f t="shared" si="1"/>
        <v>0</v>
      </c>
      <c r="H11" s="275">
        <f t="shared" si="2"/>
        <v>0</v>
      </c>
      <c r="I11" s="285">
        <f t="shared" si="3"/>
        <v>0</v>
      </c>
      <c r="J11" s="285">
        <f t="shared" si="4"/>
        <v>0</v>
      </c>
      <c r="K11" s="285">
        <f t="shared" si="5"/>
        <v>0</v>
      </c>
      <c r="L11" s="285">
        <f t="shared" si="6"/>
        <v>0</v>
      </c>
      <c r="M11" s="285">
        <f t="shared" si="7"/>
        <v>0</v>
      </c>
      <c r="O11" s="277">
        <f t="shared" si="8"/>
        <v>120.84652498999999</v>
      </c>
      <c r="P11" s="183">
        <v>299</v>
      </c>
    </row>
    <row r="12" spans="1:16" x14ac:dyDescent="0.25">
      <c r="A12" s="183" t="s">
        <v>1371</v>
      </c>
      <c r="B12" s="183">
        <f t="shared" si="0"/>
        <v>2.3769999999999999E-2</v>
      </c>
      <c r="C12" s="183">
        <f t="shared" si="0"/>
        <v>2.7050000000000001E-2</v>
      </c>
      <c r="D12" s="183">
        <f t="shared" si="0"/>
        <v>8.949E-2</v>
      </c>
      <c r="E12" s="183">
        <f t="shared" si="0"/>
        <v>0.32040000000000002</v>
      </c>
      <c r="F12" s="275">
        <f>L62/1000</f>
        <v>0.46070370370370367</v>
      </c>
      <c r="G12" s="183">
        <f t="shared" si="1"/>
        <v>0</v>
      </c>
      <c r="H12" s="275">
        <f t="shared" si="2"/>
        <v>0</v>
      </c>
      <c r="I12" s="285">
        <f t="shared" si="3"/>
        <v>0</v>
      </c>
      <c r="J12" s="285">
        <f t="shared" si="4"/>
        <v>0</v>
      </c>
      <c r="K12" s="285">
        <f t="shared" si="5"/>
        <v>0</v>
      </c>
      <c r="L12" s="285">
        <f t="shared" si="6"/>
        <v>0</v>
      </c>
      <c r="M12" s="285">
        <f t="shared" si="7"/>
        <v>0</v>
      </c>
      <c r="O12" s="277">
        <f t="shared" si="8"/>
        <v>147.96951899000001</v>
      </c>
      <c r="P12" s="183">
        <v>869</v>
      </c>
    </row>
    <row r="13" spans="1:16" x14ac:dyDescent="0.25">
      <c r="A13" s="183" t="s">
        <v>1367</v>
      </c>
      <c r="B13" s="183">
        <f t="shared" si="0"/>
        <v>1.6049999999999998E-2</v>
      </c>
      <c r="C13" s="183">
        <f t="shared" si="0"/>
        <v>1.8259999999999998E-2</v>
      </c>
      <c r="D13" s="183">
        <f t="shared" si="0"/>
        <v>6.0429999999999998E-2</v>
      </c>
      <c r="E13" s="183">
        <f t="shared" si="0"/>
        <v>0.21634</v>
      </c>
      <c r="F13" s="275">
        <f>L61/1000</f>
        <v>0.31108281387244646</v>
      </c>
      <c r="G13" s="183">
        <f t="shared" si="1"/>
        <v>0</v>
      </c>
      <c r="H13" s="275">
        <f t="shared" si="2"/>
        <v>0</v>
      </c>
      <c r="I13" s="285">
        <f t="shared" si="3"/>
        <v>0</v>
      </c>
      <c r="J13" s="285">
        <f t="shared" si="4"/>
        <v>0</v>
      </c>
      <c r="K13" s="285">
        <f t="shared" si="5"/>
        <v>0</v>
      </c>
      <c r="L13" s="285">
        <f t="shared" si="6"/>
        <v>0</v>
      </c>
      <c r="M13" s="285">
        <f t="shared" si="7"/>
        <v>0</v>
      </c>
      <c r="O13" s="277">
        <f t="shared" si="8"/>
        <v>99.912047849999993</v>
      </c>
      <c r="P13" s="183">
        <v>554</v>
      </c>
    </row>
    <row r="14" spans="1:16" x14ac:dyDescent="0.25">
      <c r="A14" s="183" t="s">
        <v>1364</v>
      </c>
      <c r="B14" s="183">
        <f t="shared" si="0"/>
        <v>1.72E-2</v>
      </c>
      <c r="C14" s="183">
        <f t="shared" si="0"/>
        <v>1.958E-2</v>
      </c>
      <c r="D14" s="183">
        <f t="shared" si="0"/>
        <v>6.4769999999999994E-2</v>
      </c>
      <c r="E14" s="183">
        <f t="shared" si="0"/>
        <v>0.23189000000000001</v>
      </c>
      <c r="F14" s="275">
        <f>F17</f>
        <v>0.33344431232659533</v>
      </c>
      <c r="G14" s="183">
        <f t="shared" si="1"/>
        <v>0</v>
      </c>
      <c r="H14" s="275">
        <f t="shared" si="2"/>
        <v>0</v>
      </c>
      <c r="I14" s="285">
        <f t="shared" si="3"/>
        <v>0</v>
      </c>
      <c r="J14" s="285">
        <f t="shared" si="4"/>
        <v>0</v>
      </c>
      <c r="K14" s="285">
        <f t="shared" si="5"/>
        <v>0</v>
      </c>
      <c r="L14" s="285">
        <f t="shared" si="6"/>
        <v>0</v>
      </c>
      <c r="M14" s="285">
        <f t="shared" si="7"/>
        <v>0</v>
      </c>
      <c r="O14" s="277">
        <f t="shared" si="8"/>
        <v>107.09331625999999</v>
      </c>
    </row>
    <row r="15" spans="1:16" x14ac:dyDescent="0.25">
      <c r="A15" s="183" t="s">
        <v>1347</v>
      </c>
      <c r="B15" s="183">
        <f t="shared" si="0"/>
        <v>1.72E-2</v>
      </c>
      <c r="C15" s="183">
        <f t="shared" si="0"/>
        <v>1.958E-2</v>
      </c>
      <c r="D15" s="183">
        <f t="shared" si="0"/>
        <v>6.4769999999999994E-2</v>
      </c>
      <c r="E15" s="183">
        <f t="shared" si="0"/>
        <v>0.23189000000000001</v>
      </c>
      <c r="F15" s="275">
        <f>F17</f>
        <v>0.33344431232659533</v>
      </c>
      <c r="G15" s="183">
        <f t="shared" si="1"/>
        <v>0</v>
      </c>
      <c r="H15" s="275">
        <f t="shared" si="2"/>
        <v>0</v>
      </c>
      <c r="I15" s="285">
        <f t="shared" si="3"/>
        <v>0</v>
      </c>
      <c r="J15" s="285">
        <f t="shared" si="4"/>
        <v>0</v>
      </c>
      <c r="K15" s="285">
        <f t="shared" si="5"/>
        <v>0</v>
      </c>
      <c r="L15" s="285">
        <f t="shared" si="6"/>
        <v>0</v>
      </c>
      <c r="M15" s="285">
        <f t="shared" si="7"/>
        <v>0</v>
      </c>
      <c r="O15" s="277">
        <f t="shared" si="8"/>
        <v>107.09331625999999</v>
      </c>
    </row>
    <row r="16" spans="1:16" x14ac:dyDescent="0.25">
      <c r="A16" s="183" t="s">
        <v>1344</v>
      </c>
      <c r="B16" s="183">
        <f t="shared" si="0"/>
        <v>1.72E-2</v>
      </c>
      <c r="C16" s="183">
        <f t="shared" si="0"/>
        <v>1.958E-2</v>
      </c>
      <c r="D16" s="183">
        <f t="shared" si="0"/>
        <v>6.4769999999999994E-2</v>
      </c>
      <c r="E16" s="183">
        <f t="shared" si="0"/>
        <v>0.23189000000000001</v>
      </c>
      <c r="F16" s="275">
        <f>F17</f>
        <v>0.33344431232659533</v>
      </c>
      <c r="G16" s="183">
        <f t="shared" si="1"/>
        <v>0</v>
      </c>
      <c r="H16" s="275">
        <f t="shared" si="2"/>
        <v>0</v>
      </c>
      <c r="I16" s="285">
        <f t="shared" si="3"/>
        <v>0</v>
      </c>
      <c r="J16" s="285">
        <f t="shared" si="4"/>
        <v>0</v>
      </c>
      <c r="K16" s="285">
        <f t="shared" si="5"/>
        <v>0</v>
      </c>
      <c r="L16" s="285">
        <f t="shared" si="6"/>
        <v>0</v>
      </c>
      <c r="M16" s="285">
        <f t="shared" si="7"/>
        <v>0</v>
      </c>
      <c r="O16" s="277">
        <f t="shared" si="8"/>
        <v>107.09331625999999</v>
      </c>
    </row>
    <row r="17" spans="1:19" x14ac:dyDescent="0.25">
      <c r="A17" s="183" t="s">
        <v>1341</v>
      </c>
      <c r="B17" s="183">
        <f t="shared" si="0"/>
        <v>1.72E-2</v>
      </c>
      <c r="C17" s="183">
        <f t="shared" si="0"/>
        <v>1.958E-2</v>
      </c>
      <c r="D17" s="183">
        <f t="shared" si="0"/>
        <v>6.4769999999999994E-2</v>
      </c>
      <c r="E17" s="183">
        <f t="shared" si="0"/>
        <v>0.23189000000000001</v>
      </c>
      <c r="F17" s="304">
        <f>F20</f>
        <v>0.33344431232659533</v>
      </c>
      <c r="G17" s="183">
        <f t="shared" si="1"/>
        <v>0</v>
      </c>
      <c r="H17" s="275">
        <f t="shared" si="2"/>
        <v>0</v>
      </c>
      <c r="I17" s="285">
        <f t="shared" si="3"/>
        <v>0</v>
      </c>
      <c r="J17" s="285">
        <f t="shared" si="4"/>
        <v>0</v>
      </c>
      <c r="K17" s="285">
        <f t="shared" si="5"/>
        <v>0</v>
      </c>
      <c r="L17" s="285">
        <f t="shared" si="6"/>
        <v>0</v>
      </c>
      <c r="M17" s="285">
        <f t="shared" si="7"/>
        <v>0</v>
      </c>
      <c r="O17" s="277">
        <f t="shared" si="8"/>
        <v>107.09331625999999</v>
      </c>
    </row>
    <row r="18" spans="1:19" x14ac:dyDescent="0.25">
      <c r="A18" s="183" t="s">
        <v>1306</v>
      </c>
      <c r="B18" s="183">
        <f t="shared" si="0"/>
        <v>1.72E-2</v>
      </c>
      <c r="C18" s="183">
        <f t="shared" si="0"/>
        <v>1.958E-2</v>
      </c>
      <c r="D18" s="183">
        <f t="shared" si="0"/>
        <v>6.4769999999999994E-2</v>
      </c>
      <c r="E18" s="183">
        <f t="shared" si="0"/>
        <v>0.23189000000000001</v>
      </c>
      <c r="F18" s="275">
        <f>AA79/1000</f>
        <v>0.33344431232659533</v>
      </c>
      <c r="G18" s="183">
        <f t="shared" si="1"/>
        <v>33.200000000000003</v>
      </c>
      <c r="H18" s="275">
        <f t="shared" si="2"/>
        <v>11.070351169242965</v>
      </c>
      <c r="I18" s="285">
        <f t="shared" si="3"/>
        <v>62.825249760000013</v>
      </c>
      <c r="J18" s="285">
        <f t="shared" si="4"/>
        <v>73.293814000000012</v>
      </c>
      <c r="K18" s="285">
        <f t="shared" si="5"/>
        <v>372.43014261600001</v>
      </c>
      <c r="L18" s="285">
        <f t="shared" si="6"/>
        <v>3046.9488934560004</v>
      </c>
      <c r="M18" s="285">
        <f t="shared" si="7"/>
        <v>3555.4980998320007</v>
      </c>
      <c r="O18" s="277">
        <f t="shared" si="8"/>
        <v>107.09331625999999</v>
      </c>
      <c r="P18" s="183">
        <v>336</v>
      </c>
    </row>
    <row r="19" spans="1:19" x14ac:dyDescent="0.25">
      <c r="A19" s="183" t="s">
        <v>1310</v>
      </c>
      <c r="B19" s="183">
        <f t="shared" si="0"/>
        <v>1.72E-2</v>
      </c>
      <c r="C19" s="183">
        <f t="shared" si="0"/>
        <v>1.958E-2</v>
      </c>
      <c r="D19" s="183">
        <f t="shared" si="0"/>
        <v>6.4769999999999994E-2</v>
      </c>
      <c r="E19" s="183">
        <f t="shared" si="0"/>
        <v>0.23189000000000001</v>
      </c>
      <c r="F19" s="275">
        <f>F18</f>
        <v>0.33344431232659533</v>
      </c>
      <c r="G19" s="183">
        <f t="shared" si="1"/>
        <v>3.72</v>
      </c>
      <c r="H19" s="275">
        <f t="shared" si="2"/>
        <v>1.2404128418549347</v>
      </c>
      <c r="I19" s="285">
        <f t="shared" si="3"/>
        <v>7.0394556960000001</v>
      </c>
      <c r="J19" s="285">
        <f t="shared" si="4"/>
        <v>8.2124394000000009</v>
      </c>
      <c r="K19" s="285">
        <f t="shared" si="5"/>
        <v>41.730124413599995</v>
      </c>
      <c r="L19" s="285">
        <f t="shared" si="6"/>
        <v>341.40511697760007</v>
      </c>
      <c r="M19" s="285">
        <f t="shared" si="7"/>
        <v>398.38713648720005</v>
      </c>
      <c r="O19" s="277">
        <f t="shared" si="8"/>
        <v>107.09331625999999</v>
      </c>
      <c r="P19" s="183">
        <v>336</v>
      </c>
    </row>
    <row r="20" spans="1:19" x14ac:dyDescent="0.25">
      <c r="A20" s="183" t="s">
        <v>1287</v>
      </c>
      <c r="B20" s="183">
        <f t="shared" si="0"/>
        <v>1.72E-2</v>
      </c>
      <c r="C20" s="183">
        <f t="shared" si="0"/>
        <v>1.958E-2</v>
      </c>
      <c r="D20" s="183">
        <f t="shared" si="0"/>
        <v>6.4769999999999994E-2</v>
      </c>
      <c r="E20" s="183">
        <f t="shared" si="0"/>
        <v>0.23189000000000001</v>
      </c>
      <c r="F20" s="275">
        <f>F19</f>
        <v>0.33344431232659533</v>
      </c>
      <c r="G20" s="183">
        <f t="shared" si="1"/>
        <v>0.42</v>
      </c>
      <c r="H20" s="275">
        <f t="shared" si="2"/>
        <v>0.14004661117717004</v>
      </c>
      <c r="I20" s="285">
        <f t="shared" si="3"/>
        <v>0.79477725599999993</v>
      </c>
      <c r="J20" s="285">
        <f t="shared" si="4"/>
        <v>0.92721089999999995</v>
      </c>
      <c r="K20" s="285">
        <f t="shared" si="5"/>
        <v>4.7114656595999991</v>
      </c>
      <c r="L20" s="285">
        <f t="shared" si="6"/>
        <v>38.545739013599999</v>
      </c>
      <c r="M20" s="285">
        <f t="shared" si="7"/>
        <v>44.979192829199995</v>
      </c>
      <c r="O20" s="277">
        <f t="shared" si="8"/>
        <v>107.09331625999999</v>
      </c>
      <c r="P20" s="183">
        <v>150</v>
      </c>
    </row>
    <row r="21" spans="1:19" x14ac:dyDescent="0.25">
      <c r="A21" s="183" t="s">
        <v>1281</v>
      </c>
      <c r="B21" s="183">
        <f t="shared" si="0"/>
        <v>3.3279999999999997E-2</v>
      </c>
      <c r="C21" s="183">
        <f t="shared" si="0"/>
        <v>3.7879999999999997E-2</v>
      </c>
      <c r="D21" s="183">
        <f t="shared" si="0"/>
        <v>0.12533</v>
      </c>
      <c r="E21" s="183">
        <f t="shared" si="0"/>
        <v>0.44868000000000002</v>
      </c>
      <c r="F21" s="275">
        <f>AA73/1000</f>
        <v>0.64516129032258063</v>
      </c>
      <c r="G21" s="183">
        <f t="shared" si="1"/>
        <v>1.86</v>
      </c>
      <c r="H21" s="275">
        <f t="shared" si="2"/>
        <v>1.2</v>
      </c>
      <c r="I21" s="285">
        <f t="shared" si="3"/>
        <v>6.8102641151999999</v>
      </c>
      <c r="J21" s="285">
        <f t="shared" si="4"/>
        <v>7.9440042000000002</v>
      </c>
      <c r="K21" s="285">
        <f t="shared" si="5"/>
        <v>40.373911477199997</v>
      </c>
      <c r="L21" s="285">
        <f t="shared" si="6"/>
        <v>330.2894645856</v>
      </c>
      <c r="M21" s="285">
        <f t="shared" si="7"/>
        <v>385.41764437799998</v>
      </c>
      <c r="O21" s="277">
        <f t="shared" si="8"/>
        <v>207.21378730000001</v>
      </c>
      <c r="P21" s="183">
        <v>885</v>
      </c>
    </row>
    <row r="22" spans="1:19" x14ac:dyDescent="0.25">
      <c r="A22" s="183" t="s">
        <v>1278</v>
      </c>
      <c r="B22" s="183">
        <f t="shared" si="0"/>
        <v>1.72E-2</v>
      </c>
      <c r="C22" s="183">
        <f t="shared" si="0"/>
        <v>1.958E-2</v>
      </c>
      <c r="D22" s="183">
        <f t="shared" si="0"/>
        <v>6.4769999999999994E-2</v>
      </c>
      <c r="E22" s="183">
        <f t="shared" si="0"/>
        <v>0.23189000000000001</v>
      </c>
      <c r="F22" s="275">
        <f>F20</f>
        <v>0.33344431232659533</v>
      </c>
      <c r="G22" s="183">
        <f t="shared" si="1"/>
        <v>2.46</v>
      </c>
      <c r="H22" s="275">
        <f t="shared" si="2"/>
        <v>0.82027300832342454</v>
      </c>
      <c r="I22" s="285">
        <f t="shared" si="3"/>
        <v>4.6551239280000001</v>
      </c>
      <c r="J22" s="285">
        <f t="shared" si="4"/>
        <v>5.4308067000000007</v>
      </c>
      <c r="K22" s="285">
        <f t="shared" si="5"/>
        <v>27.595727434799993</v>
      </c>
      <c r="L22" s="285">
        <f t="shared" si="6"/>
        <v>225.76789993680001</v>
      </c>
      <c r="M22" s="285">
        <f t="shared" si="7"/>
        <v>263.44955799960002</v>
      </c>
      <c r="O22" s="277">
        <f t="shared" si="8"/>
        <v>107.09331625999999</v>
      </c>
      <c r="P22" s="183">
        <v>58</v>
      </c>
    </row>
    <row r="23" spans="1:19" x14ac:dyDescent="0.25">
      <c r="A23" s="280" t="s">
        <v>1551</v>
      </c>
      <c r="F23" s="301"/>
      <c r="G23" s="301">
        <f>SUM(G4:G22)-G7</f>
        <v>43.910000000000004</v>
      </c>
      <c r="H23" s="301">
        <f>SUM(H4:H22)</f>
        <v>15.221333333333332</v>
      </c>
      <c r="M23" s="300">
        <f>SUM(M4:M22)</f>
        <v>4888.6915931110007</v>
      </c>
      <c r="O23" s="277">
        <f t="shared" si="8"/>
        <v>0</v>
      </c>
    </row>
    <row r="24" spans="1:19" x14ac:dyDescent="0.25">
      <c r="A24" s="183" t="s">
        <v>1559</v>
      </c>
      <c r="B24" s="183">
        <f t="shared" ref="B24:E30" si="9">ROUND(B$3*$F24,5)</f>
        <v>1.474E-2</v>
      </c>
      <c r="C24" s="303">
        <f t="shared" si="9"/>
        <v>1.678E-2</v>
      </c>
      <c r="D24" s="183">
        <f t="shared" si="9"/>
        <v>5.5509999999999997E-2</v>
      </c>
      <c r="E24" s="183">
        <f t="shared" si="9"/>
        <v>0.19872999999999999</v>
      </c>
      <c r="F24" s="302">
        <f>H110</f>
        <v>0.28576111111111124</v>
      </c>
      <c r="G24" s="183">
        <f>H108</f>
        <v>34.200000000000003</v>
      </c>
      <c r="H24" s="301">
        <f>G24*F24</f>
        <v>9.7730300000000057</v>
      </c>
      <c r="I24" s="285">
        <f>B24*$G24*I$1</f>
        <v>55.461458052000005</v>
      </c>
      <c r="J24" s="285">
        <f>C24*$G24*J$1</f>
        <v>64.704519000000005</v>
      </c>
      <c r="K24" s="285">
        <f>D24*$G24*K$1</f>
        <v>328.798763748</v>
      </c>
      <c r="L24" s="285">
        <f>E24*$G24*L$1</f>
        <v>2689.8905189520001</v>
      </c>
      <c r="M24" s="300">
        <f>SUM(I24:L24)</f>
        <v>3138.8552597520002</v>
      </c>
      <c r="O24" s="277">
        <f t="shared" si="8"/>
        <v>91.779393559999988</v>
      </c>
      <c r="P24" s="183">
        <v>26</v>
      </c>
    </row>
    <row r="25" spans="1:19" x14ac:dyDescent="0.25">
      <c r="A25" s="183" t="s">
        <v>1558</v>
      </c>
      <c r="B25" s="183">
        <f t="shared" si="9"/>
        <v>0</v>
      </c>
      <c r="C25" s="183">
        <f t="shared" si="9"/>
        <v>0</v>
      </c>
      <c r="D25" s="183">
        <f t="shared" si="9"/>
        <v>0</v>
      </c>
      <c r="E25" s="183">
        <f t="shared" si="9"/>
        <v>0</v>
      </c>
      <c r="H25" s="299">
        <f>SUM(H26:H30)</f>
        <v>47.281333333333336</v>
      </c>
      <c r="M25" s="300">
        <f>SUM(M26:M30)</f>
        <v>15185.704393487013</v>
      </c>
      <c r="O25" s="277">
        <f t="shared" si="8"/>
        <v>0</v>
      </c>
    </row>
    <row r="26" spans="1:19" x14ac:dyDescent="0.25">
      <c r="A26" s="183" t="s">
        <v>1274</v>
      </c>
      <c r="B26" s="183">
        <f t="shared" si="9"/>
        <v>0.16136</v>
      </c>
      <c r="C26" s="183">
        <f t="shared" si="9"/>
        <v>0.18362999999999999</v>
      </c>
      <c r="D26" s="183">
        <f t="shared" si="9"/>
        <v>0.60758999999999996</v>
      </c>
      <c r="E26" s="183">
        <f t="shared" si="9"/>
        <v>2.1752199999999999</v>
      </c>
      <c r="F26" s="275">
        <f>L128</f>
        <v>3.1278004353864803</v>
      </c>
      <c r="G26" s="183">
        <f>H128</f>
        <v>10.6821</v>
      </c>
      <c r="H26" s="277">
        <f>F26*G26</f>
        <v>33.411477030841922</v>
      </c>
      <c r="I26" s="285">
        <f t="shared" ref="I26:L30" si="10">B26*$G26*I$1</f>
        <v>189.63575176946401</v>
      </c>
      <c r="J26" s="285">
        <f t="shared" si="10"/>
        <v>221.16521609325</v>
      </c>
      <c r="K26" s="285">
        <f t="shared" si="10"/>
        <v>1124.0874504519659</v>
      </c>
      <c r="L26" s="285">
        <f t="shared" si="10"/>
        <v>9196.1255653478638</v>
      </c>
      <c r="M26" s="285">
        <f>SUM(I26:L26)</f>
        <v>10731.013983662544</v>
      </c>
      <c r="O26" s="277">
        <f t="shared" si="8"/>
        <v>1004.57906064</v>
      </c>
      <c r="P26" s="183">
        <v>1466</v>
      </c>
    </row>
    <row r="27" spans="1:19" x14ac:dyDescent="0.25">
      <c r="A27" s="183" t="s">
        <v>1276</v>
      </c>
      <c r="B27" s="183">
        <f t="shared" si="9"/>
        <v>3.1989999999999998E-2</v>
      </c>
      <c r="C27" s="183">
        <f t="shared" si="9"/>
        <v>3.6400000000000002E-2</v>
      </c>
      <c r="D27" s="183">
        <f t="shared" si="9"/>
        <v>0.12044000000000001</v>
      </c>
      <c r="E27" s="183">
        <f t="shared" si="9"/>
        <v>0.43119000000000002</v>
      </c>
      <c r="F27" s="275">
        <f>L129</f>
        <v>0.62001747605244761</v>
      </c>
      <c r="G27" s="183">
        <f>H129</f>
        <v>0.91200000000000003</v>
      </c>
      <c r="H27" s="277">
        <f>F27*G27</f>
        <v>0.56545593815983219</v>
      </c>
      <c r="I27" s="285">
        <f t="shared" si="10"/>
        <v>3.20979112272</v>
      </c>
      <c r="J27" s="285">
        <f t="shared" si="10"/>
        <v>3.7429392000000008</v>
      </c>
      <c r="K27" s="285">
        <f t="shared" si="10"/>
        <v>19.02385064832</v>
      </c>
      <c r="L27" s="285">
        <f t="shared" si="10"/>
        <v>155.63547095616002</v>
      </c>
      <c r="M27" s="285">
        <f>SUM(I27:L27)</f>
        <v>181.61205192720001</v>
      </c>
      <c r="O27" s="277">
        <f t="shared" si="8"/>
        <v>199.13602184999999</v>
      </c>
      <c r="P27" s="183">
        <v>1466</v>
      </c>
    </row>
    <row r="28" spans="1:19" x14ac:dyDescent="0.25">
      <c r="A28" s="183" t="s">
        <v>1270</v>
      </c>
      <c r="B28" s="183">
        <f t="shared" si="9"/>
        <v>2.656E-2</v>
      </c>
      <c r="C28" s="183">
        <f t="shared" si="9"/>
        <v>3.023E-2</v>
      </c>
      <c r="D28" s="183">
        <f t="shared" si="9"/>
        <v>0.10002999999999999</v>
      </c>
      <c r="E28" s="183">
        <f t="shared" si="9"/>
        <v>0.35811999999999999</v>
      </c>
      <c r="F28" s="275">
        <f>L130</f>
        <v>0.51494477149444284</v>
      </c>
      <c r="G28" s="183">
        <f>H130</f>
        <v>18.776499999999999</v>
      </c>
      <c r="H28" s="277">
        <f>F28*G28</f>
        <v>9.6688605019654048</v>
      </c>
      <c r="I28" s="285">
        <f t="shared" si="10"/>
        <v>54.866897772959994</v>
      </c>
      <c r="J28" s="285">
        <f t="shared" si="10"/>
        <v>63.998432836249997</v>
      </c>
      <c r="K28" s="285">
        <f t="shared" si="10"/>
        <v>325.29527341422994</v>
      </c>
      <c r="L28" s="285">
        <f t="shared" si="10"/>
        <v>2661.2659845189601</v>
      </c>
      <c r="M28" s="285">
        <f>SUM(I28:L28)</f>
        <v>3105.4265885424002</v>
      </c>
      <c r="O28" s="277">
        <f t="shared" si="8"/>
        <v>165.3890016</v>
      </c>
      <c r="P28" s="183">
        <v>348</v>
      </c>
    </row>
    <row r="29" spans="1:19" x14ac:dyDescent="0.25">
      <c r="A29" s="183" t="s">
        <v>1275</v>
      </c>
      <c r="B29" s="183">
        <f t="shared" si="9"/>
        <v>2.8969999999999999E-2</v>
      </c>
      <c r="C29" s="183">
        <f t="shared" si="9"/>
        <v>3.2969999999999999E-2</v>
      </c>
      <c r="D29" s="183">
        <f t="shared" si="9"/>
        <v>0.1091</v>
      </c>
      <c r="E29" s="183">
        <f t="shared" si="9"/>
        <v>0.39056999999999997</v>
      </c>
      <c r="F29" s="275">
        <f>L131</f>
        <v>0.5616119685990032</v>
      </c>
      <c r="G29" s="183">
        <f>H131</f>
        <v>6.0609000000000002</v>
      </c>
      <c r="H29" s="277">
        <f>F29*G29</f>
        <v>3.4038739804816984</v>
      </c>
      <c r="I29" s="285">
        <f t="shared" si="10"/>
        <v>19.317606131187002</v>
      </c>
      <c r="J29" s="285">
        <f t="shared" si="10"/>
        <v>22.530592680749997</v>
      </c>
      <c r="K29" s="285">
        <f t="shared" si="10"/>
        <v>114.52352624286</v>
      </c>
      <c r="L29" s="285">
        <f t="shared" si="10"/>
        <v>936.87373944543583</v>
      </c>
      <c r="M29" s="285">
        <f>SUM(I29:L29)</f>
        <v>1093.2454645002329</v>
      </c>
      <c r="O29" s="277">
        <f t="shared" si="8"/>
        <v>180.37675336999999</v>
      </c>
      <c r="P29" s="183">
        <v>733</v>
      </c>
    </row>
    <row r="30" spans="1:19" x14ac:dyDescent="0.25">
      <c r="A30" s="183" t="s">
        <v>1273</v>
      </c>
      <c r="B30" s="183">
        <f t="shared" si="9"/>
        <v>2.6519999999999998E-2</v>
      </c>
      <c r="C30" s="183">
        <f t="shared" si="9"/>
        <v>3.0179999999999998E-2</v>
      </c>
      <c r="D30" s="183">
        <f t="shared" si="9"/>
        <v>9.9849999999999994E-2</v>
      </c>
      <c r="E30" s="183">
        <f t="shared" si="9"/>
        <v>0.35747000000000001</v>
      </c>
      <c r="F30" s="275">
        <f>L132</f>
        <v>0.51401349430770338</v>
      </c>
      <c r="G30" s="183">
        <f>H132</f>
        <v>0.45069999999999999</v>
      </c>
      <c r="H30" s="277">
        <f>F30*G30</f>
        <v>0.23166588188448189</v>
      </c>
      <c r="I30" s="285">
        <f t="shared" si="10"/>
        <v>1.3150091387159999</v>
      </c>
      <c r="J30" s="285">
        <f t="shared" si="10"/>
        <v>1.5336397064999998</v>
      </c>
      <c r="K30" s="285">
        <f t="shared" si="10"/>
        <v>7.794144799629998</v>
      </c>
      <c r="L30" s="285">
        <f t="shared" si="10"/>
        <v>63.763511209788</v>
      </c>
      <c r="M30" s="285">
        <f>SUM(I30:L30)</f>
        <v>74.406304854634001</v>
      </c>
      <c r="O30" s="277">
        <f t="shared" si="8"/>
        <v>165.09053661999999</v>
      </c>
      <c r="P30" s="183">
        <v>733</v>
      </c>
    </row>
    <row r="31" spans="1:19" x14ac:dyDescent="0.25">
      <c r="A31" s="280" t="s">
        <v>116</v>
      </c>
      <c r="B31" s="183">
        <f>SUMPRODUCT(B4:B30,$G4:$G30)</f>
        <v>3.7283480130000002</v>
      </c>
      <c r="C31" s="183">
        <f>SUMPRODUCT(C4:C30,$G4:$G30)</f>
        <v>4.2434662170000008</v>
      </c>
      <c r="D31" s="183">
        <f>SUMPRODUCT(D4:D30,$G4:$G30)</f>
        <v>14.039772598999997</v>
      </c>
      <c r="E31" s="183">
        <f>SUMPRODUCT(E4:E30,$G4:$G30)</f>
        <v>50.263805763999997</v>
      </c>
      <c r="H31" s="298">
        <f>SUM(H23:H25)</f>
        <v>72.275696666666676</v>
      </c>
      <c r="I31" s="280"/>
      <c r="J31" s="280"/>
      <c r="K31" s="280"/>
      <c r="L31" s="280"/>
      <c r="M31" s="300">
        <f>SUM(M23:M25)</f>
        <v>23213.251246350013</v>
      </c>
    </row>
    <row r="32" spans="1:19" x14ac:dyDescent="0.25">
      <c r="A32" s="183" t="s">
        <v>1557</v>
      </c>
      <c r="H32" s="285">
        <f>H88</f>
        <v>72.316029999999998</v>
      </c>
      <c r="M32" s="288">
        <f>'From SAM'!V32*1000</f>
        <v>23198</v>
      </c>
      <c r="R32" s="277"/>
      <c r="S32" s="277"/>
    </row>
    <row r="35" spans="1:19" x14ac:dyDescent="0.25">
      <c r="I35" s="183" t="s">
        <v>1556</v>
      </c>
    </row>
    <row r="36" spans="1:19" x14ac:dyDescent="0.25">
      <c r="P36" s="183" t="s">
        <v>1555</v>
      </c>
      <c r="R36" s="288"/>
      <c r="S36" s="288"/>
    </row>
    <row r="37" spans="1:19" x14ac:dyDescent="0.25">
      <c r="Q37" s="183" t="s">
        <v>1554</v>
      </c>
      <c r="R37" s="183" t="s">
        <v>1553</v>
      </c>
      <c r="S37" s="183" t="s">
        <v>1552</v>
      </c>
    </row>
    <row r="38" spans="1:19" x14ac:dyDescent="0.25">
      <c r="P38" s="280" t="s">
        <v>1551</v>
      </c>
      <c r="Q38" s="298">
        <f>H23</f>
        <v>15.221333333333332</v>
      </c>
      <c r="R38" s="298">
        <f>G23</f>
        <v>43.910000000000004</v>
      </c>
      <c r="S38" s="299">
        <f t="shared" ref="S38:S46" si="11">Q38/R38</f>
        <v>0.34664844758217561</v>
      </c>
    </row>
    <row r="39" spans="1:19" x14ac:dyDescent="0.25">
      <c r="A39" s="183" t="s">
        <v>1550</v>
      </c>
      <c r="B39" s="183" t="s">
        <v>1549</v>
      </c>
      <c r="P39" s="183" t="s">
        <v>968</v>
      </c>
      <c r="Q39" s="285">
        <f>Z73/1000</f>
        <v>1.2</v>
      </c>
      <c r="R39" s="285">
        <f>G21</f>
        <v>1.86</v>
      </c>
      <c r="S39" s="277">
        <f t="shared" si="11"/>
        <v>0.64516129032258063</v>
      </c>
    </row>
    <row r="40" spans="1:19" x14ac:dyDescent="0.25">
      <c r="A40" s="183" t="s">
        <v>1306</v>
      </c>
      <c r="B40" s="183">
        <v>33.200000000000003</v>
      </c>
      <c r="P40" s="183" t="s">
        <v>1548</v>
      </c>
      <c r="Q40" s="285">
        <f>Q38-Q39</f>
        <v>14.021333333333333</v>
      </c>
      <c r="R40" s="285">
        <f>R38-R39</f>
        <v>42.050000000000004</v>
      </c>
      <c r="S40" s="277">
        <f t="shared" si="11"/>
        <v>0.33344431232659527</v>
      </c>
    </row>
    <row r="41" spans="1:19" x14ac:dyDescent="0.25">
      <c r="A41" s="183" t="s">
        <v>1310</v>
      </c>
      <c r="B41" s="183">
        <v>3.72</v>
      </c>
      <c r="P41" s="280" t="s">
        <v>1547</v>
      </c>
      <c r="Q41" s="298">
        <f>H24</f>
        <v>9.7730300000000057</v>
      </c>
      <c r="R41" s="298">
        <f>G24</f>
        <v>34.200000000000003</v>
      </c>
      <c r="S41" s="299">
        <f t="shared" si="11"/>
        <v>0.28576111111111124</v>
      </c>
    </row>
    <row r="42" spans="1:19" x14ac:dyDescent="0.25">
      <c r="A42" s="183" t="s">
        <v>1287</v>
      </c>
      <c r="B42" s="183">
        <v>0.42</v>
      </c>
      <c r="P42" s="280" t="s">
        <v>1546</v>
      </c>
      <c r="Q42" s="298">
        <f>H25</f>
        <v>47.281333333333336</v>
      </c>
      <c r="R42" s="298">
        <f>SUM(G26:G30)</f>
        <v>36.882199999999997</v>
      </c>
      <c r="S42" s="299">
        <f t="shared" si="11"/>
        <v>1.281955342504876</v>
      </c>
    </row>
    <row r="43" spans="1:19" x14ac:dyDescent="0.25">
      <c r="A43" s="183" t="s">
        <v>1431</v>
      </c>
      <c r="B43" s="183">
        <v>0.67</v>
      </c>
      <c r="P43" s="183" t="s">
        <v>1545</v>
      </c>
      <c r="Q43" s="285">
        <f>H26</f>
        <v>33.411477030841922</v>
      </c>
      <c r="R43" s="285">
        <f>G26</f>
        <v>10.6821</v>
      </c>
      <c r="S43" s="277">
        <f t="shared" si="11"/>
        <v>3.1278004353864803</v>
      </c>
    </row>
    <row r="44" spans="1:19" x14ac:dyDescent="0.25">
      <c r="A44" s="183" t="s">
        <v>1284</v>
      </c>
      <c r="B44" s="183">
        <v>1.5</v>
      </c>
      <c r="P44" s="183" t="s">
        <v>1544</v>
      </c>
      <c r="Q44" s="285">
        <f>H29</f>
        <v>3.4038739804816984</v>
      </c>
      <c r="R44" s="285">
        <f>G29</f>
        <v>6.0609000000000002</v>
      </c>
      <c r="S44" s="277">
        <f t="shared" si="11"/>
        <v>0.5616119685990032</v>
      </c>
    </row>
    <row r="45" spans="1:19" x14ac:dyDescent="0.25">
      <c r="A45" s="183" t="s">
        <v>1281</v>
      </c>
      <c r="B45" s="183">
        <v>1.86</v>
      </c>
      <c r="P45" s="183" t="s">
        <v>1543</v>
      </c>
      <c r="Q45" s="285">
        <f>H28</f>
        <v>9.6688605019654048</v>
      </c>
      <c r="R45" s="285">
        <f>G28</f>
        <v>18.776499999999999</v>
      </c>
      <c r="S45" s="277">
        <f t="shared" si="11"/>
        <v>0.51494477149444284</v>
      </c>
    </row>
    <row r="46" spans="1:19" x14ac:dyDescent="0.25">
      <c r="A46" s="183" t="s">
        <v>1278</v>
      </c>
      <c r="B46" s="183">
        <v>2.46</v>
      </c>
      <c r="P46" s="183" t="s">
        <v>1542</v>
      </c>
      <c r="Q46" s="285">
        <f>Q42-SUM(Q43:Q45)</f>
        <v>0.79712182004431043</v>
      </c>
      <c r="R46" s="285">
        <f>R42-SUM(R43:R45)</f>
        <v>1.3626999999999967</v>
      </c>
      <c r="S46" s="277">
        <f t="shared" si="11"/>
        <v>0.58495767230080897</v>
      </c>
    </row>
    <row r="47" spans="1:19" x14ac:dyDescent="0.25">
      <c r="A47" s="183" t="s">
        <v>1438</v>
      </c>
      <c r="B47" s="183">
        <v>1.58</v>
      </c>
      <c r="L47" s="285"/>
      <c r="M47" s="292"/>
      <c r="O47" s="288"/>
      <c r="P47" s="280" t="s">
        <v>1541</v>
      </c>
      <c r="Q47" s="298">
        <f>Q38+Q41+Q42</f>
        <v>72.275696666666676</v>
      </c>
      <c r="R47" s="298"/>
      <c r="S47" s="277"/>
    </row>
    <row r="48" spans="1:19" x14ac:dyDescent="0.25">
      <c r="L48" s="285"/>
      <c r="M48" s="292"/>
      <c r="O48" s="288"/>
    </row>
    <row r="49" spans="6:31" ht="45" x14ac:dyDescent="0.25">
      <c r="F49" s="279" t="s">
        <v>1540</v>
      </c>
      <c r="G49" s="279" t="s">
        <v>1539</v>
      </c>
      <c r="H49" s="279" t="s">
        <v>1538</v>
      </c>
      <c r="I49" s="279" t="s">
        <v>124</v>
      </c>
      <c r="J49" s="279" t="s">
        <v>1537</v>
      </c>
      <c r="K49" s="279" t="s">
        <v>163</v>
      </c>
      <c r="L49" s="279" t="s">
        <v>1536</v>
      </c>
      <c r="M49" s="279" t="s">
        <v>160</v>
      </c>
      <c r="N49" s="279" t="s">
        <v>1535</v>
      </c>
      <c r="O49" s="279" t="s">
        <v>1534</v>
      </c>
      <c r="P49" s="279" t="s">
        <v>1533</v>
      </c>
      <c r="Q49" s="279" t="s">
        <v>1532</v>
      </c>
      <c r="W49" s="279" t="s">
        <v>1531</v>
      </c>
      <c r="X49" s="279" t="s">
        <v>1530</v>
      </c>
      <c r="Y49" s="279" t="s">
        <v>124</v>
      </c>
      <c r="Z49" s="279" t="str">
        <f>L49</f>
        <v>Annual O&amp;M Jobs/GW</v>
      </c>
      <c r="AA49" s="279" t="s">
        <v>160</v>
      </c>
      <c r="AB49" s="279" t="s">
        <v>139</v>
      </c>
      <c r="AC49" s="279" t="s">
        <v>1529</v>
      </c>
      <c r="AD49" s="279" t="s">
        <v>1528</v>
      </c>
    </row>
    <row r="50" spans="6:31" x14ac:dyDescent="0.25">
      <c r="F50" s="183">
        <v>1</v>
      </c>
      <c r="G50" s="183" t="s">
        <v>1521</v>
      </c>
      <c r="H50" s="183">
        <v>6117</v>
      </c>
      <c r="I50" s="183">
        <v>632</v>
      </c>
      <c r="J50" s="297">
        <f t="shared" ref="J50:J58" si="12">H50/I50*1000</f>
        <v>9678.7974683544307</v>
      </c>
      <c r="K50" s="183">
        <v>25</v>
      </c>
      <c r="L50" s="285">
        <f t="shared" ref="L50:L58" si="13">J50/K50</f>
        <v>387.15189873417722</v>
      </c>
      <c r="M50" s="292">
        <v>0.28000000000000003</v>
      </c>
      <c r="N50" s="183">
        <f t="shared" ref="N50:N58" si="14">I50*M50*8.76/1000</f>
        <v>1.5501696</v>
      </c>
      <c r="O50" s="288">
        <f t="shared" ref="O50:O58" si="15">H50/K50/N50</f>
        <v>157.84079367831751</v>
      </c>
      <c r="P50" s="285">
        <f t="shared" ref="P50:P58" si="16">N50*K50</f>
        <v>38.754240000000003</v>
      </c>
      <c r="Q50" s="288">
        <f t="shared" ref="Q50:Q58" si="17">H50/P50</f>
        <v>157.84079367831751</v>
      </c>
      <c r="S50" s="183">
        <v>1</v>
      </c>
      <c r="T50" s="183" t="s">
        <v>458</v>
      </c>
      <c r="V50" s="183">
        <v>1</v>
      </c>
      <c r="W50" s="183" t="str">
        <f t="shared" ref="W50:W62" si="18">INDEX($T$50:$T$79,V50*2-1)</f>
        <v>Arnot</v>
      </c>
      <c r="X50" s="183">
        <f t="shared" ref="X50:X62" si="19">SUMIF($S$50:$S$79,V50,$T$50:$T$79)</f>
        <v>677</v>
      </c>
      <c r="Y50" s="183">
        <f>INDEX($T$81:$T$111,MATCH(W50,$S$81:$S$111,0))</f>
        <v>2220</v>
      </c>
      <c r="Z50" s="288">
        <f t="shared" ref="Z50:Z62" si="20">X50/Y50*1000</f>
        <v>304.95495495495493</v>
      </c>
      <c r="AA50" s="292">
        <v>0.75</v>
      </c>
      <c r="AB50" s="285">
        <f t="shared" ref="AB50:AB62" si="21">Y50*8.76*AA50/1000</f>
        <v>14.585400000000002</v>
      </c>
      <c r="AC50" s="285">
        <f t="shared" ref="AC50:AC62" si="22">X50/AB50</f>
        <v>46.416279292991618</v>
      </c>
    </row>
    <row r="51" spans="6:31" x14ac:dyDescent="0.25">
      <c r="F51" s="183">
        <v>2</v>
      </c>
      <c r="G51" s="183" t="s">
        <v>1521</v>
      </c>
      <c r="H51" s="183">
        <v>3809</v>
      </c>
      <c r="I51" s="183">
        <v>417</v>
      </c>
      <c r="J51" s="297">
        <f t="shared" si="12"/>
        <v>9134.2925659472421</v>
      </c>
      <c r="K51" s="183">
        <f>K50</f>
        <v>25</v>
      </c>
      <c r="L51" s="285">
        <f t="shared" si="13"/>
        <v>365.37170263788971</v>
      </c>
      <c r="M51" s="292">
        <v>0.28000000000000003</v>
      </c>
      <c r="N51" s="183">
        <f t="shared" si="14"/>
        <v>1.0228176</v>
      </c>
      <c r="O51" s="288">
        <f t="shared" si="15"/>
        <v>148.96106598087479</v>
      </c>
      <c r="P51" s="285">
        <f t="shared" si="16"/>
        <v>25.570440000000001</v>
      </c>
      <c r="Q51" s="288">
        <f t="shared" si="17"/>
        <v>148.96106598087479</v>
      </c>
      <c r="S51" s="183">
        <v>1</v>
      </c>
      <c r="T51" s="183">
        <v>677</v>
      </c>
      <c r="V51" s="183">
        <v>2</v>
      </c>
      <c r="W51" s="183" t="str">
        <f t="shared" si="18"/>
        <v>Camden</v>
      </c>
      <c r="X51" s="183">
        <f t="shared" si="19"/>
        <v>324</v>
      </c>
      <c r="Y51" s="183">
        <f>INDEX($T$81:$T$111,MATCH(W51,$S$81:$S$111,0))</f>
        <v>1520</v>
      </c>
      <c r="Z51" s="288">
        <f t="shared" si="20"/>
        <v>213.15789473684211</v>
      </c>
      <c r="AA51" s="292">
        <v>0.75</v>
      </c>
      <c r="AB51" s="285">
        <f t="shared" si="21"/>
        <v>9.9863999999999997</v>
      </c>
      <c r="AC51" s="285">
        <f t="shared" si="22"/>
        <v>32.444124008651769</v>
      </c>
    </row>
    <row r="52" spans="6:31" x14ac:dyDescent="0.25">
      <c r="F52" s="183">
        <v>3</v>
      </c>
      <c r="G52" s="183" t="s">
        <v>1521</v>
      </c>
      <c r="H52" s="183">
        <v>7513</v>
      </c>
      <c r="I52" s="183">
        <v>435</v>
      </c>
      <c r="J52" s="297">
        <f t="shared" si="12"/>
        <v>17271.264367816089</v>
      </c>
      <c r="K52" s="183">
        <f>K51</f>
        <v>25</v>
      </c>
      <c r="L52" s="285">
        <f t="shared" si="13"/>
        <v>690.85057471264361</v>
      </c>
      <c r="M52" s="292">
        <v>0.28000000000000003</v>
      </c>
      <c r="N52" s="183">
        <f t="shared" si="14"/>
        <v>1.0669680000000001</v>
      </c>
      <c r="O52" s="288">
        <f t="shared" si="15"/>
        <v>281.65793163431323</v>
      </c>
      <c r="P52" s="285">
        <f t="shared" si="16"/>
        <v>26.674200000000003</v>
      </c>
      <c r="Q52" s="288">
        <f t="shared" si="17"/>
        <v>281.65793163431329</v>
      </c>
      <c r="S52" s="183">
        <f t="shared" ref="S52:S79" si="23">S50+1</f>
        <v>2</v>
      </c>
      <c r="T52" s="183" t="s">
        <v>514</v>
      </c>
      <c r="V52" s="183">
        <v>3</v>
      </c>
      <c r="W52" s="183" t="str">
        <f t="shared" si="18"/>
        <v>Duvha</v>
      </c>
      <c r="X52" s="183">
        <f t="shared" si="19"/>
        <v>696</v>
      </c>
      <c r="Y52" s="183">
        <f>INDEX($T$81:$T$111,MATCH(W52,$S$81:$S$111,0))</f>
        <v>3480</v>
      </c>
      <c r="Z52" s="288">
        <f t="shared" si="20"/>
        <v>200</v>
      </c>
      <c r="AA52" s="292">
        <v>0.75</v>
      </c>
      <c r="AB52" s="285">
        <f t="shared" si="21"/>
        <v>22.863599999999998</v>
      </c>
      <c r="AC52" s="285">
        <f t="shared" si="22"/>
        <v>30.441400304414007</v>
      </c>
    </row>
    <row r="53" spans="6:31" x14ac:dyDescent="0.25">
      <c r="F53" s="183">
        <v>1</v>
      </c>
      <c r="G53" s="183" t="s">
        <v>253</v>
      </c>
      <c r="H53" s="183">
        <v>2461</v>
      </c>
      <c r="I53" s="183">
        <v>634</v>
      </c>
      <c r="J53" s="297">
        <f t="shared" si="12"/>
        <v>3881.7034700315457</v>
      </c>
      <c r="K53" s="183">
        <v>20</v>
      </c>
      <c r="L53" s="285">
        <f t="shared" si="13"/>
        <v>194.08517350157729</v>
      </c>
      <c r="M53" s="292">
        <v>0.36370000000000002</v>
      </c>
      <c r="N53" s="183">
        <f t="shared" si="14"/>
        <v>2.0199316080000003</v>
      </c>
      <c r="O53" s="288">
        <f t="shared" si="15"/>
        <v>60.917904107573122</v>
      </c>
      <c r="P53" s="285">
        <f t="shared" si="16"/>
        <v>40.398632160000005</v>
      </c>
      <c r="Q53" s="288">
        <f t="shared" si="17"/>
        <v>60.917904107573122</v>
      </c>
      <c r="S53" s="183">
        <f t="shared" si="23"/>
        <v>2</v>
      </c>
      <c r="T53" s="183">
        <v>324</v>
      </c>
      <c r="V53" s="183">
        <v>4</v>
      </c>
      <c r="W53" s="183" t="str">
        <f t="shared" si="18"/>
        <v>Grootvlei</v>
      </c>
      <c r="X53" s="183">
        <f t="shared" si="19"/>
        <v>427</v>
      </c>
      <c r="Y53" s="183">
        <v>1080</v>
      </c>
      <c r="Z53" s="288">
        <f t="shared" si="20"/>
        <v>395.37037037037038</v>
      </c>
      <c r="AA53" s="292">
        <v>0.75</v>
      </c>
      <c r="AB53" s="285">
        <f t="shared" si="21"/>
        <v>7.0955999999999992</v>
      </c>
      <c r="AC53" s="285">
        <f t="shared" si="22"/>
        <v>60.178138564744359</v>
      </c>
    </row>
    <row r="54" spans="6:31" x14ac:dyDescent="0.25">
      <c r="F54" s="183">
        <v>2</v>
      </c>
      <c r="G54" s="183" t="s">
        <v>253</v>
      </c>
      <c r="H54" s="183">
        <v>2238</v>
      </c>
      <c r="I54" s="183">
        <v>563</v>
      </c>
      <c r="J54" s="297">
        <f t="shared" si="12"/>
        <v>3975.1332149200712</v>
      </c>
      <c r="K54" s="183">
        <f>K53</f>
        <v>20</v>
      </c>
      <c r="L54" s="285">
        <f t="shared" si="13"/>
        <v>198.75666074600355</v>
      </c>
      <c r="M54" s="292">
        <f>M53</f>
        <v>0.36370000000000002</v>
      </c>
      <c r="N54" s="183">
        <f t="shared" si="14"/>
        <v>1.793724756</v>
      </c>
      <c r="O54" s="288">
        <f t="shared" si="15"/>
        <v>62.384153212857818</v>
      </c>
      <c r="P54" s="285">
        <f t="shared" si="16"/>
        <v>35.874495119999999</v>
      </c>
      <c r="Q54" s="288">
        <f t="shared" si="17"/>
        <v>62.384153212857818</v>
      </c>
      <c r="S54" s="183">
        <f t="shared" si="23"/>
        <v>3</v>
      </c>
      <c r="T54" s="183" t="s">
        <v>508</v>
      </c>
      <c r="V54" s="183">
        <v>5</v>
      </c>
      <c r="W54" s="183" t="str">
        <f t="shared" si="18"/>
        <v>Hendrina</v>
      </c>
      <c r="X54" s="183">
        <f t="shared" si="19"/>
        <v>644</v>
      </c>
      <c r="Y54" s="183">
        <f>INDEX($T$81:$T$111,MATCH(W54,$S$81:$S$111,0))</f>
        <v>1900</v>
      </c>
      <c r="Z54" s="288">
        <f t="shared" si="20"/>
        <v>338.9473684210526</v>
      </c>
      <c r="AA54" s="292">
        <v>0.75</v>
      </c>
      <c r="AB54" s="285">
        <f t="shared" si="21"/>
        <v>12.483000000000001</v>
      </c>
      <c r="AC54" s="285">
        <f t="shared" si="22"/>
        <v>51.590162621164779</v>
      </c>
    </row>
    <row r="55" spans="6:31" x14ac:dyDescent="0.25">
      <c r="F55" s="183">
        <v>3</v>
      </c>
      <c r="G55" s="183" t="s">
        <v>253</v>
      </c>
      <c r="H55" s="183">
        <v>8506</v>
      </c>
      <c r="I55" s="183">
        <v>787</v>
      </c>
      <c r="J55" s="297">
        <f t="shared" si="12"/>
        <v>10808.132147395172</v>
      </c>
      <c r="K55" s="183">
        <f>K54</f>
        <v>20</v>
      </c>
      <c r="L55" s="285">
        <f t="shared" si="13"/>
        <v>540.4066073697586</v>
      </c>
      <c r="M55" s="292">
        <f>M54</f>
        <v>0.36370000000000002</v>
      </c>
      <c r="N55" s="183">
        <f t="shared" si="14"/>
        <v>2.507391444</v>
      </c>
      <c r="O55" s="288">
        <f t="shared" si="15"/>
        <v>169.61850971363529</v>
      </c>
      <c r="P55" s="285">
        <f t="shared" si="16"/>
        <v>50.147828879999999</v>
      </c>
      <c r="Q55" s="288">
        <f t="shared" si="17"/>
        <v>169.61850971363529</v>
      </c>
      <c r="S55" s="183">
        <f t="shared" si="23"/>
        <v>3</v>
      </c>
      <c r="T55" s="183">
        <v>696</v>
      </c>
      <c r="V55" s="183">
        <v>6</v>
      </c>
      <c r="W55" s="183" t="str">
        <f t="shared" si="18"/>
        <v>Kendal</v>
      </c>
      <c r="X55" s="183">
        <f t="shared" si="19"/>
        <v>668</v>
      </c>
      <c r="Y55" s="183">
        <f>INDEX($T$81:$T$111,MATCH(W55,$S$81:$S$111,0))</f>
        <v>3840</v>
      </c>
      <c r="Z55" s="288">
        <f t="shared" si="20"/>
        <v>173.95833333333331</v>
      </c>
      <c r="AA55" s="292">
        <v>0.75</v>
      </c>
      <c r="AB55" s="285">
        <f t="shared" si="21"/>
        <v>25.228800000000003</v>
      </c>
      <c r="AC55" s="285">
        <f t="shared" si="22"/>
        <v>26.477676306443428</v>
      </c>
    </row>
    <row r="56" spans="6:31" x14ac:dyDescent="0.25">
      <c r="F56" s="183">
        <v>1</v>
      </c>
      <c r="G56" s="183" t="s">
        <v>1228</v>
      </c>
      <c r="H56" s="183">
        <v>1382</v>
      </c>
      <c r="I56" s="183">
        <v>150</v>
      </c>
      <c r="J56" s="297">
        <f t="shared" si="12"/>
        <v>9213.3333333333321</v>
      </c>
      <c r="K56" s="183">
        <v>30</v>
      </c>
      <c r="L56" s="285">
        <f t="shared" si="13"/>
        <v>307.11111111111109</v>
      </c>
      <c r="M56" s="292">
        <v>0.4</v>
      </c>
      <c r="N56" s="183">
        <f t="shared" si="14"/>
        <v>0.52560000000000007</v>
      </c>
      <c r="O56" s="288">
        <f t="shared" si="15"/>
        <v>87.645865043125312</v>
      </c>
      <c r="P56" s="285">
        <f t="shared" si="16"/>
        <v>15.768000000000002</v>
      </c>
      <c r="Q56" s="288">
        <f t="shared" si="17"/>
        <v>87.645865043125298</v>
      </c>
      <c r="S56" s="183">
        <f t="shared" si="23"/>
        <v>4</v>
      </c>
      <c r="T56" s="183" t="s">
        <v>447</v>
      </c>
      <c r="V56" s="183">
        <v>7</v>
      </c>
      <c r="W56" s="183" t="str">
        <f t="shared" si="18"/>
        <v>Komati</v>
      </c>
      <c r="X56" s="183">
        <f t="shared" si="19"/>
        <v>331</v>
      </c>
      <c r="Y56" s="183">
        <v>900</v>
      </c>
      <c r="Z56" s="288">
        <f t="shared" si="20"/>
        <v>367.77777777777777</v>
      </c>
      <c r="AA56" s="292">
        <v>0.75</v>
      </c>
      <c r="AB56" s="285">
        <f t="shared" si="21"/>
        <v>5.9130000000000003</v>
      </c>
      <c r="AC56" s="285">
        <f t="shared" si="22"/>
        <v>55.97835278200575</v>
      </c>
    </row>
    <row r="57" spans="6:31" x14ac:dyDescent="0.25">
      <c r="F57" s="183">
        <v>2</v>
      </c>
      <c r="G57" s="183" t="s">
        <v>1228</v>
      </c>
      <c r="H57" s="183">
        <v>1180</v>
      </c>
      <c r="I57" s="183">
        <v>50</v>
      </c>
      <c r="J57" s="297">
        <f t="shared" si="12"/>
        <v>23600</v>
      </c>
      <c r="K57" s="183">
        <v>30</v>
      </c>
      <c r="L57" s="285">
        <f t="shared" si="13"/>
        <v>786.66666666666663</v>
      </c>
      <c r="M57" s="292">
        <f>M56</f>
        <v>0.4</v>
      </c>
      <c r="N57" s="183">
        <f t="shared" si="14"/>
        <v>0.17519999999999999</v>
      </c>
      <c r="O57" s="288">
        <f t="shared" si="15"/>
        <v>224.50532724505328</v>
      </c>
      <c r="P57" s="285">
        <f t="shared" si="16"/>
        <v>5.2560000000000002</v>
      </c>
      <c r="Q57" s="288">
        <f t="shared" si="17"/>
        <v>224.50532724505325</v>
      </c>
      <c r="S57" s="183">
        <f t="shared" si="23"/>
        <v>4</v>
      </c>
      <c r="T57" s="183">
        <v>427</v>
      </c>
      <c r="V57" s="183">
        <v>8</v>
      </c>
      <c r="W57" s="183" t="str">
        <f t="shared" si="18"/>
        <v>Kriel</v>
      </c>
      <c r="X57" s="183">
        <f t="shared" si="19"/>
        <v>701</v>
      </c>
      <c r="Y57" s="183">
        <f>INDEX($T$81:$T$111,MATCH(W57,$S$81:$S$111,0))</f>
        <v>2880</v>
      </c>
      <c r="Z57" s="288">
        <f t="shared" si="20"/>
        <v>243.40277777777777</v>
      </c>
      <c r="AA57" s="292">
        <v>0.75</v>
      </c>
      <c r="AB57" s="285">
        <f t="shared" si="21"/>
        <v>18.921599999999998</v>
      </c>
      <c r="AC57" s="285">
        <f t="shared" si="22"/>
        <v>37.047606967698293</v>
      </c>
    </row>
    <row r="58" spans="6:31" x14ac:dyDescent="0.25">
      <c r="F58" s="183">
        <v>3</v>
      </c>
      <c r="G58" s="183" t="s">
        <v>1228</v>
      </c>
      <c r="H58" s="183">
        <v>1730</v>
      </c>
      <c r="I58" s="183">
        <v>200</v>
      </c>
      <c r="J58" s="297">
        <f t="shared" si="12"/>
        <v>8650</v>
      </c>
      <c r="K58" s="183">
        <v>30</v>
      </c>
      <c r="L58" s="285">
        <f t="shared" si="13"/>
        <v>288.33333333333331</v>
      </c>
      <c r="M58" s="292">
        <f>M57</f>
        <v>0.4</v>
      </c>
      <c r="N58" s="183">
        <f t="shared" si="14"/>
        <v>0.70079999999999998</v>
      </c>
      <c r="O58" s="288">
        <f t="shared" si="15"/>
        <v>82.286910197869105</v>
      </c>
      <c r="P58" s="285">
        <f t="shared" si="16"/>
        <v>21.024000000000001</v>
      </c>
      <c r="Q58" s="288">
        <f t="shared" si="17"/>
        <v>82.286910197869105</v>
      </c>
      <c r="S58" s="183">
        <f t="shared" si="23"/>
        <v>5</v>
      </c>
      <c r="T58" s="183" t="s">
        <v>451</v>
      </c>
      <c r="V58" s="183">
        <v>10</v>
      </c>
      <c r="W58" s="183" t="str">
        <f t="shared" si="18"/>
        <v>Lethabo</v>
      </c>
      <c r="X58" s="183">
        <f t="shared" si="19"/>
        <v>628</v>
      </c>
      <c r="Y58" s="183">
        <f>INDEX($T$81:$T$111,MATCH(W58,$S$81:$S$111,0))</f>
        <v>3540</v>
      </c>
      <c r="Z58" s="288">
        <f t="shared" si="20"/>
        <v>177.40112994350281</v>
      </c>
      <c r="AA58" s="292">
        <v>0.75</v>
      </c>
      <c r="AB58" s="285">
        <f t="shared" si="21"/>
        <v>23.2578</v>
      </c>
      <c r="AC58" s="285">
        <f t="shared" si="22"/>
        <v>27.001694055327675</v>
      </c>
    </row>
    <row r="59" spans="6:31" x14ac:dyDescent="0.25">
      <c r="S59" s="183">
        <f t="shared" si="23"/>
        <v>5</v>
      </c>
      <c r="T59" s="183">
        <v>644</v>
      </c>
      <c r="V59" s="183">
        <v>11</v>
      </c>
      <c r="W59" s="183" t="str">
        <f t="shared" si="18"/>
        <v>Majuba</v>
      </c>
      <c r="X59" s="183">
        <f t="shared" si="19"/>
        <v>508</v>
      </c>
      <c r="Y59" s="296">
        <f>T90+T91</f>
        <v>3840</v>
      </c>
      <c r="Z59" s="288">
        <f t="shared" si="20"/>
        <v>132.29166666666666</v>
      </c>
      <c r="AA59" s="292">
        <v>0.75</v>
      </c>
      <c r="AB59" s="285">
        <f t="shared" si="21"/>
        <v>25.228800000000003</v>
      </c>
      <c r="AC59" s="285">
        <f t="shared" si="22"/>
        <v>20.135717909690509</v>
      </c>
    </row>
    <row r="60" spans="6:31" x14ac:dyDescent="0.25">
      <c r="G60" s="183" t="s">
        <v>1527</v>
      </c>
      <c r="J60" s="293">
        <f>AVERAGE(J50:J51)</f>
        <v>9406.5450171508364</v>
      </c>
      <c r="L60" s="295">
        <f>AVERAGE(L50:L51)</f>
        <v>376.26180068603344</v>
      </c>
      <c r="O60" s="288">
        <f>AVERAGE(O50:O51)</f>
        <v>153.40092982959615</v>
      </c>
      <c r="S60" s="183">
        <f t="shared" si="23"/>
        <v>6</v>
      </c>
      <c r="T60" s="183" t="s">
        <v>497</v>
      </c>
      <c r="V60" s="183">
        <v>12</v>
      </c>
      <c r="W60" s="183" t="str">
        <f t="shared" si="18"/>
        <v>Matimba</v>
      </c>
      <c r="X60" s="183">
        <f t="shared" si="19"/>
        <v>476</v>
      </c>
      <c r="Y60" s="183">
        <f>INDEX($T$81:$T$111,MATCH(W60,$S$81:$S$111,0))</f>
        <v>3720</v>
      </c>
      <c r="Z60" s="288">
        <f t="shared" si="20"/>
        <v>127.95698924731182</v>
      </c>
      <c r="AA60" s="292">
        <v>0.75</v>
      </c>
      <c r="AB60" s="285">
        <f t="shared" si="21"/>
        <v>24.4404</v>
      </c>
      <c r="AC60" s="285">
        <f t="shared" si="22"/>
        <v>19.475949657125089</v>
      </c>
    </row>
    <row r="61" spans="6:31" x14ac:dyDescent="0.25">
      <c r="G61" s="183" t="s">
        <v>1526</v>
      </c>
      <c r="J61" s="293">
        <f>AVERAGE(J53:J55)</f>
        <v>6221.6562774489294</v>
      </c>
      <c r="L61" s="295">
        <f>AVERAGE(L53:L55)</f>
        <v>311.08281387244648</v>
      </c>
      <c r="O61" s="288">
        <f>AVERAGE(O53:O55)</f>
        <v>97.640189011355417</v>
      </c>
      <c r="S61" s="183">
        <f t="shared" si="23"/>
        <v>6</v>
      </c>
      <c r="T61" s="183">
        <v>668</v>
      </c>
      <c r="V61" s="183">
        <v>13</v>
      </c>
      <c r="W61" s="183" t="str">
        <f t="shared" si="18"/>
        <v>Matla</v>
      </c>
      <c r="X61" s="183">
        <f t="shared" si="19"/>
        <v>659</v>
      </c>
      <c r="Y61" s="183">
        <f>INDEX($T$81:$T$111,MATCH(W61,$S$81:$S$111,0))</f>
        <v>3480</v>
      </c>
      <c r="Z61" s="288">
        <f t="shared" si="20"/>
        <v>189.36781609195401</v>
      </c>
      <c r="AA61" s="292">
        <v>0.75</v>
      </c>
      <c r="AB61" s="285">
        <f t="shared" si="21"/>
        <v>22.863599999999998</v>
      </c>
      <c r="AC61" s="285">
        <f t="shared" si="22"/>
        <v>28.823107472139124</v>
      </c>
    </row>
    <row r="62" spans="6:31" x14ac:dyDescent="0.25">
      <c r="G62" s="183" t="s">
        <v>1525</v>
      </c>
      <c r="J62" s="293">
        <f>AVERAGE(J56:J58)</f>
        <v>13821.111111111109</v>
      </c>
      <c r="L62" s="294">
        <f>AVERAGE(L56:L58)</f>
        <v>460.7037037037037</v>
      </c>
      <c r="O62" s="293">
        <f>AVERAGE(O56:O58)</f>
        <v>131.47936749534924</v>
      </c>
      <c r="S62" s="183">
        <f t="shared" si="23"/>
        <v>7</v>
      </c>
      <c r="T62" s="183" t="s">
        <v>448</v>
      </c>
      <c r="V62" s="183">
        <v>15</v>
      </c>
      <c r="W62" s="183" t="str">
        <f t="shared" si="18"/>
        <v>Tutuka</v>
      </c>
      <c r="X62" s="183">
        <f t="shared" si="19"/>
        <v>649</v>
      </c>
      <c r="Y62" s="183">
        <f>INDEX($T$81:$T$111,MATCH(W62,$S$81:$S$111,0))</f>
        <v>3540</v>
      </c>
      <c r="Z62" s="288">
        <f t="shared" si="20"/>
        <v>183.33333333333331</v>
      </c>
      <c r="AA62" s="292">
        <v>0.75</v>
      </c>
      <c r="AB62" s="285">
        <f t="shared" si="21"/>
        <v>23.2578</v>
      </c>
      <c r="AC62" s="285">
        <f t="shared" si="22"/>
        <v>27.904616945712835</v>
      </c>
    </row>
    <row r="63" spans="6:31" x14ac:dyDescent="0.25">
      <c r="S63" s="183">
        <f t="shared" si="23"/>
        <v>7</v>
      </c>
      <c r="T63" s="183">
        <v>331</v>
      </c>
      <c r="W63" s="183" t="s">
        <v>1524</v>
      </c>
      <c r="Z63" s="288">
        <f>SUM(X50:X62)/SUM(Y50:Y62)*1000</f>
        <v>205.56483027267669</v>
      </c>
      <c r="AC63" s="288">
        <f>SUM(X50:X62)/SUM(AB50:AB62)</f>
        <v>31.288406434197366</v>
      </c>
    </row>
    <row r="64" spans="6:31" x14ac:dyDescent="0.25">
      <c r="F64" s="280" t="s">
        <v>158</v>
      </c>
      <c r="S64" s="183">
        <f t="shared" si="23"/>
        <v>8</v>
      </c>
      <c r="T64" s="183" t="s">
        <v>452</v>
      </c>
      <c r="AE64" s="291" t="s">
        <v>1523</v>
      </c>
    </row>
    <row r="65" spans="5:31" x14ac:dyDescent="0.25">
      <c r="G65" s="377" t="s">
        <v>1513</v>
      </c>
      <c r="H65" s="377"/>
      <c r="I65" s="377"/>
      <c r="J65" s="377"/>
      <c r="K65" s="377" t="s">
        <v>1522</v>
      </c>
      <c r="L65" s="377"/>
      <c r="M65" s="377"/>
      <c r="N65" s="377"/>
      <c r="S65" s="183">
        <f t="shared" si="23"/>
        <v>8</v>
      </c>
      <c r="T65" s="183">
        <v>701</v>
      </c>
      <c r="W65" s="183" t="s">
        <v>586</v>
      </c>
      <c r="X65" s="183">
        <v>1200</v>
      </c>
      <c r="Y65" s="183">
        <v>1860</v>
      </c>
      <c r="Z65" s="288">
        <f>X65/Y65*1000</f>
        <v>645.16129032258061</v>
      </c>
      <c r="AA65" s="292">
        <v>0.8</v>
      </c>
      <c r="AB65" s="285">
        <f>Y65*8.76*AA65/1000</f>
        <v>13.034880000000001</v>
      </c>
      <c r="AC65" s="285">
        <f>X65/AB65</f>
        <v>92.060686404477821</v>
      </c>
    </row>
    <row r="66" spans="5:31" x14ac:dyDescent="0.25">
      <c r="G66" s="183" t="s">
        <v>1521</v>
      </c>
      <c r="H66" s="183" t="s">
        <v>253</v>
      </c>
      <c r="I66" s="183" t="s">
        <v>146</v>
      </c>
      <c r="J66" s="183" t="s">
        <v>968</v>
      </c>
      <c r="K66" s="183" t="s">
        <v>1521</v>
      </c>
      <c r="L66" s="183" t="s">
        <v>253</v>
      </c>
      <c r="M66" s="183" t="s">
        <v>146</v>
      </c>
      <c r="N66" s="183" t="s">
        <v>968</v>
      </c>
      <c r="S66" s="183">
        <f t="shared" si="23"/>
        <v>9</v>
      </c>
      <c r="T66" s="183" t="s">
        <v>559</v>
      </c>
    </row>
    <row r="67" spans="5:31" x14ac:dyDescent="0.25">
      <c r="F67" s="183" t="s">
        <v>1520</v>
      </c>
      <c r="G67" s="288">
        <f>AVERAGE(Q50:Q51)</f>
        <v>153.40092982959615</v>
      </c>
      <c r="H67" s="288">
        <f>AVERAGE(Q53:Q54)</f>
        <v>61.651028660215474</v>
      </c>
      <c r="K67" s="288">
        <f>L60</f>
        <v>376.26180068603344</v>
      </c>
      <c r="L67" s="288">
        <f>AVERAGE(L53:L54)</f>
        <v>196.42091712379042</v>
      </c>
      <c r="S67" s="183">
        <f t="shared" si="23"/>
        <v>9</v>
      </c>
      <c r="T67" s="183">
        <v>247</v>
      </c>
    </row>
    <row r="68" spans="5:31" x14ac:dyDescent="0.25">
      <c r="F68" s="183" t="s">
        <v>1519</v>
      </c>
      <c r="G68" s="288">
        <f>Q52</f>
        <v>281.65793163431329</v>
      </c>
      <c r="H68" s="288">
        <f>Q55</f>
        <v>169.61850971363529</v>
      </c>
      <c r="K68" s="288">
        <f>L52</f>
        <v>690.85057471264361</v>
      </c>
      <c r="L68" s="288">
        <f>L55</f>
        <v>540.4066073697586</v>
      </c>
      <c r="S68" s="183">
        <f t="shared" si="23"/>
        <v>10</v>
      </c>
      <c r="T68" s="183" t="s">
        <v>483</v>
      </c>
      <c r="AE68" s="291" t="s">
        <v>1518</v>
      </c>
    </row>
    <row r="69" spans="5:31" x14ac:dyDescent="0.25">
      <c r="F69" s="183" t="s">
        <v>1517</v>
      </c>
      <c r="G69" s="183">
        <v>107</v>
      </c>
      <c r="H69" s="183">
        <v>127</v>
      </c>
      <c r="I69" s="183">
        <v>28</v>
      </c>
      <c r="J69" s="183">
        <v>60</v>
      </c>
      <c r="K69" s="288">
        <f>G69*K67/G67</f>
        <v>262.44960000000003</v>
      </c>
      <c r="L69" s="288">
        <f>H69*L67/H67</f>
        <v>404.62352400000003</v>
      </c>
      <c r="M69" s="288">
        <f>M72/I72*I69</f>
        <v>183.95999999999998</v>
      </c>
      <c r="N69" s="288">
        <f>N72/J72*J69</f>
        <v>420.48000000000008</v>
      </c>
      <c r="S69" s="183">
        <f t="shared" si="23"/>
        <v>10</v>
      </c>
      <c r="T69" s="183">
        <v>628</v>
      </c>
    </row>
    <row r="70" spans="5:31" x14ac:dyDescent="0.25">
      <c r="F70" s="183" t="s">
        <v>1516</v>
      </c>
      <c r="G70" s="288">
        <f>K70*G67/K67</f>
        <v>43.793038821952514</v>
      </c>
      <c r="H70" s="288">
        <f>L70*H67/L67</f>
        <v>21.522496903298855</v>
      </c>
      <c r="J70" s="288"/>
      <c r="K70" s="288">
        <v>107.41556562248512</v>
      </c>
      <c r="L70" s="288">
        <v>68.570933403872985</v>
      </c>
      <c r="S70" s="183">
        <f t="shared" si="23"/>
        <v>11</v>
      </c>
      <c r="T70" s="183" t="s">
        <v>449</v>
      </c>
      <c r="Y70" s="183" t="s">
        <v>157</v>
      </c>
      <c r="Z70" s="183" t="s">
        <v>1515</v>
      </c>
      <c r="AA70" s="183" t="s">
        <v>1514</v>
      </c>
      <c r="AC70" s="183" t="s">
        <v>1513</v>
      </c>
    </row>
    <row r="71" spans="5:31" x14ac:dyDescent="0.25">
      <c r="F71" s="183" t="s">
        <v>530</v>
      </c>
      <c r="I71" s="285">
        <f>AVERAGE(AC50:AC62)</f>
        <v>35.685755914469944</v>
      </c>
      <c r="J71" s="285">
        <f>AC65</f>
        <v>92.060686404477821</v>
      </c>
      <c r="M71" s="288">
        <f>Z63</f>
        <v>205.56483027267669</v>
      </c>
      <c r="N71" s="288">
        <f>AA73</f>
        <v>645.16129032258061</v>
      </c>
      <c r="S71" s="183">
        <f t="shared" si="23"/>
        <v>11</v>
      </c>
      <c r="T71" s="183">
        <v>508</v>
      </c>
      <c r="W71" s="183" t="s">
        <v>1512</v>
      </c>
      <c r="Y71" s="183">
        <v>35.840000000000003</v>
      </c>
      <c r="Z71" s="183">
        <f>SUM(X50:X62)</f>
        <v>7388</v>
      </c>
      <c r="AA71" s="288">
        <f>Z71/Y71</f>
        <v>206.13839285714283</v>
      </c>
      <c r="AB71" s="183" t="s">
        <v>1511</v>
      </c>
    </row>
    <row r="72" spans="5:31" x14ac:dyDescent="0.25">
      <c r="F72" s="183" t="s">
        <v>1475</v>
      </c>
      <c r="G72" s="288">
        <f>O60</f>
        <v>153.40092982959615</v>
      </c>
      <c r="H72" s="288">
        <f>O61</f>
        <v>97.640189011355417</v>
      </c>
      <c r="I72" s="285">
        <f>AC79</f>
        <v>50.752558953819687</v>
      </c>
      <c r="J72" s="285">
        <f>J71</f>
        <v>92.060686404477821</v>
      </c>
      <c r="K72" s="288">
        <f>L60</f>
        <v>376.26180068603344</v>
      </c>
      <c r="L72" s="288">
        <f>L61</f>
        <v>311.08281387244648</v>
      </c>
      <c r="M72" s="288">
        <f>AA79</f>
        <v>333.44431232659531</v>
      </c>
      <c r="N72" s="288">
        <f>N71</f>
        <v>645.16129032258061</v>
      </c>
      <c r="S72" s="183">
        <f t="shared" si="23"/>
        <v>12</v>
      </c>
      <c r="T72" s="183" t="s">
        <v>476</v>
      </c>
      <c r="W72" s="183" t="s">
        <v>1431</v>
      </c>
      <c r="Y72" s="183">
        <v>0.67</v>
      </c>
      <c r="AA72" s="288">
        <f>Z72/Y72</f>
        <v>0</v>
      </c>
    </row>
    <row r="73" spans="5:31" x14ac:dyDescent="0.25">
      <c r="S73" s="183">
        <f t="shared" si="23"/>
        <v>12</v>
      </c>
      <c r="T73" s="183">
        <v>476</v>
      </c>
      <c r="W73" s="183" t="s">
        <v>1281</v>
      </c>
      <c r="Y73" s="183">
        <v>1.86</v>
      </c>
      <c r="Z73" s="183">
        <f>X65</f>
        <v>1200</v>
      </c>
      <c r="AA73" s="290">
        <f>Z73/Y73</f>
        <v>645.16129032258061</v>
      </c>
    </row>
    <row r="74" spans="5:31" x14ac:dyDescent="0.25">
      <c r="S74" s="183">
        <f t="shared" si="23"/>
        <v>13</v>
      </c>
      <c r="T74" s="183" t="s">
        <v>455</v>
      </c>
      <c r="W74" s="183" t="s">
        <v>1278</v>
      </c>
      <c r="Y74" s="183">
        <v>2.46</v>
      </c>
      <c r="AA74" s="288">
        <f>Z74/Y74</f>
        <v>0</v>
      </c>
    </row>
    <row r="75" spans="5:31" x14ac:dyDescent="0.25">
      <c r="S75" s="183">
        <f t="shared" si="23"/>
        <v>13</v>
      </c>
      <c r="T75" s="183">
        <v>659</v>
      </c>
      <c r="W75" s="183" t="s">
        <v>1438</v>
      </c>
      <c r="Y75" s="183">
        <v>1.58</v>
      </c>
      <c r="AA75" s="288">
        <f>Z75/Y75</f>
        <v>0</v>
      </c>
    </row>
    <row r="76" spans="5:31" x14ac:dyDescent="0.25">
      <c r="S76" s="183">
        <f t="shared" si="23"/>
        <v>14</v>
      </c>
      <c r="T76" s="183" t="s">
        <v>468</v>
      </c>
      <c r="Y76" s="183">
        <f>SUM(Y71:Y75)</f>
        <v>42.410000000000004</v>
      </c>
      <c r="AA76" s="288"/>
    </row>
    <row r="77" spans="5:31" x14ac:dyDescent="0.25">
      <c r="S77" s="183">
        <f t="shared" si="23"/>
        <v>14</v>
      </c>
      <c r="T77" s="183">
        <v>293</v>
      </c>
      <c r="Y77" s="183" t="s">
        <v>157</v>
      </c>
      <c r="Z77" s="183" t="s">
        <v>1510</v>
      </c>
    </row>
    <row r="78" spans="5:31" x14ac:dyDescent="0.25">
      <c r="S78" s="183">
        <f t="shared" si="23"/>
        <v>15</v>
      </c>
      <c r="T78" s="183" t="s">
        <v>460</v>
      </c>
      <c r="W78" s="183" t="s">
        <v>1509</v>
      </c>
      <c r="Y78" s="275">
        <f>G23</f>
        <v>43.910000000000004</v>
      </c>
      <c r="Z78" s="183">
        <f>F104*1000</f>
        <v>15221.333333333334</v>
      </c>
      <c r="AA78" s="288"/>
    </row>
    <row r="79" spans="5:31" x14ac:dyDescent="0.25">
      <c r="S79" s="183">
        <f t="shared" si="23"/>
        <v>15</v>
      </c>
      <c r="T79" s="183">
        <v>649</v>
      </c>
      <c r="W79" s="183" t="s">
        <v>1508</v>
      </c>
      <c r="Y79" s="275">
        <f>Y78-Y73</f>
        <v>42.050000000000004</v>
      </c>
      <c r="Z79" s="183">
        <f>Z78-Z73</f>
        <v>14021.333333333334</v>
      </c>
      <c r="AA79" s="290">
        <f>Z79/Y79</f>
        <v>333.44431232659531</v>
      </c>
      <c r="AB79" s="183" t="s">
        <v>1507</v>
      </c>
      <c r="AC79" s="183">
        <f>AC63/Z63*AA79</f>
        <v>50.752558953819687</v>
      </c>
    </row>
    <row r="80" spans="5:31" x14ac:dyDescent="0.25">
      <c r="E80" s="183" t="s">
        <v>1506</v>
      </c>
    </row>
    <row r="81" spans="5:20" x14ac:dyDescent="0.25">
      <c r="E81" s="183" t="s">
        <v>1505</v>
      </c>
      <c r="S81" s="282" t="s">
        <v>322</v>
      </c>
      <c r="T81" s="287">
        <v>1520</v>
      </c>
    </row>
    <row r="82" spans="5:20" x14ac:dyDescent="0.25">
      <c r="H82" s="183">
        <v>2012</v>
      </c>
      <c r="S82" s="282" t="s">
        <v>320</v>
      </c>
      <c r="T82" s="287">
        <v>360</v>
      </c>
    </row>
    <row r="83" spans="5:20" x14ac:dyDescent="0.25">
      <c r="E83" s="183" t="s">
        <v>1504</v>
      </c>
      <c r="F83" s="183" t="s">
        <v>1500</v>
      </c>
      <c r="G83" s="183" t="s">
        <v>1499</v>
      </c>
      <c r="H83" s="183">
        <v>3.730645</v>
      </c>
      <c r="S83" s="282" t="s">
        <v>318</v>
      </c>
      <c r="T83" s="287">
        <v>200</v>
      </c>
    </row>
    <row r="84" spans="5:20" x14ac:dyDescent="0.25">
      <c r="E84" s="183" t="s">
        <v>1503</v>
      </c>
      <c r="F84" s="183" t="s">
        <v>1500</v>
      </c>
      <c r="G84" s="183" t="s">
        <v>1499</v>
      </c>
      <c r="H84" s="183">
        <v>4.2457479999999999</v>
      </c>
      <c r="S84" s="282" t="s">
        <v>316</v>
      </c>
      <c r="T84" s="287">
        <v>2220</v>
      </c>
    </row>
    <row r="85" spans="5:20" x14ac:dyDescent="0.25">
      <c r="E85" s="183" t="s">
        <v>1502</v>
      </c>
      <c r="F85" s="183" t="s">
        <v>1500</v>
      </c>
      <c r="G85" s="183" t="s">
        <v>1499</v>
      </c>
      <c r="H85" s="183">
        <v>14.047689</v>
      </c>
      <c r="S85" s="282" t="s">
        <v>314</v>
      </c>
      <c r="T85" s="287">
        <v>3480</v>
      </c>
    </row>
    <row r="86" spans="5:20" x14ac:dyDescent="0.25">
      <c r="E86" s="183" t="s">
        <v>1501</v>
      </c>
      <c r="F86" s="183" t="s">
        <v>1500</v>
      </c>
      <c r="G86" s="183" t="s">
        <v>1499</v>
      </c>
      <c r="H86" s="183">
        <v>50.291947999999998</v>
      </c>
      <c r="S86" s="282" t="s">
        <v>312</v>
      </c>
      <c r="T86" s="287">
        <v>1900</v>
      </c>
    </row>
    <row r="87" spans="5:20" x14ac:dyDescent="0.25">
      <c r="S87" s="282" t="s">
        <v>310</v>
      </c>
      <c r="T87" s="287">
        <v>3840</v>
      </c>
    </row>
    <row r="88" spans="5:20" x14ac:dyDescent="0.25">
      <c r="E88" s="183" t="s">
        <v>116</v>
      </c>
      <c r="H88" s="285">
        <f>SUM(H83:H86)</f>
        <v>72.316029999999998</v>
      </c>
      <c r="S88" s="282" t="s">
        <v>308</v>
      </c>
      <c r="T88" s="287">
        <v>2880</v>
      </c>
    </row>
    <row r="89" spans="5:20" x14ac:dyDescent="0.25">
      <c r="E89" s="183" t="s">
        <v>1498</v>
      </c>
      <c r="H89" s="183">
        <v>44</v>
      </c>
      <c r="S89" s="282" t="s">
        <v>306</v>
      </c>
      <c r="T89" s="287">
        <v>3540</v>
      </c>
    </row>
    <row r="90" spans="5:20" x14ac:dyDescent="0.25">
      <c r="E90" s="183" t="s">
        <v>1497</v>
      </c>
      <c r="H90" s="288">
        <f>H88-H89</f>
        <v>28.316029999999998</v>
      </c>
      <c r="S90" s="282" t="s">
        <v>304</v>
      </c>
      <c r="T90" s="287">
        <v>1830</v>
      </c>
    </row>
    <row r="91" spans="5:20" x14ac:dyDescent="0.25">
      <c r="E91" s="183" t="s">
        <v>1496</v>
      </c>
      <c r="H91" s="288">
        <f>H90</f>
        <v>28.316029999999998</v>
      </c>
      <c r="S91" s="282" t="s">
        <v>302</v>
      </c>
      <c r="T91" s="287">
        <v>2010</v>
      </c>
    </row>
    <row r="92" spans="5:20" x14ac:dyDescent="0.25">
      <c r="S92" s="282" t="s">
        <v>300</v>
      </c>
      <c r="T92" s="289">
        <v>3720</v>
      </c>
    </row>
    <row r="93" spans="5:20" x14ac:dyDescent="0.25">
      <c r="E93" s="183" t="s">
        <v>1495</v>
      </c>
      <c r="H93" s="288">
        <f>H89-H91</f>
        <v>15.683970000000002</v>
      </c>
      <c r="S93" s="282" t="s">
        <v>298</v>
      </c>
      <c r="T93" s="287">
        <v>3480</v>
      </c>
    </row>
    <row r="94" spans="5:20" x14ac:dyDescent="0.25">
      <c r="E94" s="183" t="s">
        <v>1488</v>
      </c>
      <c r="H94" s="285">
        <f>SUM(X50:X65)/1000</f>
        <v>8.5879999999999992</v>
      </c>
      <c r="S94" s="282" t="s">
        <v>296</v>
      </c>
      <c r="T94" s="289">
        <v>3540</v>
      </c>
    </row>
    <row r="95" spans="5:20" x14ac:dyDescent="0.25">
      <c r="E95" s="183" t="s">
        <v>1494</v>
      </c>
      <c r="H95" s="288">
        <f>H93-H94</f>
        <v>7.095970000000003</v>
      </c>
      <c r="S95" s="282" t="s">
        <v>1493</v>
      </c>
      <c r="T95" s="287">
        <v>50</v>
      </c>
    </row>
    <row r="96" spans="5:20" x14ac:dyDescent="0.25">
      <c r="S96" s="282" t="s">
        <v>294</v>
      </c>
      <c r="T96" s="287">
        <v>160</v>
      </c>
    </row>
    <row r="97" spans="5:20" x14ac:dyDescent="0.25">
      <c r="S97" s="282" t="s">
        <v>1492</v>
      </c>
      <c r="T97" s="287">
        <v>90</v>
      </c>
    </row>
    <row r="98" spans="5:20" x14ac:dyDescent="0.25">
      <c r="E98" s="183" t="s">
        <v>1491</v>
      </c>
      <c r="I98" s="183" t="s">
        <v>1490</v>
      </c>
      <c r="S98" s="282" t="s">
        <v>1489</v>
      </c>
      <c r="T98" s="287">
        <v>180</v>
      </c>
    </row>
    <row r="99" spans="5:20" x14ac:dyDescent="0.25">
      <c r="F99" s="183" t="s">
        <v>1488</v>
      </c>
      <c r="G99" s="183" t="s">
        <v>129</v>
      </c>
      <c r="H99" s="183" t="s">
        <v>1487</v>
      </c>
      <c r="I99" s="183" t="s">
        <v>1486</v>
      </c>
      <c r="J99" s="183" t="s">
        <v>1485</v>
      </c>
      <c r="K99" s="183" t="s">
        <v>1484</v>
      </c>
      <c r="L99" s="183" t="s">
        <v>1483</v>
      </c>
      <c r="M99" s="183" t="s">
        <v>1482</v>
      </c>
      <c r="N99" s="183" t="s">
        <v>116</v>
      </c>
      <c r="S99" s="282" t="s">
        <v>1481</v>
      </c>
      <c r="T99" s="287">
        <v>150</v>
      </c>
    </row>
    <row r="100" spans="5:20" x14ac:dyDescent="0.25">
      <c r="E100" s="183" t="s">
        <v>1480</v>
      </c>
      <c r="F100" s="183">
        <v>10.106999999999999</v>
      </c>
      <c r="G100" s="183">
        <v>2.0049999999999999</v>
      </c>
      <c r="I100" s="183">
        <v>2.1349999999999998</v>
      </c>
      <c r="J100" s="183">
        <v>1.889</v>
      </c>
      <c r="K100" s="183">
        <v>5.1639999999999997</v>
      </c>
      <c r="L100" s="183">
        <v>1.4410000000000001</v>
      </c>
      <c r="M100" s="183">
        <v>10.507999999999999</v>
      </c>
      <c r="N100" s="183">
        <f>SUM(F100:M100)</f>
        <v>33.248999999999995</v>
      </c>
      <c r="S100" s="282" t="s">
        <v>1479</v>
      </c>
      <c r="T100" s="287">
        <v>500</v>
      </c>
    </row>
    <row r="101" spans="5:20" x14ac:dyDescent="0.25">
      <c r="E101" s="183" t="s">
        <v>1478</v>
      </c>
      <c r="F101" s="183">
        <v>12.42</v>
      </c>
      <c r="G101" s="183">
        <v>1.67</v>
      </c>
      <c r="I101" s="183">
        <f>44-F101-G101-M101</f>
        <v>7.8299999999999983</v>
      </c>
      <c r="M101" s="183">
        <v>22.08</v>
      </c>
      <c r="N101" s="183">
        <f>SUM(F101:M101)</f>
        <v>44</v>
      </c>
      <c r="S101" s="282" t="s">
        <v>292</v>
      </c>
      <c r="T101" s="282">
        <v>180</v>
      </c>
    </row>
    <row r="102" spans="5:20" x14ac:dyDescent="0.25">
      <c r="E102" s="183" t="s">
        <v>1477</v>
      </c>
      <c r="F102" s="183">
        <v>1.08</v>
      </c>
      <c r="I102" s="285">
        <f>H88-68.6</f>
        <v>3.7160300000000035</v>
      </c>
      <c r="M102" s="183">
        <v>23.48</v>
      </c>
      <c r="N102" s="183">
        <f>SUM(F102:M102)</f>
        <v>28.276030000000006</v>
      </c>
      <c r="S102" s="282" t="s">
        <v>292</v>
      </c>
      <c r="T102" s="282">
        <v>1350</v>
      </c>
    </row>
    <row r="103" spans="5:20" x14ac:dyDescent="0.25">
      <c r="E103" s="183" t="s">
        <v>1476</v>
      </c>
      <c r="F103" s="277">
        <f>F101+F102</f>
        <v>13.5</v>
      </c>
      <c r="G103" s="183">
        <f>G101+G102</f>
        <v>1.67</v>
      </c>
      <c r="I103" s="183">
        <f>I101+I102</f>
        <v>11.546030000000002</v>
      </c>
      <c r="M103" s="183">
        <f>M101+M102</f>
        <v>45.56</v>
      </c>
      <c r="N103" s="285">
        <f>N101+N102</f>
        <v>72.276030000000006</v>
      </c>
      <c r="S103" s="282" t="s">
        <v>292</v>
      </c>
      <c r="T103" s="282">
        <v>750</v>
      </c>
    </row>
    <row r="104" spans="5:20" x14ac:dyDescent="0.25">
      <c r="E104" s="183" t="s">
        <v>1475</v>
      </c>
      <c r="F104" s="275">
        <f>F103+K100/3</f>
        <v>15.221333333333334</v>
      </c>
      <c r="H104" s="275">
        <f>N103-62.503</f>
        <v>9.7730300000000057</v>
      </c>
      <c r="M104" s="275">
        <f>M103+K100/3</f>
        <v>47.281333333333336</v>
      </c>
      <c r="N104" s="275">
        <f>SUM(F104:M104)</f>
        <v>72.275696666666676</v>
      </c>
      <c r="S104" s="282" t="s">
        <v>292</v>
      </c>
      <c r="T104" s="282">
        <v>180</v>
      </c>
    </row>
    <row r="105" spans="5:20" x14ac:dyDescent="0.25">
      <c r="F105" s="278">
        <f>F104/$N$104</f>
        <v>0.21060099086327264</v>
      </c>
      <c r="H105" s="278">
        <f>M104/$N$104</f>
        <v>0.65418025026300908</v>
      </c>
      <c r="M105" s="286">
        <f>H104/$N$104</f>
        <v>0.13521875887371829</v>
      </c>
      <c r="S105" s="282" t="s">
        <v>288</v>
      </c>
      <c r="T105" s="282">
        <v>1500</v>
      </c>
    </row>
    <row r="106" spans="5:20" x14ac:dyDescent="0.25">
      <c r="E106" s="183" t="s">
        <v>1474</v>
      </c>
      <c r="F106" s="278"/>
      <c r="G106" s="278"/>
      <c r="H106" s="285">
        <v>40.991365439999996</v>
      </c>
      <c r="S106" s="282"/>
      <c r="T106" s="282"/>
    </row>
    <row r="107" spans="5:20" x14ac:dyDescent="0.25">
      <c r="F107" s="278"/>
      <c r="G107" s="278"/>
      <c r="H107" s="278"/>
      <c r="S107" s="282"/>
      <c r="T107" s="282"/>
    </row>
    <row r="108" spans="5:20" x14ac:dyDescent="0.25">
      <c r="E108" s="183" t="s">
        <v>1473</v>
      </c>
      <c r="G108" s="183" t="s">
        <v>157</v>
      </c>
      <c r="H108" s="183">
        <f>ElecBY!F77</f>
        <v>34.200000000000003</v>
      </c>
      <c r="S108" s="282" t="s">
        <v>1469</v>
      </c>
      <c r="T108" s="282">
        <v>65</v>
      </c>
    </row>
    <row r="109" spans="5:20" x14ac:dyDescent="0.25">
      <c r="E109" s="183" t="s">
        <v>1472</v>
      </c>
      <c r="G109" s="284" t="s">
        <v>1471</v>
      </c>
      <c r="H109" s="183">
        <f>G103/H108</f>
        <v>4.8830409356725141E-2</v>
      </c>
      <c r="S109" s="282" t="s">
        <v>1469</v>
      </c>
      <c r="T109" s="282">
        <v>360</v>
      </c>
    </row>
    <row r="110" spans="5:20" x14ac:dyDescent="0.25">
      <c r="E110" s="183" t="s">
        <v>1470</v>
      </c>
      <c r="H110" s="283">
        <f>H104/H108</f>
        <v>0.28576111111111124</v>
      </c>
      <c r="S110" s="282" t="s">
        <v>1469</v>
      </c>
      <c r="T110" s="282">
        <v>240</v>
      </c>
    </row>
    <row r="111" spans="5:20" x14ac:dyDescent="0.25">
      <c r="S111" s="282" t="s">
        <v>286</v>
      </c>
      <c r="T111" s="281">
        <v>1860</v>
      </c>
    </row>
    <row r="113" spans="5:14" x14ac:dyDescent="0.25">
      <c r="E113" s="183" t="s">
        <v>1468</v>
      </c>
    </row>
    <row r="115" spans="5:14" x14ac:dyDescent="0.25">
      <c r="E115" s="280" t="s">
        <v>1467</v>
      </c>
      <c r="F115" s="183" t="s">
        <v>1466</v>
      </c>
    </row>
    <row r="116" spans="5:14" x14ac:dyDescent="0.25">
      <c r="E116" s="183" t="s">
        <v>744</v>
      </c>
      <c r="F116" s="183">
        <v>31.005621000000001</v>
      </c>
    </row>
    <row r="117" spans="5:14" x14ac:dyDescent="0.25">
      <c r="E117" s="183" t="s">
        <v>1465</v>
      </c>
      <c r="F117" s="183">
        <v>0.108553</v>
      </c>
    </row>
    <row r="118" spans="5:14" x14ac:dyDescent="0.25">
      <c r="E118" s="183" t="s">
        <v>1464</v>
      </c>
      <c r="F118" s="183">
        <v>1.1249999999999999E-3</v>
      </c>
    </row>
    <row r="119" spans="5:14" x14ac:dyDescent="0.25">
      <c r="E119" s="183" t="s">
        <v>1463</v>
      </c>
      <c r="F119" s="183">
        <v>3.1538999999999998E-2</v>
      </c>
    </row>
    <row r="120" spans="5:14" x14ac:dyDescent="0.25">
      <c r="E120" s="183" t="s">
        <v>1166</v>
      </c>
      <c r="F120" s="183">
        <v>0.32746700000000001</v>
      </c>
    </row>
    <row r="121" spans="5:14" x14ac:dyDescent="0.25">
      <c r="E121" s="183" t="s">
        <v>1462</v>
      </c>
      <c r="F121" s="183">
        <v>6.1600000000000001E-4</v>
      </c>
    </row>
    <row r="122" spans="5:14" x14ac:dyDescent="0.25">
      <c r="E122" s="183" t="s">
        <v>1461</v>
      </c>
      <c r="F122" s="183">
        <v>1.2408000000000001E-2</v>
      </c>
    </row>
    <row r="123" spans="5:14" x14ac:dyDescent="0.25">
      <c r="E123" s="183" t="s">
        <v>1460</v>
      </c>
      <c r="F123" s="183">
        <v>1.0300000000000001E-3</v>
      </c>
    </row>
    <row r="124" spans="5:14" x14ac:dyDescent="0.25">
      <c r="E124" s="183" t="s">
        <v>116</v>
      </c>
      <c r="F124" s="183">
        <f>SUM(F116:F123)</f>
        <v>31.488358999999999</v>
      </c>
    </row>
    <row r="126" spans="5:14" x14ac:dyDescent="0.25">
      <c r="F126" s="183" t="s">
        <v>1459</v>
      </c>
      <c r="G126" s="183">
        <v>0.6</v>
      </c>
      <c r="I126" s="183">
        <f>1-G126</f>
        <v>0.4</v>
      </c>
    </row>
    <row r="127" spans="5:14" ht="30" customHeight="1" x14ac:dyDescent="0.25">
      <c r="E127" s="279" t="s">
        <v>1458</v>
      </c>
      <c r="F127" s="279" t="s">
        <v>1457</v>
      </c>
      <c r="G127" s="279" t="s">
        <v>1455</v>
      </c>
      <c r="H127" s="279" t="s">
        <v>1456</v>
      </c>
      <c r="I127" s="279" t="s">
        <v>1455</v>
      </c>
      <c r="J127" s="279" t="s">
        <v>1454</v>
      </c>
      <c r="K127" s="279" t="s">
        <v>1453</v>
      </c>
      <c r="L127" s="279" t="s">
        <v>1452</v>
      </c>
      <c r="M127" s="279" t="s">
        <v>1451</v>
      </c>
    </row>
    <row r="128" spans="5:14" x14ac:dyDescent="0.25">
      <c r="E128" s="183" t="s">
        <v>1274</v>
      </c>
      <c r="F128" s="183">
        <f>F116</f>
        <v>31.005621000000001</v>
      </c>
      <c r="G128" s="278">
        <f>F128/$F$134</f>
        <v>0.98466931858849804</v>
      </c>
      <c r="H128" s="183">
        <f>ElecBY!G69</f>
        <v>10.6821</v>
      </c>
      <c r="I128" s="278">
        <f>H128/$H$134</f>
        <v>0.28962751679672039</v>
      </c>
      <c r="J128" s="278">
        <f>I128*$I$126+G128*$G$126</f>
        <v>0.70665259787178702</v>
      </c>
      <c r="K128" s="277">
        <f>J128*$K$134</f>
        <v>33.411477030841922</v>
      </c>
      <c r="L128" s="276">
        <f>K128/H128</f>
        <v>3.1278004353864803</v>
      </c>
      <c r="M128" s="277">
        <f>J128*$M$134</f>
        <v>25.234093168269599</v>
      </c>
      <c r="N128" s="276">
        <f>M128/H128</f>
        <v>2.3622783130910214</v>
      </c>
    </row>
    <row r="129" spans="5:14" x14ac:dyDescent="0.25">
      <c r="E129" s="183" t="s">
        <v>1276</v>
      </c>
      <c r="F129" s="183">
        <f>F117</f>
        <v>0.108553</v>
      </c>
      <c r="G129" s="278">
        <f>F129/$F$134</f>
        <v>3.4474009903151825E-3</v>
      </c>
      <c r="H129" s="183">
        <f>ElecBY!G58</f>
        <v>0.91200000000000003</v>
      </c>
      <c r="I129" s="278">
        <f>H129/$H$134</f>
        <v>2.4727375265032998E-2</v>
      </c>
      <c r="J129" s="278">
        <f>I129*$I$126+G129*$G$126</f>
        <v>1.195939070020231E-2</v>
      </c>
      <c r="K129" s="277">
        <f>J129*$K$134</f>
        <v>0.56545593815983219</v>
      </c>
      <c r="L129" s="276">
        <f>K129/H129</f>
        <v>0.62001747605244761</v>
      </c>
      <c r="M129" s="277">
        <f>J129*$M$134</f>
        <v>0.42706186897709103</v>
      </c>
      <c r="N129" s="276">
        <f>M129/H129</f>
        <v>0.46826959317663486</v>
      </c>
    </row>
    <row r="130" spans="5:14" x14ac:dyDescent="0.25">
      <c r="E130" s="183" t="s">
        <v>1270</v>
      </c>
      <c r="F130" s="183">
        <f>F119+F118+F122</f>
        <v>4.5072000000000001E-2</v>
      </c>
      <c r="G130" s="278">
        <f>F130/$F$134</f>
        <v>1.4313861195497674E-3</v>
      </c>
      <c r="H130" s="183">
        <f>SUM(ElecBY!G60:G68)+ElecBY!G71</f>
        <v>18.776499999999999</v>
      </c>
      <c r="I130" s="278">
        <f>H130/$H$134</f>
        <v>0.5090938176139167</v>
      </c>
      <c r="J130" s="278">
        <f>I130*$I$126+G130*$G$126</f>
        <v>0.20449635871729657</v>
      </c>
      <c r="K130" s="277">
        <f>J130*$K$134</f>
        <v>9.6688605019654048</v>
      </c>
      <c r="L130" s="276">
        <f>K130/H130</f>
        <v>0.51494477149444284</v>
      </c>
      <c r="M130" s="277">
        <f>J130*$M$134</f>
        <v>7.3024286388888493</v>
      </c>
      <c r="N130" s="276">
        <f>M130/H130</f>
        <v>0.38891319675599018</v>
      </c>
    </row>
    <row r="131" spans="5:14" x14ac:dyDescent="0.25">
      <c r="E131" s="183" t="s">
        <v>1275</v>
      </c>
      <c r="F131" s="183">
        <f>F120+F123</f>
        <v>0.32849699999999998</v>
      </c>
      <c r="G131" s="278">
        <f>F131/$F$134</f>
        <v>1.0432331516545526E-2</v>
      </c>
      <c r="H131" s="183">
        <f>ElecBY!G59</f>
        <v>6.0609000000000002</v>
      </c>
      <c r="I131" s="278">
        <f>H131/$H$134</f>
        <v>0.16433130344719135</v>
      </c>
      <c r="J131" s="278">
        <f>I131*$I$126+G131*$G$126</f>
        <v>7.1991920288803857E-2</v>
      </c>
      <c r="K131" s="277">
        <f>J131*$K$134</f>
        <v>3.4038739804816984</v>
      </c>
      <c r="L131" s="276">
        <f>K131/H131</f>
        <v>0.5616119685990032</v>
      </c>
      <c r="M131" s="277">
        <f>J131*$M$134</f>
        <v>2.57078347889966</v>
      </c>
      <c r="N131" s="276">
        <f>M131/H131</f>
        <v>0.42415870232138131</v>
      </c>
    </row>
    <row r="132" spans="5:14" x14ac:dyDescent="0.25">
      <c r="E132" s="183" t="s">
        <v>1273</v>
      </c>
      <c r="F132" s="183">
        <f>F121</f>
        <v>6.1600000000000001E-4</v>
      </c>
      <c r="G132" s="278">
        <f>F132/$F$134</f>
        <v>1.9562785091468246E-5</v>
      </c>
      <c r="H132" s="183">
        <f>ElecBY!G70</f>
        <v>0.45069999999999999</v>
      </c>
      <c r="I132" s="278">
        <f>H132/$H$134</f>
        <v>1.2219986877138565E-2</v>
      </c>
      <c r="J132" s="278">
        <f>I132*$I$126+G132*$G$126</f>
        <v>4.8997324219103074E-3</v>
      </c>
      <c r="K132" s="277">
        <f>J132*$K$134</f>
        <v>0.23166588188448189</v>
      </c>
      <c r="L132" s="276">
        <f>K132/H132</f>
        <v>0.51401349430770338</v>
      </c>
      <c r="M132" s="277">
        <f>J132*$M$134</f>
        <v>0.17496617829813579</v>
      </c>
      <c r="N132" s="276">
        <f>M132/H132</f>
        <v>0.38820984756630972</v>
      </c>
    </row>
    <row r="134" spans="5:14" x14ac:dyDescent="0.25">
      <c r="E134" s="183" t="s">
        <v>116</v>
      </c>
      <c r="F134" s="183">
        <f>SUM(F128:F132)</f>
        <v>31.488359000000003</v>
      </c>
      <c r="H134" s="183">
        <f>SUM(H128:H132)</f>
        <v>36.882199999999997</v>
      </c>
      <c r="K134" s="275">
        <f>M104</f>
        <v>47.281333333333336</v>
      </c>
      <c r="M134" s="275">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 workbookViewId="1"/>
  </sheetViews>
  <sheetFormatPr defaultRowHeight="15" x14ac:dyDescent="0.25"/>
  <cols>
    <col min="1" max="1" width="13.42578125" style="282" customWidth="1"/>
    <col min="2" max="2" width="9.85546875" style="282" bestFit="1" customWidth="1"/>
    <col min="3" max="3" width="8.5703125" style="282" bestFit="1" customWidth="1"/>
    <col min="4" max="4" width="7.85546875" style="282" bestFit="1" customWidth="1"/>
    <col min="5" max="5" width="9.85546875" style="282" bestFit="1" customWidth="1"/>
    <col min="6" max="6" width="9" style="282" bestFit="1" customWidth="1"/>
    <col min="7" max="7" width="10.28515625" style="282" bestFit="1" customWidth="1"/>
    <col min="8" max="8" width="9" style="282" bestFit="1" customWidth="1"/>
    <col min="9" max="10" width="7.85546875" style="282" bestFit="1" customWidth="1"/>
    <col min="11" max="11" width="6.5703125" style="282" bestFit="1" customWidth="1"/>
    <col min="12" max="12" width="10.28515625" style="282" bestFit="1" customWidth="1"/>
    <col min="13" max="13" width="8.5703125" style="282" bestFit="1" customWidth="1"/>
    <col min="14" max="15" width="9" style="282" bestFit="1" customWidth="1"/>
    <col min="16" max="16" width="7.85546875" style="282" bestFit="1" customWidth="1"/>
    <col min="17" max="17" width="7.42578125" style="282" bestFit="1" customWidth="1"/>
    <col min="18" max="20" width="8.5703125" style="282" bestFit="1" customWidth="1"/>
    <col min="21" max="21" width="9.85546875" style="282" bestFit="1" customWidth="1"/>
    <col min="22" max="23" width="9.42578125" style="282" bestFit="1" customWidth="1"/>
    <col min="24" max="24" width="8.5703125" style="282" bestFit="1" customWidth="1"/>
    <col min="25" max="25" width="9" style="282" bestFit="1" customWidth="1"/>
    <col min="26" max="26" width="8.28515625" style="282" bestFit="1" customWidth="1"/>
    <col min="27" max="27" width="9" style="282" bestFit="1" customWidth="1"/>
    <col min="28" max="28" width="9.85546875" style="282" bestFit="1" customWidth="1"/>
    <col min="29" max="29" width="9.28515625" style="282" bestFit="1" customWidth="1"/>
    <col min="30" max="30" width="9" style="282" bestFit="1" customWidth="1"/>
    <col min="31" max="31" width="8.5703125" style="282" bestFit="1" customWidth="1"/>
    <col min="32" max="33" width="9" style="282" bestFit="1" customWidth="1"/>
    <col min="34" max="34" width="9.85546875" style="282" bestFit="1" customWidth="1"/>
    <col min="35" max="35" width="8.5703125" style="282" bestFit="1" customWidth="1"/>
    <col min="36" max="36" width="8.28515625" style="282" bestFit="1" customWidth="1"/>
    <col min="37" max="37" width="8.5703125" style="282" bestFit="1" customWidth="1"/>
    <col min="38" max="38" width="13.28515625" style="282" customWidth="1"/>
    <col min="39" max="39" width="8.5703125" style="282" bestFit="1" customWidth="1"/>
    <col min="40" max="41" width="10.28515625" style="282" bestFit="1" customWidth="1"/>
    <col min="42" max="42" width="8.5703125" style="282" bestFit="1" customWidth="1"/>
    <col min="43" max="43" width="9" style="282" bestFit="1" customWidth="1"/>
    <col min="44" max="44" width="9.42578125" style="282" bestFit="1" customWidth="1"/>
    <col min="45" max="45" width="9.85546875" style="282" bestFit="1" customWidth="1"/>
    <col min="46" max="46" width="8.42578125" style="282" bestFit="1" customWidth="1"/>
    <col min="47" max="47" width="7.85546875" style="282" bestFit="1" customWidth="1"/>
    <col min="48" max="48" width="9" style="282" bestFit="1" customWidth="1"/>
    <col min="49" max="49" width="7.85546875" style="282" bestFit="1" customWidth="1"/>
    <col min="50" max="50" width="9.85546875" style="282" bestFit="1" customWidth="1"/>
    <col min="51" max="51" width="10.28515625" style="282" bestFit="1" customWidth="1"/>
    <col min="52" max="52" width="9.85546875" style="282" bestFit="1" customWidth="1"/>
    <col min="53" max="54" width="10.28515625" style="282" bestFit="1" customWidth="1"/>
    <col min="55" max="55" width="9.85546875" style="282" bestFit="1" customWidth="1"/>
    <col min="56" max="56" width="8.5703125" style="282" bestFit="1" customWidth="1"/>
    <col min="57" max="57" width="7.85546875" style="282" bestFit="1" customWidth="1"/>
    <col min="58" max="58" width="10.42578125" style="282" bestFit="1" customWidth="1"/>
    <col min="59" max="59" width="11.140625" style="282" bestFit="1" customWidth="1"/>
    <col min="60" max="60" width="10.28515625" style="282" bestFit="1" customWidth="1"/>
    <col min="61" max="61" width="9.42578125" style="282" bestFit="1" customWidth="1"/>
    <col min="62" max="62" width="9" style="282" bestFit="1" customWidth="1"/>
    <col min="63" max="63" width="8.5703125" style="282" bestFit="1" customWidth="1"/>
    <col min="64" max="64" width="6.5703125" style="282" bestFit="1" customWidth="1"/>
    <col min="65" max="65" width="10.28515625" style="282" bestFit="1" customWidth="1"/>
    <col min="66" max="66" width="9.42578125" style="282" bestFit="1" customWidth="1"/>
    <col min="67" max="67" width="9" style="282" bestFit="1" customWidth="1"/>
    <col min="68" max="68" width="9.85546875" style="282" bestFit="1" customWidth="1"/>
    <col min="69" max="69" width="8.5703125" style="282" bestFit="1" customWidth="1"/>
    <col min="70" max="70" width="9" style="282" bestFit="1" customWidth="1"/>
    <col min="71" max="71" width="8.5703125" style="282" bestFit="1" customWidth="1"/>
    <col min="72" max="72" width="9.42578125" style="282" bestFit="1" customWidth="1"/>
    <col min="73" max="73" width="9" style="282" bestFit="1" customWidth="1"/>
    <col min="74" max="74" width="9.85546875" style="282" bestFit="1" customWidth="1"/>
    <col min="75" max="75" width="9.42578125" style="282" bestFit="1" customWidth="1"/>
    <col min="76" max="76" width="8.5703125" style="282" bestFit="1" customWidth="1"/>
    <col min="77" max="77" width="9.85546875" style="282" bestFit="1" customWidth="1"/>
    <col min="78" max="78" width="10.28515625" style="282" bestFit="1" customWidth="1"/>
    <col min="79" max="80" width="9" style="282" bestFit="1" customWidth="1"/>
    <col min="81" max="81" width="8.5703125" style="282" bestFit="1" customWidth="1"/>
    <col min="82" max="82" width="9" style="282" bestFit="1" customWidth="1"/>
    <col min="83" max="83" width="10.28515625" style="282" bestFit="1" customWidth="1"/>
    <col min="84" max="84" width="9.42578125" style="282" bestFit="1" customWidth="1"/>
    <col min="85" max="85" width="9.85546875" style="282" bestFit="1" customWidth="1"/>
    <col min="86" max="86" width="10.28515625" style="282" bestFit="1" customWidth="1"/>
    <col min="87" max="89" width="9.85546875" style="282" bestFit="1" customWidth="1"/>
    <col min="90" max="90" width="8.5703125" style="282" bestFit="1" customWidth="1"/>
    <col min="91" max="92" width="9" style="282" bestFit="1" customWidth="1"/>
    <col min="93" max="93" width="9.85546875" style="282" bestFit="1" customWidth="1"/>
    <col min="94" max="94" width="9" style="282" bestFit="1" customWidth="1"/>
    <col min="95" max="96" width="10.28515625" style="282" bestFit="1" customWidth="1"/>
    <col min="97" max="97" width="9" style="282" bestFit="1" customWidth="1"/>
    <col min="98" max="98" width="9.42578125" style="282" bestFit="1" customWidth="1"/>
    <col min="99" max="99" width="9.85546875" style="282" bestFit="1" customWidth="1"/>
    <col min="100" max="100" width="9" style="282" bestFit="1" customWidth="1"/>
    <col min="101" max="101" width="7.85546875" style="282" bestFit="1" customWidth="1"/>
    <col min="102" max="102" width="9" style="282" bestFit="1" customWidth="1"/>
    <col min="103" max="103" width="9.85546875" style="282" bestFit="1" customWidth="1"/>
    <col min="104" max="104" width="10.28515625" style="282" bestFit="1" customWidth="1"/>
    <col min="105" max="105" width="11.7109375" style="282" bestFit="1" customWidth="1"/>
    <col min="106" max="108" width="10.28515625" style="282" bestFit="1" customWidth="1"/>
    <col min="109" max="109" width="8.5703125" style="282" bestFit="1" customWidth="1"/>
    <col min="110" max="110" width="9.85546875" style="282" bestFit="1" customWidth="1"/>
    <col min="111" max="112" width="10.28515625" style="282" bestFit="1" customWidth="1"/>
    <col min="113" max="113" width="11.7109375" style="282" bestFit="1" customWidth="1"/>
    <col min="114" max="114" width="8.5703125" style="282" bestFit="1" customWidth="1"/>
    <col min="115" max="115" width="11.7109375" style="282" bestFit="1" customWidth="1"/>
    <col min="116" max="116" width="8.5703125" style="282" bestFit="1" customWidth="1"/>
    <col min="117" max="120" width="9" style="282" bestFit="1" customWidth="1"/>
    <col min="121" max="123" width="9.85546875" style="282" bestFit="1" customWidth="1"/>
    <col min="124" max="125" width="10.28515625" style="282" bestFit="1" customWidth="1"/>
    <col min="126" max="127" width="9.85546875" style="282" bestFit="1" customWidth="1"/>
    <col min="128" max="130" width="10.28515625" style="282" bestFit="1" customWidth="1"/>
    <col min="131" max="131" width="11.28515625" style="282" bestFit="1" customWidth="1"/>
    <col min="132" max="132" width="9" style="282" bestFit="1" customWidth="1"/>
    <col min="133" max="133" width="9.85546875" style="282" bestFit="1" customWidth="1"/>
    <col min="134" max="134" width="9" style="282" bestFit="1" customWidth="1"/>
    <col min="135" max="135" width="10.28515625" style="282" bestFit="1" customWidth="1"/>
    <col min="136" max="136" width="5.28515625" style="282" bestFit="1" customWidth="1"/>
    <col min="137" max="137" width="9.85546875" style="282" bestFit="1" customWidth="1"/>
    <col min="138" max="138" width="8.5703125" style="282" bestFit="1" customWidth="1"/>
    <col min="139" max="139" width="9.28515625" style="282" bestFit="1" customWidth="1"/>
    <col min="140" max="140" width="13.28515625" style="282" customWidth="1"/>
    <col min="141" max="141" width="13.28515625" style="282" bestFit="1" customWidth="1"/>
    <col min="142" max="142" width="19.5703125" style="282" bestFit="1" customWidth="1"/>
    <col min="143" max="143" width="13.28515625" style="282" bestFit="1" customWidth="1"/>
    <col min="144" max="146" width="13.7109375" style="282" bestFit="1" customWidth="1"/>
    <col min="147" max="147" width="11.42578125" style="282" bestFit="1" customWidth="1"/>
    <col min="148" max="150" width="9.140625" style="282"/>
    <col min="151" max="151" width="13.7109375" style="282" bestFit="1" customWidth="1"/>
    <col min="152" max="152" width="11.42578125" style="282" bestFit="1" customWidth="1"/>
    <col min="153" max="157" width="9.140625" style="282"/>
    <col min="158" max="158" width="13.5703125" style="282" bestFit="1" customWidth="1"/>
    <col min="159" max="16384" width="9.140625" style="282"/>
  </cols>
  <sheetData>
    <row r="1" spans="1:142" ht="18.75" x14ac:dyDescent="0.3">
      <c r="A1" s="310"/>
    </row>
    <row r="2" spans="1:142" x14ac:dyDescent="0.25">
      <c r="A2" s="309"/>
    </row>
    <row r="4" spans="1:142" x14ac:dyDescent="0.25">
      <c r="B4" s="308"/>
      <c r="C4" s="308"/>
    </row>
    <row r="5" spans="1:142" x14ac:dyDescent="0.25">
      <c r="B5" s="308"/>
      <c r="C5" s="308"/>
    </row>
    <row r="6" spans="1:142" x14ac:dyDescent="0.25">
      <c r="CP6" s="308"/>
      <c r="CQ6" s="308"/>
      <c r="CR6" s="308"/>
      <c r="CS6" s="308"/>
      <c r="CT6" s="308"/>
      <c r="CU6" s="308"/>
      <c r="CV6" s="308"/>
      <c r="CW6" s="308"/>
      <c r="CX6" s="308"/>
      <c r="CY6" s="308"/>
      <c r="CZ6" s="308"/>
      <c r="DA6" s="308"/>
      <c r="DB6" s="308"/>
      <c r="DC6" s="308"/>
    </row>
    <row r="7" spans="1:142" x14ac:dyDescent="0.25">
      <c r="B7" s="305" t="s">
        <v>1703</v>
      </c>
      <c r="C7" s="305" t="s">
        <v>1702</v>
      </c>
      <c r="D7" s="305" t="s">
        <v>1701</v>
      </c>
      <c r="E7" s="305" t="s">
        <v>1700</v>
      </c>
      <c r="F7" s="305" t="s">
        <v>1699</v>
      </c>
      <c r="G7" s="305" t="s">
        <v>1698</v>
      </c>
      <c r="H7" s="305" t="s">
        <v>1697</v>
      </c>
      <c r="I7" s="305" t="s">
        <v>1696</v>
      </c>
      <c r="J7" s="305" t="s">
        <v>1695</v>
      </c>
      <c r="K7" s="305" t="s">
        <v>1694</v>
      </c>
      <c r="L7" s="305" t="s">
        <v>1693</v>
      </c>
      <c r="M7" s="305" t="s">
        <v>1692</v>
      </c>
      <c r="N7" s="305" t="s">
        <v>1691</v>
      </c>
      <c r="O7" s="305" t="s">
        <v>1690</v>
      </c>
      <c r="P7" s="305" t="s">
        <v>1689</v>
      </c>
      <c r="Q7" s="305" t="s">
        <v>1688</v>
      </c>
      <c r="R7" s="305" t="s">
        <v>1687</v>
      </c>
      <c r="S7" s="305" t="s">
        <v>1686</v>
      </c>
      <c r="T7" s="305" t="s">
        <v>1685</v>
      </c>
      <c r="U7" s="305" t="s">
        <v>1684</v>
      </c>
      <c r="V7" s="305" t="s">
        <v>1683</v>
      </c>
      <c r="W7" s="305" t="s">
        <v>1682</v>
      </c>
      <c r="X7" s="305" t="s">
        <v>1681</v>
      </c>
      <c r="Y7" s="305" t="s">
        <v>1680</v>
      </c>
      <c r="Z7" s="305" t="s">
        <v>1679</v>
      </c>
      <c r="AA7" s="305" t="s">
        <v>1678</v>
      </c>
      <c r="AB7" s="305" t="s">
        <v>1677</v>
      </c>
      <c r="AC7" s="305" t="s">
        <v>1676</v>
      </c>
      <c r="AD7" s="305" t="s">
        <v>1675</v>
      </c>
      <c r="AE7" s="305" t="s">
        <v>1674</v>
      </c>
      <c r="AF7" s="305" t="s">
        <v>1673</v>
      </c>
      <c r="AG7" s="305" t="s">
        <v>1672</v>
      </c>
      <c r="AH7" s="305" t="s">
        <v>1671</v>
      </c>
      <c r="AI7" s="305" t="s">
        <v>1670</v>
      </c>
      <c r="AJ7" s="305" t="s">
        <v>1669</v>
      </c>
      <c r="AK7" s="305" t="s">
        <v>1668</v>
      </c>
      <c r="AL7" s="305" t="s">
        <v>1667</v>
      </c>
      <c r="AM7" s="305" t="s">
        <v>1666</v>
      </c>
      <c r="AN7" s="305" t="s">
        <v>1665</v>
      </c>
      <c r="AO7" s="305" t="s">
        <v>1664</v>
      </c>
      <c r="AP7" s="305" t="s">
        <v>1663</v>
      </c>
      <c r="AQ7" s="305" t="s">
        <v>1662</v>
      </c>
      <c r="AR7" s="305" t="s">
        <v>1661</v>
      </c>
      <c r="AS7" s="305" t="s">
        <v>1660</v>
      </c>
      <c r="AT7" s="305" t="s">
        <v>1659</v>
      </c>
      <c r="AU7" s="305" t="s">
        <v>1658</v>
      </c>
      <c r="AV7" s="305" t="s">
        <v>1657</v>
      </c>
      <c r="AW7" s="305" t="s">
        <v>1656</v>
      </c>
      <c r="AX7" s="305" t="s">
        <v>1655</v>
      </c>
      <c r="AY7" s="305" t="s">
        <v>1654</v>
      </c>
      <c r="AZ7" s="305" t="s">
        <v>1653</v>
      </c>
      <c r="BA7" s="305" t="s">
        <v>1652</v>
      </c>
      <c r="BB7" s="305" t="s">
        <v>1651</v>
      </c>
      <c r="BC7" s="305" t="s">
        <v>1650</v>
      </c>
      <c r="BD7" s="305" t="s">
        <v>1649</v>
      </c>
      <c r="BE7" s="305" t="s">
        <v>1648</v>
      </c>
      <c r="BF7" s="305" t="s">
        <v>1647</v>
      </c>
      <c r="BG7" s="305" t="s">
        <v>1646</v>
      </c>
      <c r="BH7" s="305" t="s">
        <v>1645</v>
      </c>
      <c r="BI7" s="305" t="s">
        <v>1644</v>
      </c>
      <c r="BJ7" s="305" t="s">
        <v>1643</v>
      </c>
      <c r="BK7" s="305" t="s">
        <v>1642</v>
      </c>
      <c r="BL7" s="305" t="s">
        <v>1641</v>
      </c>
      <c r="BM7" s="305" t="s">
        <v>1640</v>
      </c>
      <c r="BN7" s="305" t="s">
        <v>1639</v>
      </c>
      <c r="BO7" s="305" t="s">
        <v>1638</v>
      </c>
      <c r="BP7" s="305" t="s">
        <v>1637</v>
      </c>
      <c r="BQ7" s="305" t="s">
        <v>1636</v>
      </c>
      <c r="BR7" s="305" t="s">
        <v>1635</v>
      </c>
      <c r="BS7" s="305" t="s">
        <v>1634</v>
      </c>
      <c r="BT7" s="305" t="s">
        <v>1633</v>
      </c>
      <c r="BU7" s="305" t="s">
        <v>1632</v>
      </c>
      <c r="BV7" s="305" t="s">
        <v>1631</v>
      </c>
      <c r="BW7" s="305" t="s">
        <v>1630</v>
      </c>
      <c r="BX7" s="305" t="s">
        <v>1629</v>
      </c>
      <c r="BY7" s="305" t="s">
        <v>1628</v>
      </c>
      <c r="BZ7" s="305" t="s">
        <v>1627</v>
      </c>
      <c r="CA7" s="305" t="s">
        <v>1626</v>
      </c>
      <c r="CB7" s="305" t="s">
        <v>1625</v>
      </c>
      <c r="CC7" s="305" t="s">
        <v>1624</v>
      </c>
      <c r="CD7" s="305" t="s">
        <v>1623</v>
      </c>
      <c r="CE7" s="305" t="s">
        <v>1622</v>
      </c>
      <c r="CF7" s="305" t="s">
        <v>1621</v>
      </c>
      <c r="CG7" s="305" t="s">
        <v>1620</v>
      </c>
      <c r="CH7" s="305" t="s">
        <v>1619</v>
      </c>
      <c r="CI7" s="305" t="s">
        <v>1618</v>
      </c>
      <c r="CJ7" s="305" t="s">
        <v>1617</v>
      </c>
      <c r="CK7" s="305" t="s">
        <v>1616</v>
      </c>
      <c r="CL7" s="305" t="s">
        <v>1615</v>
      </c>
      <c r="CM7" s="305" t="s">
        <v>1614</v>
      </c>
      <c r="CN7" s="305" t="s">
        <v>1613</v>
      </c>
      <c r="CO7" s="305" t="s">
        <v>1612</v>
      </c>
      <c r="CP7" s="305" t="s">
        <v>1611</v>
      </c>
      <c r="CQ7" s="305" t="s">
        <v>1610</v>
      </c>
      <c r="CR7" s="305" t="s">
        <v>1609</v>
      </c>
      <c r="CS7" s="305" t="s">
        <v>1608</v>
      </c>
      <c r="CT7" s="305" t="s">
        <v>1607</v>
      </c>
      <c r="CU7" s="305" t="s">
        <v>1606</v>
      </c>
      <c r="CV7" s="305" t="s">
        <v>1605</v>
      </c>
      <c r="CW7" s="305" t="s">
        <v>1604</v>
      </c>
      <c r="CX7" s="305" t="s">
        <v>1603</v>
      </c>
      <c r="CY7" s="305" t="s">
        <v>1602</v>
      </c>
      <c r="CZ7" s="305" t="s">
        <v>1601</v>
      </c>
      <c r="DA7" s="305" t="s">
        <v>1600</v>
      </c>
      <c r="DB7" s="305" t="s">
        <v>1599</v>
      </c>
      <c r="DC7" s="305" t="s">
        <v>1598</v>
      </c>
      <c r="DD7" s="305" t="s">
        <v>1504</v>
      </c>
      <c r="DE7" s="305" t="s">
        <v>1503</v>
      </c>
      <c r="DF7" s="305" t="s">
        <v>1502</v>
      </c>
      <c r="DG7" s="305" t="s">
        <v>1501</v>
      </c>
      <c r="DH7" s="305" t="s">
        <v>1597</v>
      </c>
      <c r="DI7" s="305" t="s">
        <v>1596</v>
      </c>
      <c r="DJ7" s="305" t="s">
        <v>1595</v>
      </c>
      <c r="DK7" s="305" t="s">
        <v>1594</v>
      </c>
      <c r="DL7" s="305" t="s">
        <v>1593</v>
      </c>
      <c r="DM7" s="305" t="s">
        <v>1592</v>
      </c>
      <c r="DN7" s="305" t="s">
        <v>1591</v>
      </c>
      <c r="DO7" s="305" t="s">
        <v>1590</v>
      </c>
      <c r="DP7" s="305" t="s">
        <v>1589</v>
      </c>
      <c r="DQ7" s="305" t="s">
        <v>1588</v>
      </c>
      <c r="DR7" s="305" t="s">
        <v>1587</v>
      </c>
      <c r="DS7" s="305" t="s">
        <v>1586</v>
      </c>
      <c r="DT7" s="305" t="s">
        <v>1585</v>
      </c>
      <c r="DU7" s="305" t="s">
        <v>1584</v>
      </c>
      <c r="DV7" s="305" t="s">
        <v>1583</v>
      </c>
      <c r="DW7" s="305" t="s">
        <v>1582</v>
      </c>
      <c r="DX7" s="305" t="s">
        <v>1581</v>
      </c>
      <c r="DY7" s="305" t="s">
        <v>1580</v>
      </c>
      <c r="DZ7" s="305" t="s">
        <v>1579</v>
      </c>
      <c r="EA7" s="305" t="s">
        <v>1578</v>
      </c>
      <c r="EB7" s="305" t="s">
        <v>1577</v>
      </c>
      <c r="EC7" s="305" t="s">
        <v>1576</v>
      </c>
      <c r="ED7" s="305" t="s">
        <v>1575</v>
      </c>
      <c r="EE7" s="305" t="s">
        <v>1574</v>
      </c>
      <c r="EF7" s="305" t="s">
        <v>1573</v>
      </c>
      <c r="EG7" s="305" t="s">
        <v>1572</v>
      </c>
      <c r="EH7" s="305" t="s">
        <v>1571</v>
      </c>
      <c r="EI7" s="305" t="s">
        <v>1570</v>
      </c>
      <c r="EJ7" s="305" t="s">
        <v>1569</v>
      </c>
      <c r="EK7" s="305" t="s">
        <v>1568</v>
      </c>
      <c r="EL7" s="305" t="s">
        <v>1567</v>
      </c>
    </row>
    <row r="8" spans="1:142" x14ac:dyDescent="0.25">
      <c r="A8" s="305" t="s">
        <v>1703</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A8" s="307">
        <v>158068.43043290664</v>
      </c>
      <c r="BB8" s="307"/>
      <c r="BC8" s="307"/>
      <c r="BD8" s="307"/>
      <c r="BE8" s="307"/>
      <c r="BF8" s="307"/>
      <c r="BG8" s="307"/>
      <c r="BH8" s="307"/>
      <c r="BI8" s="307"/>
      <c r="BJ8" s="307"/>
      <c r="BK8" s="307"/>
      <c r="BL8" s="307"/>
      <c r="BM8" s="307"/>
      <c r="BN8" s="307"/>
      <c r="BO8" s="307"/>
      <c r="BP8" s="307"/>
      <c r="BQ8" s="307"/>
      <c r="BR8" s="307"/>
      <c r="BS8" s="307"/>
      <c r="BT8" s="307"/>
      <c r="BU8" s="307"/>
      <c r="BV8" s="30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c r="DA8" s="307"/>
      <c r="DB8" s="307"/>
      <c r="DC8" s="307"/>
      <c r="DD8" s="307"/>
      <c r="DE8" s="307"/>
      <c r="DF8" s="307"/>
      <c r="DG8" s="307"/>
      <c r="DH8" s="307"/>
      <c r="DI8" s="307"/>
      <c r="DJ8" s="307"/>
      <c r="DK8" s="307"/>
      <c r="DL8" s="307"/>
      <c r="DM8" s="307"/>
      <c r="DN8" s="307"/>
      <c r="DO8" s="307"/>
      <c r="DP8" s="307"/>
      <c r="DQ8" s="307"/>
      <c r="DR8" s="307"/>
      <c r="DS8" s="307"/>
      <c r="DT8" s="307"/>
      <c r="DU8" s="307"/>
      <c r="DV8" s="307"/>
      <c r="DW8" s="307"/>
      <c r="DX8" s="307"/>
      <c r="DY8" s="307"/>
      <c r="DZ8" s="307"/>
      <c r="EA8" s="307"/>
      <c r="EB8" s="307"/>
      <c r="EC8" s="307"/>
      <c r="ED8" s="307"/>
      <c r="EE8" s="307"/>
      <c r="EF8" s="307"/>
      <c r="EG8" s="307"/>
      <c r="EH8" s="307"/>
      <c r="EI8" s="307"/>
      <c r="EJ8" s="307"/>
      <c r="EK8" s="307"/>
      <c r="EL8" s="307">
        <v>158068.43043290664</v>
      </c>
    </row>
    <row r="9" spans="1:142" x14ac:dyDescent="0.25">
      <c r="A9" s="305" t="s">
        <v>1702</v>
      </c>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A9" s="307"/>
      <c r="BB9" s="307">
        <v>17544.364776202459</v>
      </c>
      <c r="BC9" s="307"/>
      <c r="BD9" s="307"/>
      <c r="BE9" s="307"/>
      <c r="BF9" s="307"/>
      <c r="BG9" s="307"/>
      <c r="BH9" s="307"/>
      <c r="BI9" s="307"/>
      <c r="BJ9" s="307"/>
      <c r="BK9" s="307"/>
      <c r="BL9" s="307"/>
      <c r="BM9" s="307"/>
      <c r="BN9" s="307"/>
      <c r="BO9" s="307"/>
      <c r="BP9" s="307"/>
      <c r="BQ9" s="307"/>
      <c r="BR9" s="307"/>
      <c r="BS9" s="307"/>
      <c r="BT9" s="307"/>
      <c r="BU9" s="307"/>
      <c r="BV9" s="30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c r="DA9" s="307"/>
      <c r="DB9" s="307"/>
      <c r="DC9" s="307"/>
      <c r="DD9" s="307"/>
      <c r="DE9" s="307"/>
      <c r="DF9" s="307"/>
      <c r="DG9" s="307"/>
      <c r="DH9" s="307"/>
      <c r="DI9" s="307"/>
      <c r="DJ9" s="307"/>
      <c r="DK9" s="307"/>
      <c r="DL9" s="307"/>
      <c r="DM9" s="307"/>
      <c r="DN9" s="307"/>
      <c r="DO9" s="307"/>
      <c r="DP9" s="307"/>
      <c r="DQ9" s="307"/>
      <c r="DR9" s="307"/>
      <c r="DS9" s="307"/>
      <c r="DT9" s="307"/>
      <c r="DU9" s="307"/>
      <c r="DV9" s="307"/>
      <c r="DW9" s="307"/>
      <c r="DX9" s="307"/>
      <c r="DY9" s="307"/>
      <c r="DZ9" s="307"/>
      <c r="EA9" s="307"/>
      <c r="EB9" s="307"/>
      <c r="EC9" s="307"/>
      <c r="ED9" s="307"/>
      <c r="EE9" s="307"/>
      <c r="EF9" s="307"/>
      <c r="EG9" s="307"/>
      <c r="EH9" s="307"/>
      <c r="EI9" s="307"/>
      <c r="EJ9" s="307"/>
      <c r="EK9" s="307"/>
      <c r="EL9" s="307">
        <v>17544.364776202459</v>
      </c>
    </row>
    <row r="10" spans="1:142" x14ac:dyDescent="0.25">
      <c r="A10" s="305" t="s">
        <v>1701</v>
      </c>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A10" s="307"/>
      <c r="BB10" s="307"/>
      <c r="BC10" s="307">
        <v>4528.0377111453763</v>
      </c>
      <c r="BD10" s="307"/>
      <c r="BE10" s="307"/>
      <c r="BF10" s="307"/>
      <c r="BG10" s="307"/>
      <c r="BH10" s="307"/>
      <c r="BI10" s="307"/>
      <c r="BJ10" s="307"/>
      <c r="BK10" s="307"/>
      <c r="BL10" s="307"/>
      <c r="BM10" s="307"/>
      <c r="BN10" s="307"/>
      <c r="BO10" s="307"/>
      <c r="BP10" s="307"/>
      <c r="BQ10" s="307"/>
      <c r="BR10" s="307"/>
      <c r="BS10" s="307"/>
      <c r="BT10" s="307"/>
      <c r="BU10" s="307"/>
      <c r="BV10" s="30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c r="DA10" s="307"/>
      <c r="DB10" s="307"/>
      <c r="DC10" s="307"/>
      <c r="DD10" s="307"/>
      <c r="DE10" s="307"/>
      <c r="DF10" s="307"/>
      <c r="DG10" s="307"/>
      <c r="DH10" s="307"/>
      <c r="DI10" s="307"/>
      <c r="DJ10" s="307"/>
      <c r="DK10" s="307"/>
      <c r="DL10" s="307"/>
      <c r="DM10" s="307"/>
      <c r="DN10" s="307"/>
      <c r="DO10" s="307"/>
      <c r="DP10" s="307"/>
      <c r="DQ10" s="307"/>
      <c r="DR10" s="307"/>
      <c r="DS10" s="307"/>
      <c r="DT10" s="307"/>
      <c r="DU10" s="307"/>
      <c r="DV10" s="307"/>
      <c r="DW10" s="307"/>
      <c r="DX10" s="307"/>
      <c r="DY10" s="307"/>
      <c r="DZ10" s="307"/>
      <c r="EA10" s="307"/>
      <c r="EB10" s="307"/>
      <c r="EC10" s="307"/>
      <c r="ED10" s="307"/>
      <c r="EE10" s="307"/>
      <c r="EF10" s="307"/>
      <c r="EG10" s="307"/>
      <c r="EH10" s="307"/>
      <c r="EI10" s="307"/>
      <c r="EJ10" s="307"/>
      <c r="EK10" s="307"/>
      <c r="EL10" s="307">
        <v>4528.0377111453763</v>
      </c>
    </row>
    <row r="11" spans="1:142" x14ac:dyDescent="0.25">
      <c r="A11" s="305" t="s">
        <v>1700</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A11" s="307"/>
      <c r="BB11" s="307"/>
      <c r="BC11" s="307"/>
      <c r="BD11" s="307">
        <v>37700.014475462362</v>
      </c>
      <c r="BE11" s="307">
        <v>54595.815560556279</v>
      </c>
      <c r="BF11" s="307">
        <v>6800.5680544358711</v>
      </c>
      <c r="BG11" s="307">
        <v>8328.3631604019756</v>
      </c>
      <c r="BH11" s="307"/>
      <c r="BI11" s="307"/>
      <c r="BJ11" s="307"/>
      <c r="BK11" s="307"/>
      <c r="BL11" s="307"/>
      <c r="BM11" s="307"/>
      <c r="BN11" s="307"/>
      <c r="BO11" s="307"/>
      <c r="BP11" s="307"/>
      <c r="BQ11" s="307"/>
      <c r="BR11" s="307"/>
      <c r="BS11" s="307"/>
      <c r="BT11" s="307"/>
      <c r="BU11" s="307"/>
      <c r="BV11" s="30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c r="DA11" s="307"/>
      <c r="DB11" s="307"/>
      <c r="DC11" s="307"/>
      <c r="DD11" s="307"/>
      <c r="DE11" s="307"/>
      <c r="DF11" s="307"/>
      <c r="DG11" s="307"/>
      <c r="DH11" s="307"/>
      <c r="DI11" s="307"/>
      <c r="DJ11" s="307"/>
      <c r="DK11" s="307"/>
      <c r="DL11" s="307"/>
      <c r="DM11" s="307"/>
      <c r="DN11" s="307"/>
      <c r="DO11" s="307"/>
      <c r="DP11" s="307"/>
      <c r="DQ11" s="307"/>
      <c r="DR11" s="307"/>
      <c r="DS11" s="307"/>
      <c r="DT11" s="307"/>
      <c r="DU11" s="307"/>
      <c r="DV11" s="307"/>
      <c r="DW11" s="307"/>
      <c r="DX11" s="307"/>
      <c r="DY11" s="307"/>
      <c r="DZ11" s="307"/>
      <c r="EA11" s="307"/>
      <c r="EB11" s="307"/>
      <c r="EC11" s="307"/>
      <c r="ED11" s="307"/>
      <c r="EE11" s="307"/>
      <c r="EF11" s="307"/>
      <c r="EG11" s="307"/>
      <c r="EH11" s="307"/>
      <c r="EI11" s="307"/>
      <c r="EJ11" s="307"/>
      <c r="EK11" s="307"/>
      <c r="EL11" s="307">
        <v>107424.76125085649</v>
      </c>
    </row>
    <row r="12" spans="1:142" x14ac:dyDescent="0.25">
      <c r="A12" s="305" t="s">
        <v>1699</v>
      </c>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A12" s="307"/>
      <c r="BB12" s="307"/>
      <c r="BC12" s="307"/>
      <c r="BD12" s="307"/>
      <c r="BE12" s="307"/>
      <c r="BF12" s="307">
        <v>75527.985544643932</v>
      </c>
      <c r="BG12" s="307">
        <v>5328.4482342927813</v>
      </c>
      <c r="BH12" s="307"/>
      <c r="BI12" s="307"/>
      <c r="BJ12" s="307"/>
      <c r="BK12" s="307"/>
      <c r="BL12" s="307"/>
      <c r="BM12" s="307"/>
      <c r="BN12" s="307"/>
      <c r="BO12" s="307"/>
      <c r="BP12" s="307"/>
      <c r="BQ12" s="307"/>
      <c r="BR12" s="307"/>
      <c r="BS12" s="307"/>
      <c r="BT12" s="307"/>
      <c r="BU12" s="307"/>
      <c r="BV12" s="30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c r="DA12" s="307"/>
      <c r="DB12" s="307"/>
      <c r="DC12" s="307"/>
      <c r="DD12" s="307"/>
      <c r="DE12" s="307"/>
      <c r="DF12" s="307"/>
      <c r="DG12" s="307"/>
      <c r="DH12" s="307"/>
      <c r="DI12" s="307"/>
      <c r="DJ12" s="307"/>
      <c r="DK12" s="307"/>
      <c r="DL12" s="307"/>
      <c r="DM12" s="307"/>
      <c r="DN12" s="307"/>
      <c r="DO12" s="307"/>
      <c r="DP12" s="307"/>
      <c r="DQ12" s="307"/>
      <c r="DR12" s="307"/>
      <c r="DS12" s="307"/>
      <c r="DT12" s="307"/>
      <c r="DU12" s="307"/>
      <c r="DV12" s="307"/>
      <c r="DW12" s="307"/>
      <c r="DX12" s="307"/>
      <c r="DY12" s="307"/>
      <c r="DZ12" s="307"/>
      <c r="EA12" s="307"/>
      <c r="EB12" s="307"/>
      <c r="EC12" s="307"/>
      <c r="ED12" s="307"/>
      <c r="EE12" s="307"/>
      <c r="EF12" s="307"/>
      <c r="EG12" s="307"/>
      <c r="EH12" s="307"/>
      <c r="EI12" s="307"/>
      <c r="EJ12" s="307"/>
      <c r="EK12" s="307"/>
      <c r="EL12" s="307">
        <v>80856.433778936713</v>
      </c>
    </row>
    <row r="13" spans="1:142" x14ac:dyDescent="0.25">
      <c r="A13" s="305" t="s">
        <v>1698</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v>205995.50293016198</v>
      </c>
      <c r="BG13" s="307">
        <v>20022.292323937541</v>
      </c>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c r="DA13" s="307"/>
      <c r="DB13" s="307"/>
      <c r="DC13" s="307"/>
      <c r="DD13" s="307"/>
      <c r="DE13" s="307"/>
      <c r="DF13" s="307"/>
      <c r="DG13" s="307"/>
      <c r="DH13" s="307"/>
      <c r="DI13" s="307"/>
      <c r="DJ13" s="307"/>
      <c r="DK13" s="307"/>
      <c r="DL13" s="307"/>
      <c r="DM13" s="307"/>
      <c r="DN13" s="307"/>
      <c r="DO13" s="307"/>
      <c r="DP13" s="307"/>
      <c r="DQ13" s="307"/>
      <c r="DR13" s="307"/>
      <c r="DS13" s="307"/>
      <c r="DT13" s="307"/>
      <c r="DU13" s="307"/>
      <c r="DV13" s="307"/>
      <c r="DW13" s="307"/>
      <c r="DX13" s="307"/>
      <c r="DY13" s="307"/>
      <c r="DZ13" s="307"/>
      <c r="EA13" s="307"/>
      <c r="EB13" s="307"/>
      <c r="EC13" s="307"/>
      <c r="ED13" s="307"/>
      <c r="EE13" s="307"/>
      <c r="EF13" s="307"/>
      <c r="EG13" s="307"/>
      <c r="EH13" s="307"/>
      <c r="EI13" s="307"/>
      <c r="EJ13" s="307"/>
      <c r="EK13" s="307"/>
      <c r="EL13" s="307">
        <v>226017.79525409953</v>
      </c>
    </row>
    <row r="14" spans="1:142" x14ac:dyDescent="0.25">
      <c r="A14" s="305" t="s">
        <v>1697</v>
      </c>
      <c r="B14" s="307"/>
      <c r="C14" s="307"/>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v>1157.5916814263001</v>
      </c>
      <c r="BG14" s="307">
        <v>57434.720032921643</v>
      </c>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v>58592.311714347947</v>
      </c>
    </row>
    <row r="15" spans="1:142" x14ac:dyDescent="0.25">
      <c r="A15" s="305" t="s">
        <v>1696</v>
      </c>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v>3874.070587868704</v>
      </c>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7"/>
      <c r="CI15" s="307"/>
      <c r="CJ15" s="307"/>
      <c r="CK15" s="307"/>
      <c r="CL15" s="307"/>
      <c r="CM15" s="307"/>
      <c r="CN15" s="307"/>
      <c r="CO15" s="307"/>
      <c r="CP15" s="307"/>
      <c r="CQ15" s="307"/>
      <c r="CR15" s="307"/>
      <c r="CS15" s="307"/>
      <c r="CT15" s="307"/>
      <c r="CU15" s="307"/>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7"/>
      <c r="EL15" s="307">
        <v>3874.070587868704</v>
      </c>
    </row>
    <row r="16" spans="1:142" x14ac:dyDescent="0.25">
      <c r="A16" s="305" t="s">
        <v>1695</v>
      </c>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307"/>
      <c r="AS16" s="307"/>
      <c r="AT16" s="307"/>
      <c r="AU16" s="307"/>
      <c r="AV16" s="307"/>
      <c r="AW16" s="307"/>
      <c r="AX16" s="307"/>
      <c r="AY16" s="307"/>
      <c r="AZ16" s="307"/>
      <c r="BA16" s="307"/>
      <c r="BB16" s="307"/>
      <c r="BC16" s="307"/>
      <c r="BD16" s="307"/>
      <c r="BE16" s="307"/>
      <c r="BF16" s="307"/>
      <c r="BG16" s="307"/>
      <c r="BH16" s="307"/>
      <c r="BI16" s="307">
        <v>4646.7519999999895</v>
      </c>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7"/>
      <c r="CI16" s="307"/>
      <c r="CJ16" s="307"/>
      <c r="CK16" s="307"/>
      <c r="CL16" s="307"/>
      <c r="CM16" s="307"/>
      <c r="CN16" s="307"/>
      <c r="CO16" s="307"/>
      <c r="CP16" s="307"/>
      <c r="CQ16" s="307"/>
      <c r="CR16" s="307"/>
      <c r="CS16" s="307"/>
      <c r="CT16" s="307"/>
      <c r="CU16" s="307"/>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7"/>
      <c r="EL16" s="307">
        <v>4646.7519999999895</v>
      </c>
    </row>
    <row r="17" spans="1:142" x14ac:dyDescent="0.25">
      <c r="A17" s="305" t="s">
        <v>1694</v>
      </c>
      <c r="B17" s="307"/>
      <c r="C17" s="307"/>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307"/>
      <c r="AS17" s="307"/>
      <c r="AT17" s="307"/>
      <c r="AU17" s="307"/>
      <c r="AV17" s="307"/>
      <c r="AW17" s="307"/>
      <c r="AX17" s="307"/>
      <c r="AY17" s="307"/>
      <c r="AZ17" s="307"/>
      <c r="BA17" s="307"/>
      <c r="BB17" s="307"/>
      <c r="BC17" s="307"/>
      <c r="BD17" s="307"/>
      <c r="BE17" s="307"/>
      <c r="BF17" s="307"/>
      <c r="BG17" s="307"/>
      <c r="BH17" s="307"/>
      <c r="BI17" s="307"/>
      <c r="BJ17" s="307">
        <v>1</v>
      </c>
      <c r="BK17" s="307"/>
      <c r="BL17" s="307"/>
      <c r="BM17" s="307"/>
      <c r="BN17" s="307"/>
      <c r="BO17" s="307"/>
      <c r="BP17" s="307"/>
      <c r="BQ17" s="307"/>
      <c r="BR17" s="307"/>
      <c r="BS17" s="307"/>
      <c r="BT17" s="307"/>
      <c r="BU17" s="307"/>
      <c r="BV17" s="307"/>
      <c r="BW17" s="307"/>
      <c r="BX17" s="307"/>
      <c r="BY17" s="307"/>
      <c r="BZ17" s="307"/>
      <c r="CA17" s="307"/>
      <c r="CB17" s="307"/>
      <c r="CC17" s="307"/>
      <c r="CD17" s="307"/>
      <c r="CE17" s="307"/>
      <c r="CF17" s="307"/>
      <c r="CG17" s="307"/>
      <c r="CH17" s="307"/>
      <c r="CI17" s="307"/>
      <c r="CJ17" s="307"/>
      <c r="CK17" s="307"/>
      <c r="CL17" s="307"/>
      <c r="CM17" s="307"/>
      <c r="CN17" s="307"/>
      <c r="CO17" s="307"/>
      <c r="CP17" s="307"/>
      <c r="CQ17" s="307"/>
      <c r="CR17" s="307"/>
      <c r="CS17" s="307"/>
      <c r="CT17" s="307"/>
      <c r="CU17" s="307"/>
      <c r="CV17" s="307"/>
      <c r="CW17" s="307"/>
      <c r="CX17" s="307"/>
      <c r="CY17" s="307"/>
      <c r="CZ17" s="307"/>
      <c r="DA17" s="307"/>
      <c r="DB17" s="307"/>
      <c r="DC17" s="307"/>
      <c r="DD17" s="307"/>
      <c r="DE17" s="307"/>
      <c r="DF17" s="307"/>
      <c r="DG17" s="307"/>
      <c r="DH17" s="307"/>
      <c r="DI17" s="307"/>
      <c r="DJ17" s="307"/>
      <c r="DK17" s="307"/>
      <c r="DL17" s="307"/>
      <c r="DM17" s="307"/>
      <c r="DN17" s="307"/>
      <c r="DO17" s="307"/>
      <c r="DP17" s="307"/>
      <c r="DQ17" s="307"/>
      <c r="DR17" s="307"/>
      <c r="DS17" s="307"/>
      <c r="DT17" s="307"/>
      <c r="DU17" s="307"/>
      <c r="DV17" s="307"/>
      <c r="DW17" s="307"/>
      <c r="DX17" s="307"/>
      <c r="DY17" s="307"/>
      <c r="DZ17" s="307"/>
      <c r="EA17" s="307"/>
      <c r="EB17" s="307"/>
      <c r="EC17" s="307"/>
      <c r="ED17" s="307"/>
      <c r="EE17" s="307"/>
      <c r="EF17" s="307"/>
      <c r="EG17" s="307"/>
      <c r="EH17" s="307"/>
      <c r="EI17" s="307"/>
      <c r="EJ17" s="307"/>
      <c r="EK17" s="307"/>
      <c r="EL17" s="307">
        <v>1</v>
      </c>
    </row>
    <row r="18" spans="1:142" x14ac:dyDescent="0.25">
      <c r="A18" s="305" t="s">
        <v>1693</v>
      </c>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307"/>
      <c r="AS18" s="307"/>
      <c r="AT18" s="307"/>
      <c r="AU18" s="307"/>
      <c r="AV18" s="307"/>
      <c r="AW18" s="307"/>
      <c r="AX18" s="307"/>
      <c r="AY18" s="307"/>
      <c r="AZ18" s="307"/>
      <c r="BA18" s="307"/>
      <c r="BB18" s="307"/>
      <c r="BC18" s="307"/>
      <c r="BD18" s="307"/>
      <c r="BE18" s="307"/>
      <c r="BF18" s="307"/>
      <c r="BG18" s="307"/>
      <c r="BH18" s="307"/>
      <c r="BI18" s="307"/>
      <c r="BJ18" s="307"/>
      <c r="BK18" s="307">
        <v>265777.35384823539</v>
      </c>
      <c r="BL18" s="307"/>
      <c r="BM18" s="307"/>
      <c r="BN18" s="307"/>
      <c r="BO18" s="307"/>
      <c r="BP18" s="307"/>
      <c r="BQ18" s="307"/>
      <c r="BR18" s="307"/>
      <c r="BS18" s="307"/>
      <c r="BT18" s="307"/>
      <c r="BU18" s="307"/>
      <c r="BV18" s="307"/>
      <c r="BW18" s="307"/>
      <c r="BX18" s="307"/>
      <c r="BY18" s="307"/>
      <c r="BZ18" s="307"/>
      <c r="CA18" s="307"/>
      <c r="CB18" s="307"/>
      <c r="CC18" s="307"/>
      <c r="CD18" s="307"/>
      <c r="CE18" s="307"/>
      <c r="CF18" s="307"/>
      <c r="CG18" s="307"/>
      <c r="CH18" s="307"/>
      <c r="CI18" s="307"/>
      <c r="CJ18" s="307"/>
      <c r="CK18" s="307"/>
      <c r="CL18" s="307"/>
      <c r="CM18" s="307"/>
      <c r="CN18" s="307"/>
      <c r="CO18" s="307"/>
      <c r="CP18" s="307"/>
      <c r="CQ18" s="307"/>
      <c r="CR18" s="307"/>
      <c r="CS18" s="307"/>
      <c r="CT18" s="307"/>
      <c r="CU18" s="307"/>
      <c r="CV18" s="307"/>
      <c r="CW18" s="307"/>
      <c r="CX18" s="307"/>
      <c r="CY18" s="307"/>
      <c r="CZ18" s="307"/>
      <c r="DA18" s="307"/>
      <c r="DB18" s="307"/>
      <c r="DC18" s="307"/>
      <c r="DD18" s="307"/>
      <c r="DE18" s="307"/>
      <c r="DF18" s="307"/>
      <c r="DG18" s="307"/>
      <c r="DH18" s="307"/>
      <c r="DI18" s="307"/>
      <c r="DJ18" s="307"/>
      <c r="DK18" s="307"/>
      <c r="DL18" s="307"/>
      <c r="DM18" s="307"/>
      <c r="DN18" s="307"/>
      <c r="DO18" s="307"/>
      <c r="DP18" s="307"/>
      <c r="DQ18" s="307"/>
      <c r="DR18" s="307"/>
      <c r="DS18" s="307"/>
      <c r="DT18" s="307"/>
      <c r="DU18" s="307"/>
      <c r="DV18" s="307"/>
      <c r="DW18" s="307"/>
      <c r="DX18" s="307"/>
      <c r="DY18" s="307"/>
      <c r="DZ18" s="307"/>
      <c r="EA18" s="307"/>
      <c r="EB18" s="307"/>
      <c r="EC18" s="307"/>
      <c r="ED18" s="307"/>
      <c r="EE18" s="307"/>
      <c r="EF18" s="307"/>
      <c r="EG18" s="307"/>
      <c r="EH18" s="307"/>
      <c r="EI18" s="307"/>
      <c r="EJ18" s="307"/>
      <c r="EK18" s="307"/>
      <c r="EL18" s="307">
        <v>265777.35384823539</v>
      </c>
    </row>
    <row r="19" spans="1:142" x14ac:dyDescent="0.25">
      <c r="A19" s="305" t="s">
        <v>1692</v>
      </c>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v>83271.30903482523</v>
      </c>
      <c r="BM19" s="307"/>
      <c r="BN19" s="307"/>
      <c r="BO19" s="307"/>
      <c r="BP19" s="307"/>
      <c r="BQ19" s="307"/>
      <c r="BR19" s="307"/>
      <c r="BS19" s="307"/>
      <c r="BT19" s="307"/>
      <c r="BU19" s="307"/>
      <c r="BV19" s="307"/>
      <c r="BW19" s="307"/>
      <c r="BX19" s="307"/>
      <c r="BY19" s="307"/>
      <c r="BZ19" s="307"/>
      <c r="CA19" s="307"/>
      <c r="CB19" s="307"/>
      <c r="CC19" s="307"/>
      <c r="CD19" s="307"/>
      <c r="CE19" s="307"/>
      <c r="CF19" s="307"/>
      <c r="CG19" s="307"/>
      <c r="CH19" s="307"/>
      <c r="CI19" s="307"/>
      <c r="CJ19" s="307"/>
      <c r="CK19" s="307"/>
      <c r="CL19" s="307"/>
      <c r="CM19" s="307"/>
      <c r="CN19" s="307"/>
      <c r="CO19" s="307"/>
      <c r="CP19" s="307"/>
      <c r="CQ19" s="307"/>
      <c r="CR19" s="307"/>
      <c r="CS19" s="307"/>
      <c r="CT19" s="307"/>
      <c r="CU19" s="307"/>
      <c r="CV19" s="307"/>
      <c r="CW19" s="307"/>
      <c r="CX19" s="307"/>
      <c r="CY19" s="307"/>
      <c r="CZ19" s="307"/>
      <c r="DA19" s="307"/>
      <c r="DB19" s="307"/>
      <c r="DC19" s="307"/>
      <c r="DD19" s="307"/>
      <c r="DE19" s="307"/>
      <c r="DF19" s="307"/>
      <c r="DG19" s="307"/>
      <c r="DH19" s="307"/>
      <c r="DI19" s="307"/>
      <c r="DJ19" s="307"/>
      <c r="DK19" s="307"/>
      <c r="DL19" s="307"/>
      <c r="DM19" s="307"/>
      <c r="DN19" s="307"/>
      <c r="DO19" s="307"/>
      <c r="DP19" s="307"/>
      <c r="DQ19" s="307"/>
      <c r="DR19" s="307"/>
      <c r="DS19" s="307"/>
      <c r="DT19" s="307"/>
      <c r="DU19" s="307"/>
      <c r="DV19" s="307"/>
      <c r="DW19" s="307"/>
      <c r="DX19" s="307"/>
      <c r="DY19" s="307"/>
      <c r="DZ19" s="307"/>
      <c r="EA19" s="307"/>
      <c r="EB19" s="307"/>
      <c r="EC19" s="307"/>
      <c r="ED19" s="307"/>
      <c r="EE19" s="307"/>
      <c r="EF19" s="307"/>
      <c r="EG19" s="307"/>
      <c r="EH19" s="307"/>
      <c r="EI19" s="307"/>
      <c r="EJ19" s="307"/>
      <c r="EK19" s="307"/>
      <c r="EL19" s="307">
        <v>83271.30903482523</v>
      </c>
    </row>
    <row r="20" spans="1:142" x14ac:dyDescent="0.25">
      <c r="A20" s="305" t="s">
        <v>1691</v>
      </c>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c r="AS20" s="307"/>
      <c r="AT20" s="307"/>
      <c r="AU20" s="307"/>
      <c r="AV20" s="307"/>
      <c r="AW20" s="307"/>
      <c r="AX20" s="307"/>
      <c r="AY20" s="307"/>
      <c r="AZ20" s="307"/>
      <c r="BA20" s="307"/>
      <c r="BB20" s="307"/>
      <c r="BC20" s="307"/>
      <c r="BD20" s="307"/>
      <c r="BE20" s="307"/>
      <c r="BF20" s="307"/>
      <c r="BG20" s="307"/>
      <c r="BH20" s="307"/>
      <c r="BI20" s="307"/>
      <c r="BJ20" s="307"/>
      <c r="BK20" s="307"/>
      <c r="BL20" s="307"/>
      <c r="BM20" s="307">
        <v>27058.639307158493</v>
      </c>
      <c r="BN20" s="307"/>
      <c r="BO20" s="307"/>
      <c r="BP20" s="307"/>
      <c r="BQ20" s="307"/>
      <c r="BR20" s="307"/>
      <c r="BS20" s="307"/>
      <c r="BT20" s="307"/>
      <c r="BU20" s="307"/>
      <c r="BV20" s="307"/>
      <c r="BW20" s="307"/>
      <c r="BX20" s="307"/>
      <c r="BY20" s="307"/>
      <c r="BZ20" s="307"/>
      <c r="CA20" s="307"/>
      <c r="CB20" s="307"/>
      <c r="CC20" s="307"/>
      <c r="CD20" s="307"/>
      <c r="CE20" s="307"/>
      <c r="CF20" s="307"/>
      <c r="CG20" s="307"/>
      <c r="CH20" s="307"/>
      <c r="CI20" s="307"/>
      <c r="CJ20" s="307"/>
      <c r="CK20" s="307"/>
      <c r="CL20" s="307"/>
      <c r="CM20" s="307"/>
      <c r="CN20" s="307"/>
      <c r="CO20" s="307"/>
      <c r="CP20" s="307"/>
      <c r="CQ20" s="307"/>
      <c r="CR20" s="307"/>
      <c r="CS20" s="307"/>
      <c r="CT20" s="307"/>
      <c r="CU20" s="307"/>
      <c r="CV20" s="307"/>
      <c r="CW20" s="307"/>
      <c r="CX20" s="307"/>
      <c r="CY20" s="307"/>
      <c r="CZ20" s="307"/>
      <c r="DA20" s="307"/>
      <c r="DB20" s="307"/>
      <c r="DC20" s="307"/>
      <c r="DD20" s="307"/>
      <c r="DE20" s="307"/>
      <c r="DF20" s="307"/>
      <c r="DG20" s="307"/>
      <c r="DH20" s="307"/>
      <c r="DI20" s="307"/>
      <c r="DJ20" s="307"/>
      <c r="DK20" s="307"/>
      <c r="DL20" s="307"/>
      <c r="DM20" s="307"/>
      <c r="DN20" s="307"/>
      <c r="DO20" s="307"/>
      <c r="DP20" s="307"/>
      <c r="DQ20" s="307"/>
      <c r="DR20" s="307"/>
      <c r="DS20" s="307"/>
      <c r="DT20" s="307"/>
      <c r="DU20" s="307"/>
      <c r="DV20" s="307"/>
      <c r="DW20" s="307"/>
      <c r="DX20" s="307"/>
      <c r="DY20" s="307"/>
      <c r="DZ20" s="307"/>
      <c r="EA20" s="307"/>
      <c r="EB20" s="307"/>
      <c r="EC20" s="307"/>
      <c r="ED20" s="307"/>
      <c r="EE20" s="307"/>
      <c r="EF20" s="307"/>
      <c r="EG20" s="307"/>
      <c r="EH20" s="307"/>
      <c r="EI20" s="307"/>
      <c r="EJ20" s="307"/>
      <c r="EK20" s="307"/>
      <c r="EL20" s="307">
        <v>27058.639307158493</v>
      </c>
    </row>
    <row r="21" spans="1:142" x14ac:dyDescent="0.25">
      <c r="A21" s="305" t="s">
        <v>1690</v>
      </c>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c r="AN21" s="307"/>
      <c r="AO21" s="307"/>
      <c r="AP21" s="307"/>
      <c r="AQ21" s="307"/>
      <c r="AR21" s="307"/>
      <c r="AS21" s="307"/>
      <c r="AT21" s="307"/>
      <c r="AU21" s="307"/>
      <c r="AV21" s="307"/>
      <c r="AW21" s="307"/>
      <c r="AX21" s="307"/>
      <c r="AY21" s="307"/>
      <c r="AZ21" s="307"/>
      <c r="BA21" s="307"/>
      <c r="BB21" s="307"/>
      <c r="BC21" s="307"/>
      <c r="BD21" s="307"/>
      <c r="BE21" s="307"/>
      <c r="BF21" s="307"/>
      <c r="BG21" s="307"/>
      <c r="BH21" s="307"/>
      <c r="BI21" s="307"/>
      <c r="BJ21" s="307"/>
      <c r="BK21" s="307"/>
      <c r="BL21" s="307"/>
      <c r="BM21" s="307"/>
      <c r="BN21" s="307">
        <v>43502.883350147538</v>
      </c>
      <c r="BO21" s="307"/>
      <c r="BP21" s="307"/>
      <c r="BQ21" s="307"/>
      <c r="BR21" s="307"/>
      <c r="BS21" s="307"/>
      <c r="BT21" s="307"/>
      <c r="BU21" s="307"/>
      <c r="BV21" s="307"/>
      <c r="BW21" s="307"/>
      <c r="BX21" s="307"/>
      <c r="BY21" s="307"/>
      <c r="BZ21" s="307"/>
      <c r="CA21" s="307"/>
      <c r="CB21" s="307"/>
      <c r="CC21" s="307"/>
      <c r="CD21" s="307"/>
      <c r="CE21" s="307"/>
      <c r="CF21" s="307"/>
      <c r="CG21" s="307"/>
      <c r="CH21" s="307"/>
      <c r="CI21" s="307"/>
      <c r="CJ21" s="307"/>
      <c r="CK21" s="307"/>
      <c r="CL21" s="307"/>
      <c r="CM21" s="307"/>
      <c r="CN21" s="307"/>
      <c r="CO21" s="307"/>
      <c r="CP21" s="307"/>
      <c r="CQ21" s="307"/>
      <c r="CR21" s="307"/>
      <c r="CS21" s="307"/>
      <c r="CT21" s="307"/>
      <c r="CU21" s="307"/>
      <c r="CV21" s="307"/>
      <c r="CW21" s="307"/>
      <c r="CX21" s="307"/>
      <c r="CY21" s="307"/>
      <c r="CZ21" s="307"/>
      <c r="DA21" s="307"/>
      <c r="DB21" s="307"/>
      <c r="DC21" s="307"/>
      <c r="DD21" s="307"/>
      <c r="DE21" s="307"/>
      <c r="DF21" s="307"/>
      <c r="DG21" s="307"/>
      <c r="DH21" s="307"/>
      <c r="DI21" s="307"/>
      <c r="DJ21" s="307"/>
      <c r="DK21" s="307"/>
      <c r="DL21" s="307"/>
      <c r="DM21" s="307"/>
      <c r="DN21" s="307"/>
      <c r="DO21" s="307"/>
      <c r="DP21" s="307"/>
      <c r="DQ21" s="307"/>
      <c r="DR21" s="307"/>
      <c r="DS21" s="307"/>
      <c r="DT21" s="307"/>
      <c r="DU21" s="307"/>
      <c r="DV21" s="307"/>
      <c r="DW21" s="307"/>
      <c r="DX21" s="307"/>
      <c r="DY21" s="307"/>
      <c r="DZ21" s="307"/>
      <c r="EA21" s="307"/>
      <c r="EB21" s="307"/>
      <c r="EC21" s="307"/>
      <c r="ED21" s="307"/>
      <c r="EE21" s="307"/>
      <c r="EF21" s="307"/>
      <c r="EG21" s="307"/>
      <c r="EH21" s="307"/>
      <c r="EI21" s="307"/>
      <c r="EJ21" s="307"/>
      <c r="EK21" s="307"/>
      <c r="EL21" s="307">
        <v>43502.883350147538</v>
      </c>
    </row>
    <row r="22" spans="1:142" x14ac:dyDescent="0.25">
      <c r="A22" s="305" t="s">
        <v>1689</v>
      </c>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c r="AO22" s="307"/>
      <c r="AP22" s="307"/>
      <c r="AQ22" s="307"/>
      <c r="AR22" s="307"/>
      <c r="AS22" s="307"/>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v>8783.8423196454842</v>
      </c>
      <c r="BP22" s="307"/>
      <c r="BQ22" s="307"/>
      <c r="BR22" s="307"/>
      <c r="BS22" s="307"/>
      <c r="BT22" s="307"/>
      <c r="BU22" s="307"/>
      <c r="BV22" s="307"/>
      <c r="BW22" s="307"/>
      <c r="BX22" s="307"/>
      <c r="BY22" s="307"/>
      <c r="BZ22" s="307"/>
      <c r="CA22" s="307"/>
      <c r="CB22" s="307"/>
      <c r="CC22" s="307"/>
      <c r="CD22" s="307"/>
      <c r="CE22" s="307"/>
      <c r="CF22" s="307"/>
      <c r="CG22" s="307"/>
      <c r="CH22" s="307"/>
      <c r="CI22" s="307"/>
      <c r="CJ22" s="307"/>
      <c r="CK22" s="307"/>
      <c r="CL22" s="307"/>
      <c r="CM22" s="307"/>
      <c r="CN22" s="307"/>
      <c r="CO22" s="307"/>
      <c r="CP22" s="307"/>
      <c r="CQ22" s="307"/>
      <c r="CR22" s="307"/>
      <c r="CS22" s="307"/>
      <c r="CT22" s="307"/>
      <c r="CU22" s="307"/>
      <c r="CV22" s="307"/>
      <c r="CW22" s="307"/>
      <c r="CX22" s="307"/>
      <c r="CY22" s="307"/>
      <c r="CZ22" s="307"/>
      <c r="DA22" s="307"/>
      <c r="DB22" s="307"/>
      <c r="DC22" s="307"/>
      <c r="DD22" s="307"/>
      <c r="DE22" s="307"/>
      <c r="DF22" s="307"/>
      <c r="DG22" s="307"/>
      <c r="DH22" s="307"/>
      <c r="DI22" s="307"/>
      <c r="DJ22" s="307"/>
      <c r="DK22" s="307"/>
      <c r="DL22" s="307"/>
      <c r="DM22" s="307"/>
      <c r="DN22" s="307"/>
      <c r="DO22" s="307"/>
      <c r="DP22" s="307"/>
      <c r="DQ22" s="307"/>
      <c r="DR22" s="307"/>
      <c r="DS22" s="307"/>
      <c r="DT22" s="307"/>
      <c r="DU22" s="307"/>
      <c r="DV22" s="307"/>
      <c r="DW22" s="307"/>
      <c r="DX22" s="307"/>
      <c r="DY22" s="307"/>
      <c r="DZ22" s="307"/>
      <c r="EA22" s="307"/>
      <c r="EB22" s="307"/>
      <c r="EC22" s="307"/>
      <c r="ED22" s="307"/>
      <c r="EE22" s="307"/>
      <c r="EF22" s="307"/>
      <c r="EG22" s="307"/>
      <c r="EH22" s="307"/>
      <c r="EI22" s="307"/>
      <c r="EJ22" s="307"/>
      <c r="EK22" s="307"/>
      <c r="EL22" s="307">
        <v>8783.8423196454842</v>
      </c>
    </row>
    <row r="23" spans="1:142" x14ac:dyDescent="0.25">
      <c r="A23" s="305" t="s">
        <v>1688</v>
      </c>
      <c r="B23" s="307"/>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c r="AN23" s="307"/>
      <c r="AO23" s="307"/>
      <c r="AP23" s="307"/>
      <c r="AQ23" s="307"/>
      <c r="AR23" s="307"/>
      <c r="AS23" s="307"/>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v>8710.7120316860164</v>
      </c>
      <c r="BQ23" s="307"/>
      <c r="BR23" s="307"/>
      <c r="BS23" s="307"/>
      <c r="BT23" s="307"/>
      <c r="BU23" s="307"/>
      <c r="BV23" s="307"/>
      <c r="BW23" s="307"/>
      <c r="BX23" s="307"/>
      <c r="BY23" s="307"/>
      <c r="BZ23" s="307"/>
      <c r="CA23" s="307"/>
      <c r="CB23" s="307"/>
      <c r="CC23" s="307"/>
      <c r="CD23" s="307"/>
      <c r="CE23" s="307"/>
      <c r="CF23" s="307"/>
      <c r="CG23" s="307"/>
      <c r="CH23" s="307"/>
      <c r="CI23" s="307"/>
      <c r="CJ23" s="307"/>
      <c r="CK23" s="307"/>
      <c r="CL23" s="307"/>
      <c r="CM23" s="307"/>
      <c r="CN23" s="307"/>
      <c r="CO23" s="307"/>
      <c r="CP23" s="307"/>
      <c r="CQ23" s="307"/>
      <c r="CR23" s="307"/>
      <c r="CS23" s="307"/>
      <c r="CT23" s="307"/>
      <c r="CU23" s="307"/>
      <c r="CV23" s="307"/>
      <c r="CW23" s="307"/>
      <c r="CX23" s="307"/>
      <c r="CY23" s="307"/>
      <c r="CZ23" s="307"/>
      <c r="DA23" s="307"/>
      <c r="DB23" s="307"/>
      <c r="DC23" s="307"/>
      <c r="DD23" s="307"/>
      <c r="DE23" s="307"/>
      <c r="DF23" s="307"/>
      <c r="DG23" s="307"/>
      <c r="DH23" s="307"/>
      <c r="DI23" s="307"/>
      <c r="DJ23" s="307"/>
      <c r="DK23" s="307"/>
      <c r="DL23" s="307"/>
      <c r="DM23" s="307"/>
      <c r="DN23" s="307"/>
      <c r="DO23" s="307"/>
      <c r="DP23" s="307"/>
      <c r="DQ23" s="307"/>
      <c r="DR23" s="307"/>
      <c r="DS23" s="307"/>
      <c r="DT23" s="307"/>
      <c r="DU23" s="307"/>
      <c r="DV23" s="307"/>
      <c r="DW23" s="307"/>
      <c r="DX23" s="307"/>
      <c r="DY23" s="307"/>
      <c r="DZ23" s="307"/>
      <c r="EA23" s="307"/>
      <c r="EB23" s="307"/>
      <c r="EC23" s="307"/>
      <c r="ED23" s="307"/>
      <c r="EE23" s="307"/>
      <c r="EF23" s="307"/>
      <c r="EG23" s="307"/>
      <c r="EH23" s="307"/>
      <c r="EI23" s="307"/>
      <c r="EJ23" s="307"/>
      <c r="EK23" s="307"/>
      <c r="EL23" s="307">
        <v>8710.7120316860164</v>
      </c>
    </row>
    <row r="24" spans="1:142" x14ac:dyDescent="0.25">
      <c r="A24" s="305" t="s">
        <v>1687</v>
      </c>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307"/>
      <c r="AS24" s="307"/>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v>44160.074473262706</v>
      </c>
      <c r="BR24" s="307"/>
      <c r="BS24" s="307"/>
      <c r="BT24" s="307"/>
      <c r="BU24" s="307"/>
      <c r="BV24" s="307"/>
      <c r="BW24" s="307"/>
      <c r="BX24" s="307"/>
      <c r="BY24" s="307"/>
      <c r="BZ24" s="307"/>
      <c r="CA24" s="307"/>
      <c r="CB24" s="307"/>
      <c r="CC24" s="307"/>
      <c r="CD24" s="307"/>
      <c r="CE24" s="307"/>
      <c r="CF24" s="307"/>
      <c r="CG24" s="307"/>
      <c r="CH24" s="307"/>
      <c r="CI24" s="307"/>
      <c r="CJ24" s="307"/>
      <c r="CK24" s="307"/>
      <c r="CL24" s="307"/>
      <c r="CM24" s="307"/>
      <c r="CN24" s="307"/>
      <c r="CO24" s="307"/>
      <c r="CP24" s="307"/>
      <c r="CQ24" s="307"/>
      <c r="CR24" s="307"/>
      <c r="CS24" s="307"/>
      <c r="CT24" s="307"/>
      <c r="CU24" s="307"/>
      <c r="CV24" s="307"/>
      <c r="CW24" s="307"/>
      <c r="CX24" s="307"/>
      <c r="CY24" s="307"/>
      <c r="CZ24" s="307"/>
      <c r="DA24" s="307"/>
      <c r="DB24" s="307"/>
      <c r="DC24" s="307"/>
      <c r="DD24" s="307"/>
      <c r="DE24" s="307"/>
      <c r="DF24" s="307"/>
      <c r="DG24" s="307"/>
      <c r="DH24" s="307"/>
      <c r="DI24" s="307"/>
      <c r="DJ24" s="307"/>
      <c r="DK24" s="307"/>
      <c r="DL24" s="307"/>
      <c r="DM24" s="307"/>
      <c r="DN24" s="307"/>
      <c r="DO24" s="307"/>
      <c r="DP24" s="307"/>
      <c r="DQ24" s="307"/>
      <c r="DR24" s="307"/>
      <c r="DS24" s="307"/>
      <c r="DT24" s="307"/>
      <c r="DU24" s="307"/>
      <c r="DV24" s="307"/>
      <c r="DW24" s="307"/>
      <c r="DX24" s="307"/>
      <c r="DY24" s="307"/>
      <c r="DZ24" s="307"/>
      <c r="EA24" s="307"/>
      <c r="EB24" s="307"/>
      <c r="EC24" s="307"/>
      <c r="ED24" s="307"/>
      <c r="EE24" s="307"/>
      <c r="EF24" s="307"/>
      <c r="EG24" s="307"/>
      <c r="EH24" s="307"/>
      <c r="EI24" s="307"/>
      <c r="EJ24" s="307"/>
      <c r="EK24" s="307"/>
      <c r="EL24" s="307">
        <v>44160.074473262706</v>
      </c>
    </row>
    <row r="25" spans="1:142" x14ac:dyDescent="0.25">
      <c r="A25" s="305" t="s">
        <v>1686</v>
      </c>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v>75485.287898324154</v>
      </c>
      <c r="BS25" s="307"/>
      <c r="BT25" s="307"/>
      <c r="BU25" s="307"/>
      <c r="BV25" s="307"/>
      <c r="BW25" s="307"/>
      <c r="BX25" s="307"/>
      <c r="BY25" s="307"/>
      <c r="BZ25" s="307"/>
      <c r="CA25" s="307"/>
      <c r="CB25" s="307"/>
      <c r="CC25" s="307"/>
      <c r="CD25" s="307"/>
      <c r="CE25" s="307"/>
      <c r="CF25" s="307"/>
      <c r="CG25" s="307"/>
      <c r="CH25" s="307"/>
      <c r="CI25" s="307"/>
      <c r="CJ25" s="307"/>
      <c r="CK25" s="307"/>
      <c r="CL25" s="307"/>
      <c r="CM25" s="307"/>
      <c r="CN25" s="307"/>
      <c r="CO25" s="307"/>
      <c r="CP25" s="307"/>
      <c r="CQ25" s="307"/>
      <c r="CR25" s="307"/>
      <c r="CS25" s="307"/>
      <c r="CT25" s="307"/>
      <c r="CU25" s="307"/>
      <c r="CV25" s="307"/>
      <c r="CW25" s="307"/>
      <c r="CX25" s="307"/>
      <c r="CY25" s="307"/>
      <c r="CZ25" s="307"/>
      <c r="DA25" s="307"/>
      <c r="DB25" s="307"/>
      <c r="DC25" s="307"/>
      <c r="DD25" s="307"/>
      <c r="DE25" s="307"/>
      <c r="DF25" s="307"/>
      <c r="DG25" s="307"/>
      <c r="DH25" s="307"/>
      <c r="DI25" s="307"/>
      <c r="DJ25" s="307"/>
      <c r="DK25" s="307"/>
      <c r="DL25" s="307"/>
      <c r="DM25" s="307"/>
      <c r="DN25" s="307"/>
      <c r="DO25" s="307"/>
      <c r="DP25" s="307"/>
      <c r="DQ25" s="307"/>
      <c r="DR25" s="307"/>
      <c r="DS25" s="307"/>
      <c r="DT25" s="307"/>
      <c r="DU25" s="307"/>
      <c r="DV25" s="307"/>
      <c r="DW25" s="307"/>
      <c r="DX25" s="307"/>
      <c r="DY25" s="307"/>
      <c r="DZ25" s="307"/>
      <c r="EA25" s="307"/>
      <c r="EB25" s="307"/>
      <c r="EC25" s="307"/>
      <c r="ED25" s="307"/>
      <c r="EE25" s="307"/>
      <c r="EF25" s="307"/>
      <c r="EG25" s="307"/>
      <c r="EH25" s="307"/>
      <c r="EI25" s="307"/>
      <c r="EJ25" s="307"/>
      <c r="EK25" s="307"/>
      <c r="EL25" s="307">
        <v>75485.287898324154</v>
      </c>
    </row>
    <row r="26" spans="1:142" x14ac:dyDescent="0.25">
      <c r="A26" s="305" t="s">
        <v>1685</v>
      </c>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307"/>
      <c r="AS26" s="307"/>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v>41840.768385576797</v>
      </c>
      <c r="BT26" s="307"/>
      <c r="BU26" s="307"/>
      <c r="BV26" s="307"/>
      <c r="BW26" s="307"/>
      <c r="BX26" s="307"/>
      <c r="BY26" s="307"/>
      <c r="BZ26" s="307"/>
      <c r="CA26" s="307"/>
      <c r="CB26" s="307"/>
      <c r="CC26" s="307"/>
      <c r="CD26" s="307"/>
      <c r="CE26" s="307"/>
      <c r="CF26" s="307"/>
      <c r="CG26" s="307"/>
      <c r="CH26" s="307"/>
      <c r="CI26" s="307"/>
      <c r="CJ26" s="307"/>
      <c r="CK26" s="307"/>
      <c r="CL26" s="307"/>
      <c r="CM26" s="307"/>
      <c r="CN26" s="307"/>
      <c r="CO26" s="307"/>
      <c r="CP26" s="307"/>
      <c r="CQ26" s="307"/>
      <c r="CR26" s="307"/>
      <c r="CS26" s="307"/>
      <c r="CT26" s="307"/>
      <c r="CU26" s="307"/>
      <c r="CV26" s="307"/>
      <c r="CW26" s="307"/>
      <c r="CX26" s="307"/>
      <c r="CY26" s="307"/>
      <c r="CZ26" s="307"/>
      <c r="DA26" s="307"/>
      <c r="DB26" s="307"/>
      <c r="DC26" s="307"/>
      <c r="DD26" s="307"/>
      <c r="DE26" s="307"/>
      <c r="DF26" s="307"/>
      <c r="DG26" s="307"/>
      <c r="DH26" s="307"/>
      <c r="DI26" s="307"/>
      <c r="DJ26" s="307"/>
      <c r="DK26" s="307"/>
      <c r="DL26" s="307"/>
      <c r="DM26" s="307"/>
      <c r="DN26" s="307"/>
      <c r="DO26" s="307"/>
      <c r="DP26" s="307"/>
      <c r="DQ26" s="307"/>
      <c r="DR26" s="307"/>
      <c r="DS26" s="307"/>
      <c r="DT26" s="307"/>
      <c r="DU26" s="307"/>
      <c r="DV26" s="307"/>
      <c r="DW26" s="307"/>
      <c r="DX26" s="307"/>
      <c r="DY26" s="307"/>
      <c r="DZ26" s="307"/>
      <c r="EA26" s="307"/>
      <c r="EB26" s="307"/>
      <c r="EC26" s="307"/>
      <c r="ED26" s="307"/>
      <c r="EE26" s="307"/>
      <c r="EF26" s="307"/>
      <c r="EG26" s="307"/>
      <c r="EH26" s="307"/>
      <c r="EI26" s="307"/>
      <c r="EJ26" s="307"/>
      <c r="EK26" s="307"/>
      <c r="EL26" s="307">
        <v>41840.768385576797</v>
      </c>
    </row>
    <row r="27" spans="1:142" x14ac:dyDescent="0.25">
      <c r="A27" s="305" t="s">
        <v>1684</v>
      </c>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v>66798.947192486798</v>
      </c>
      <c r="BU27" s="307">
        <v>62229.573188161041</v>
      </c>
      <c r="BV27" s="307">
        <v>14431.075661240538</v>
      </c>
      <c r="BW27" s="307"/>
      <c r="BX27" s="307"/>
      <c r="BY27" s="307"/>
      <c r="BZ27" s="307"/>
      <c r="CA27" s="307"/>
      <c r="CB27" s="307"/>
      <c r="CC27" s="307"/>
      <c r="CD27" s="307"/>
      <c r="CE27" s="307"/>
      <c r="CF27" s="307"/>
      <c r="CG27" s="307"/>
      <c r="CH27" s="307"/>
      <c r="CI27" s="307"/>
      <c r="CJ27" s="307"/>
      <c r="CK27" s="307"/>
      <c r="CL27" s="307"/>
      <c r="CM27" s="307"/>
      <c r="CN27" s="307"/>
      <c r="CO27" s="307"/>
      <c r="CP27" s="307"/>
      <c r="CQ27" s="307"/>
      <c r="CR27" s="307"/>
      <c r="CS27" s="307"/>
      <c r="CT27" s="307"/>
      <c r="CU27" s="307"/>
      <c r="CV27" s="307"/>
      <c r="CW27" s="307"/>
      <c r="CX27" s="307"/>
      <c r="CY27" s="307"/>
      <c r="CZ27" s="307"/>
      <c r="DA27" s="307"/>
      <c r="DB27" s="307"/>
      <c r="DC27" s="307"/>
      <c r="DD27" s="307"/>
      <c r="DE27" s="307"/>
      <c r="DF27" s="307"/>
      <c r="DG27" s="307"/>
      <c r="DH27" s="307"/>
      <c r="DI27" s="307"/>
      <c r="DJ27" s="307"/>
      <c r="DK27" s="307"/>
      <c r="DL27" s="307"/>
      <c r="DM27" s="307"/>
      <c r="DN27" s="307"/>
      <c r="DO27" s="307"/>
      <c r="DP27" s="307"/>
      <c r="DQ27" s="307"/>
      <c r="DR27" s="307"/>
      <c r="DS27" s="307"/>
      <c r="DT27" s="307"/>
      <c r="DU27" s="307"/>
      <c r="DV27" s="307"/>
      <c r="DW27" s="307"/>
      <c r="DX27" s="307"/>
      <c r="DY27" s="307"/>
      <c r="DZ27" s="307"/>
      <c r="EA27" s="307"/>
      <c r="EB27" s="307"/>
      <c r="EC27" s="307"/>
      <c r="ED27" s="307"/>
      <c r="EE27" s="307"/>
      <c r="EF27" s="307"/>
      <c r="EG27" s="307"/>
      <c r="EH27" s="307"/>
      <c r="EI27" s="307"/>
      <c r="EJ27" s="307"/>
      <c r="EK27" s="307"/>
      <c r="EL27" s="307">
        <v>143459.59604188838</v>
      </c>
    </row>
    <row r="28" spans="1:142" x14ac:dyDescent="0.25">
      <c r="A28" s="305" t="s">
        <v>1683</v>
      </c>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307"/>
      <c r="AS28" s="307"/>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c r="BW28" s="307">
        <v>119797.87963530023</v>
      </c>
      <c r="BX28" s="307"/>
      <c r="BY28" s="307"/>
      <c r="BZ28" s="307"/>
      <c r="CA28" s="307"/>
      <c r="CB28" s="307"/>
      <c r="CC28" s="307"/>
      <c r="CD28" s="307"/>
      <c r="CE28" s="307"/>
      <c r="CF28" s="307"/>
      <c r="CG28" s="307"/>
      <c r="CH28" s="307"/>
      <c r="CI28" s="307"/>
      <c r="CJ28" s="307"/>
      <c r="CK28" s="307"/>
      <c r="CL28" s="307"/>
      <c r="CM28" s="307"/>
      <c r="CN28" s="307"/>
      <c r="CO28" s="307"/>
      <c r="CP28" s="307"/>
      <c r="CQ28" s="307"/>
      <c r="CR28" s="307"/>
      <c r="CS28" s="307"/>
      <c r="CT28" s="307"/>
      <c r="CU28" s="307"/>
      <c r="CV28" s="307"/>
      <c r="CW28" s="307"/>
      <c r="CX28" s="307"/>
      <c r="CY28" s="307"/>
      <c r="CZ28" s="307"/>
      <c r="DA28" s="307"/>
      <c r="DB28" s="307"/>
      <c r="DC28" s="307"/>
      <c r="DD28" s="307"/>
      <c r="DE28" s="307"/>
      <c r="DF28" s="307"/>
      <c r="DG28" s="307"/>
      <c r="DH28" s="307"/>
      <c r="DI28" s="307"/>
      <c r="DJ28" s="307"/>
      <c r="DK28" s="307"/>
      <c r="DL28" s="307"/>
      <c r="DM28" s="307"/>
      <c r="DN28" s="307"/>
      <c r="DO28" s="307"/>
      <c r="DP28" s="307"/>
      <c r="DQ28" s="307"/>
      <c r="DR28" s="307"/>
      <c r="DS28" s="307"/>
      <c r="DT28" s="307"/>
      <c r="DU28" s="307"/>
      <c r="DV28" s="307"/>
      <c r="DW28" s="307"/>
      <c r="DX28" s="307"/>
      <c r="DY28" s="307"/>
      <c r="DZ28" s="307"/>
      <c r="EA28" s="307"/>
      <c r="EB28" s="307"/>
      <c r="EC28" s="307"/>
      <c r="ED28" s="307"/>
      <c r="EE28" s="307"/>
      <c r="EF28" s="307"/>
      <c r="EG28" s="307"/>
      <c r="EH28" s="307"/>
      <c r="EI28" s="307"/>
      <c r="EJ28" s="307"/>
      <c r="EK28" s="307"/>
      <c r="EL28" s="307">
        <v>119797.87963530023</v>
      </c>
    </row>
    <row r="29" spans="1:142" x14ac:dyDescent="0.25">
      <c r="A29" s="305" t="s">
        <v>1682</v>
      </c>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307"/>
      <c r="AS29" s="307"/>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c r="BW29" s="307"/>
      <c r="BX29" s="307">
        <v>118993.61324641832</v>
      </c>
      <c r="BY29" s="307"/>
      <c r="BZ29" s="307"/>
      <c r="CA29" s="307"/>
      <c r="CB29" s="307"/>
      <c r="CC29" s="307"/>
      <c r="CD29" s="307"/>
      <c r="CE29" s="307"/>
      <c r="CF29" s="307"/>
      <c r="CG29" s="307"/>
      <c r="CH29" s="307"/>
      <c r="CI29" s="307"/>
      <c r="CJ29" s="307"/>
      <c r="CK29" s="307"/>
      <c r="CL29" s="307"/>
      <c r="CM29" s="307"/>
      <c r="CN29" s="307"/>
      <c r="CO29" s="307"/>
      <c r="CP29" s="307"/>
      <c r="CQ29" s="307"/>
      <c r="CR29" s="307"/>
      <c r="CS29" s="307"/>
      <c r="CT29" s="307"/>
      <c r="CU29" s="307"/>
      <c r="CV29" s="307"/>
      <c r="CW29" s="307"/>
      <c r="CX29" s="307"/>
      <c r="CY29" s="307"/>
      <c r="CZ29" s="307"/>
      <c r="DA29" s="307"/>
      <c r="DB29" s="307"/>
      <c r="DC29" s="307"/>
      <c r="DD29" s="307"/>
      <c r="DE29" s="307"/>
      <c r="DF29" s="307"/>
      <c r="DG29" s="307"/>
      <c r="DH29" s="307"/>
      <c r="DI29" s="307"/>
      <c r="DJ29" s="307"/>
      <c r="DK29" s="307"/>
      <c r="DL29" s="307"/>
      <c r="DM29" s="307"/>
      <c r="DN29" s="307"/>
      <c r="DO29" s="307"/>
      <c r="DP29" s="307"/>
      <c r="DQ29" s="307"/>
      <c r="DR29" s="307"/>
      <c r="DS29" s="307"/>
      <c r="DT29" s="307"/>
      <c r="DU29" s="307"/>
      <c r="DV29" s="307"/>
      <c r="DW29" s="307"/>
      <c r="DX29" s="307"/>
      <c r="DY29" s="307"/>
      <c r="DZ29" s="307"/>
      <c r="EA29" s="307"/>
      <c r="EB29" s="307"/>
      <c r="EC29" s="307"/>
      <c r="ED29" s="307"/>
      <c r="EE29" s="307"/>
      <c r="EF29" s="307"/>
      <c r="EG29" s="307"/>
      <c r="EH29" s="307"/>
      <c r="EI29" s="307"/>
      <c r="EJ29" s="307"/>
      <c r="EK29" s="307"/>
      <c r="EL29" s="307">
        <v>118993.61324641832</v>
      </c>
    </row>
    <row r="30" spans="1:142" x14ac:dyDescent="0.25">
      <c r="A30" s="305" t="s">
        <v>1681</v>
      </c>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307"/>
      <c r="AS30" s="307"/>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c r="BW30" s="307"/>
      <c r="BX30" s="307"/>
      <c r="BY30" s="307">
        <v>16407.147377087244</v>
      </c>
      <c r="BZ30" s="307"/>
      <c r="CA30" s="307"/>
      <c r="CB30" s="307"/>
      <c r="CC30" s="307"/>
      <c r="CD30" s="307"/>
      <c r="CE30" s="307"/>
      <c r="CF30" s="307"/>
      <c r="CG30" s="307"/>
      <c r="CH30" s="307"/>
      <c r="CI30" s="307"/>
      <c r="CJ30" s="307"/>
      <c r="CK30" s="307"/>
      <c r="CL30" s="307"/>
      <c r="CM30" s="307"/>
      <c r="CN30" s="307"/>
      <c r="CO30" s="307"/>
      <c r="CP30" s="307"/>
      <c r="CQ30" s="307"/>
      <c r="CR30" s="307"/>
      <c r="CS30" s="307"/>
      <c r="CT30" s="307"/>
      <c r="CU30" s="307"/>
      <c r="CV30" s="307"/>
      <c r="CW30" s="307"/>
      <c r="CX30" s="307"/>
      <c r="CY30" s="307"/>
      <c r="CZ30" s="307"/>
      <c r="DA30" s="307"/>
      <c r="DB30" s="307"/>
      <c r="DC30" s="307"/>
      <c r="DD30" s="307"/>
      <c r="DE30" s="307"/>
      <c r="DF30" s="307"/>
      <c r="DG30" s="307"/>
      <c r="DH30" s="307"/>
      <c r="DI30" s="307"/>
      <c r="DJ30" s="307"/>
      <c r="DK30" s="307"/>
      <c r="DL30" s="307"/>
      <c r="DM30" s="307"/>
      <c r="DN30" s="307"/>
      <c r="DO30" s="307"/>
      <c r="DP30" s="307"/>
      <c r="DQ30" s="307"/>
      <c r="DR30" s="307"/>
      <c r="DS30" s="307"/>
      <c r="DT30" s="307"/>
      <c r="DU30" s="307"/>
      <c r="DV30" s="307"/>
      <c r="DW30" s="307"/>
      <c r="DX30" s="307"/>
      <c r="DY30" s="307"/>
      <c r="DZ30" s="307"/>
      <c r="EA30" s="307"/>
      <c r="EB30" s="307"/>
      <c r="EC30" s="307"/>
      <c r="ED30" s="307"/>
      <c r="EE30" s="307"/>
      <c r="EF30" s="307"/>
      <c r="EG30" s="307"/>
      <c r="EH30" s="307"/>
      <c r="EI30" s="307"/>
      <c r="EJ30" s="307"/>
      <c r="EK30" s="307"/>
      <c r="EL30" s="307">
        <v>16407.147377087244</v>
      </c>
    </row>
    <row r="31" spans="1:142" x14ac:dyDescent="0.25">
      <c r="A31" s="305" t="s">
        <v>1680</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c r="BW31" s="307"/>
      <c r="BX31" s="307"/>
      <c r="BY31" s="307"/>
      <c r="BZ31" s="307">
        <v>38482.932737225019</v>
      </c>
      <c r="CA31" s="307"/>
      <c r="CB31" s="307"/>
      <c r="CC31" s="307"/>
      <c r="CD31" s="307"/>
      <c r="CE31" s="307"/>
      <c r="CF31" s="307"/>
      <c r="CG31" s="307"/>
      <c r="CH31" s="307"/>
      <c r="CI31" s="307"/>
      <c r="CJ31" s="307"/>
      <c r="CK31" s="307"/>
      <c r="CL31" s="307"/>
      <c r="CM31" s="307"/>
      <c r="CN31" s="307"/>
      <c r="CO31" s="307"/>
      <c r="CP31" s="307"/>
      <c r="CQ31" s="307"/>
      <c r="CR31" s="307"/>
      <c r="CS31" s="307"/>
      <c r="CT31" s="307"/>
      <c r="CU31" s="307"/>
      <c r="CV31" s="307"/>
      <c r="CW31" s="307"/>
      <c r="CX31" s="307"/>
      <c r="CY31" s="307"/>
      <c r="CZ31" s="307"/>
      <c r="DA31" s="307"/>
      <c r="DB31" s="307"/>
      <c r="DC31" s="307"/>
      <c r="DD31" s="307"/>
      <c r="DE31" s="307"/>
      <c r="DF31" s="307"/>
      <c r="DG31" s="307"/>
      <c r="DH31" s="307"/>
      <c r="DI31" s="307"/>
      <c r="DJ31" s="307"/>
      <c r="DK31" s="307"/>
      <c r="DL31" s="307"/>
      <c r="DM31" s="307"/>
      <c r="DN31" s="307"/>
      <c r="DO31" s="307"/>
      <c r="DP31" s="307"/>
      <c r="DQ31" s="307"/>
      <c r="DR31" s="307"/>
      <c r="DS31" s="307"/>
      <c r="DT31" s="307"/>
      <c r="DU31" s="307"/>
      <c r="DV31" s="307"/>
      <c r="DW31" s="307"/>
      <c r="DX31" s="307"/>
      <c r="DY31" s="307"/>
      <c r="DZ31" s="307"/>
      <c r="EA31" s="307"/>
      <c r="EB31" s="307"/>
      <c r="EC31" s="307"/>
      <c r="ED31" s="307"/>
      <c r="EE31" s="307"/>
      <c r="EF31" s="307"/>
      <c r="EG31" s="307"/>
      <c r="EH31" s="307"/>
      <c r="EI31" s="307"/>
      <c r="EJ31" s="307"/>
      <c r="EK31" s="307"/>
      <c r="EL31" s="307">
        <v>38482.932737225019</v>
      </c>
    </row>
    <row r="32" spans="1:142" x14ac:dyDescent="0.25">
      <c r="A32" s="305" t="s">
        <v>1679</v>
      </c>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c r="BW32" s="307"/>
      <c r="BX32" s="307"/>
      <c r="BY32" s="307"/>
      <c r="BZ32" s="307"/>
      <c r="CA32" s="307">
        <v>12175.124401069872</v>
      </c>
      <c r="CB32" s="307"/>
      <c r="CC32" s="307"/>
      <c r="CD32" s="307"/>
      <c r="CE32" s="307"/>
      <c r="CF32" s="307"/>
      <c r="CG32" s="307"/>
      <c r="CH32" s="307"/>
      <c r="CI32" s="307"/>
      <c r="CJ32" s="307"/>
      <c r="CK32" s="307"/>
      <c r="CL32" s="307"/>
      <c r="CM32" s="307"/>
      <c r="CN32" s="307"/>
      <c r="CO32" s="307"/>
      <c r="CP32" s="307"/>
      <c r="CQ32" s="307"/>
      <c r="CR32" s="307"/>
      <c r="CS32" s="307"/>
      <c r="CT32" s="307"/>
      <c r="CU32" s="307"/>
      <c r="CV32" s="307"/>
      <c r="CW32" s="307"/>
      <c r="CX32" s="307"/>
      <c r="CY32" s="307"/>
      <c r="CZ32" s="307"/>
      <c r="DA32" s="307"/>
      <c r="DB32" s="307"/>
      <c r="DC32" s="307"/>
      <c r="DD32" s="307"/>
      <c r="DE32" s="307"/>
      <c r="DF32" s="307"/>
      <c r="DG32" s="307"/>
      <c r="DH32" s="307"/>
      <c r="DI32" s="307"/>
      <c r="DJ32" s="307"/>
      <c r="DK32" s="307"/>
      <c r="DL32" s="307"/>
      <c r="DM32" s="307"/>
      <c r="DN32" s="307"/>
      <c r="DO32" s="307"/>
      <c r="DP32" s="307"/>
      <c r="DQ32" s="307"/>
      <c r="DR32" s="307"/>
      <c r="DS32" s="307"/>
      <c r="DT32" s="307"/>
      <c r="DU32" s="307"/>
      <c r="DV32" s="307"/>
      <c r="DW32" s="307"/>
      <c r="DX32" s="307"/>
      <c r="DY32" s="307"/>
      <c r="DZ32" s="307"/>
      <c r="EA32" s="307"/>
      <c r="EB32" s="307"/>
      <c r="EC32" s="307"/>
      <c r="ED32" s="307"/>
      <c r="EE32" s="307"/>
      <c r="EF32" s="307"/>
      <c r="EG32" s="307"/>
      <c r="EH32" s="307"/>
      <c r="EI32" s="307"/>
      <c r="EJ32" s="307"/>
      <c r="EK32" s="307"/>
      <c r="EL32" s="307">
        <v>12175.124401069872</v>
      </c>
    </row>
    <row r="33" spans="1:142" x14ac:dyDescent="0.25">
      <c r="A33" s="305" t="s">
        <v>1678</v>
      </c>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c r="BW33" s="307"/>
      <c r="BX33" s="307"/>
      <c r="BY33" s="307"/>
      <c r="BZ33" s="307"/>
      <c r="CA33" s="307"/>
      <c r="CB33" s="307">
        <v>43034.026847537265</v>
      </c>
      <c r="CC33" s="307"/>
      <c r="CD33" s="307"/>
      <c r="CE33" s="307"/>
      <c r="CF33" s="307"/>
      <c r="CG33" s="307"/>
      <c r="CH33" s="307"/>
      <c r="CI33" s="307"/>
      <c r="CJ33" s="307"/>
      <c r="CK33" s="307"/>
      <c r="CL33" s="307"/>
      <c r="CM33" s="307"/>
      <c r="CN33" s="307"/>
      <c r="CO33" s="307"/>
      <c r="CP33" s="307"/>
      <c r="CQ33" s="307"/>
      <c r="CR33" s="307"/>
      <c r="CS33" s="307"/>
      <c r="CT33" s="307"/>
      <c r="CU33" s="307"/>
      <c r="CV33" s="307"/>
      <c r="CW33" s="307"/>
      <c r="CX33" s="307"/>
      <c r="CY33" s="307"/>
      <c r="CZ33" s="307"/>
      <c r="DA33" s="307"/>
      <c r="DB33" s="307"/>
      <c r="DC33" s="307"/>
      <c r="DD33" s="307"/>
      <c r="DE33" s="307"/>
      <c r="DF33" s="307"/>
      <c r="DG33" s="307"/>
      <c r="DH33" s="307"/>
      <c r="DI33" s="307"/>
      <c r="DJ33" s="307"/>
      <c r="DK33" s="307"/>
      <c r="DL33" s="307"/>
      <c r="DM33" s="307"/>
      <c r="DN33" s="307"/>
      <c r="DO33" s="307"/>
      <c r="DP33" s="307"/>
      <c r="DQ33" s="307"/>
      <c r="DR33" s="307"/>
      <c r="DS33" s="307"/>
      <c r="DT33" s="307"/>
      <c r="DU33" s="307"/>
      <c r="DV33" s="307"/>
      <c r="DW33" s="307"/>
      <c r="DX33" s="307"/>
      <c r="DY33" s="307"/>
      <c r="DZ33" s="307"/>
      <c r="EA33" s="307"/>
      <c r="EB33" s="307"/>
      <c r="EC33" s="307"/>
      <c r="ED33" s="307"/>
      <c r="EE33" s="307"/>
      <c r="EF33" s="307"/>
      <c r="EG33" s="307"/>
      <c r="EH33" s="307"/>
      <c r="EI33" s="307"/>
      <c r="EJ33" s="307"/>
      <c r="EK33" s="307"/>
      <c r="EL33" s="307">
        <v>43034.026847537265</v>
      </c>
    </row>
    <row r="34" spans="1:142" x14ac:dyDescent="0.25">
      <c r="A34" s="305" t="s">
        <v>1677</v>
      </c>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c r="BW34" s="307"/>
      <c r="BX34" s="307"/>
      <c r="BY34" s="307"/>
      <c r="BZ34" s="307"/>
      <c r="CA34" s="307"/>
      <c r="CB34" s="307"/>
      <c r="CC34" s="307">
        <v>139745.09915966072</v>
      </c>
      <c r="CD34" s="307"/>
      <c r="CE34" s="307"/>
      <c r="CF34" s="307"/>
      <c r="CG34" s="307"/>
      <c r="CH34" s="307"/>
      <c r="CI34" s="307"/>
      <c r="CJ34" s="307"/>
      <c r="CK34" s="307"/>
      <c r="CL34" s="307"/>
      <c r="CM34" s="307"/>
      <c r="CN34" s="307"/>
      <c r="CO34" s="307"/>
      <c r="CP34" s="307"/>
      <c r="CQ34" s="307"/>
      <c r="CR34" s="307"/>
      <c r="CS34" s="307"/>
      <c r="CT34" s="307"/>
      <c r="CU34" s="307"/>
      <c r="CV34" s="307"/>
      <c r="CW34" s="307"/>
      <c r="CX34" s="307"/>
      <c r="CY34" s="307"/>
      <c r="CZ34" s="307"/>
      <c r="DA34" s="307"/>
      <c r="DB34" s="307"/>
      <c r="DC34" s="307"/>
      <c r="DD34" s="307"/>
      <c r="DE34" s="307"/>
      <c r="DF34" s="307"/>
      <c r="DG34" s="307"/>
      <c r="DH34" s="307"/>
      <c r="DI34" s="307"/>
      <c r="DJ34" s="307"/>
      <c r="DK34" s="307"/>
      <c r="DL34" s="307"/>
      <c r="DM34" s="307"/>
      <c r="DN34" s="307"/>
      <c r="DO34" s="307"/>
      <c r="DP34" s="307"/>
      <c r="DQ34" s="307"/>
      <c r="DR34" s="307"/>
      <c r="DS34" s="307"/>
      <c r="DT34" s="307"/>
      <c r="DU34" s="307"/>
      <c r="DV34" s="307"/>
      <c r="DW34" s="307"/>
      <c r="DX34" s="307"/>
      <c r="DY34" s="307"/>
      <c r="DZ34" s="307"/>
      <c r="EA34" s="307"/>
      <c r="EB34" s="307"/>
      <c r="EC34" s="307"/>
      <c r="ED34" s="307"/>
      <c r="EE34" s="307"/>
      <c r="EF34" s="307"/>
      <c r="EG34" s="307"/>
      <c r="EH34" s="307"/>
      <c r="EI34" s="307"/>
      <c r="EJ34" s="307"/>
      <c r="EK34" s="307"/>
      <c r="EL34" s="307">
        <v>139745.09915966072</v>
      </c>
    </row>
    <row r="35" spans="1:142" x14ac:dyDescent="0.25">
      <c r="A35" s="305" t="s">
        <v>1676</v>
      </c>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307"/>
      <c r="AS35" s="307"/>
      <c r="AT35" s="307"/>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7"/>
      <c r="BW35" s="307"/>
      <c r="BX35" s="307"/>
      <c r="BY35" s="307"/>
      <c r="BZ35" s="307"/>
      <c r="CA35" s="307"/>
      <c r="CB35" s="307"/>
      <c r="CC35" s="307"/>
      <c r="CD35" s="307">
        <v>58378.083425623227</v>
      </c>
      <c r="CE35" s="307"/>
      <c r="CF35" s="307"/>
      <c r="CG35" s="307"/>
      <c r="CH35" s="307"/>
      <c r="CI35" s="307"/>
      <c r="CJ35" s="307"/>
      <c r="CK35" s="307"/>
      <c r="CL35" s="307"/>
      <c r="CM35" s="307"/>
      <c r="CN35" s="307"/>
      <c r="CO35" s="307"/>
      <c r="CP35" s="307"/>
      <c r="CQ35" s="307"/>
      <c r="CR35" s="307"/>
      <c r="CS35" s="307"/>
      <c r="CT35" s="307"/>
      <c r="CU35" s="307"/>
      <c r="CV35" s="307"/>
      <c r="CW35" s="307"/>
      <c r="CX35" s="307"/>
      <c r="CY35" s="307"/>
      <c r="CZ35" s="307"/>
      <c r="DA35" s="307"/>
      <c r="DB35" s="307"/>
      <c r="DC35" s="307"/>
      <c r="DD35" s="307"/>
      <c r="DE35" s="307"/>
      <c r="DF35" s="307"/>
      <c r="DG35" s="307"/>
      <c r="DH35" s="307"/>
      <c r="DI35" s="307"/>
      <c r="DJ35" s="307"/>
      <c r="DK35" s="307"/>
      <c r="DL35" s="307"/>
      <c r="DM35" s="307"/>
      <c r="DN35" s="307"/>
      <c r="DO35" s="307"/>
      <c r="DP35" s="307"/>
      <c r="DQ35" s="307"/>
      <c r="DR35" s="307"/>
      <c r="DS35" s="307"/>
      <c r="DT35" s="307"/>
      <c r="DU35" s="307"/>
      <c r="DV35" s="307"/>
      <c r="DW35" s="307"/>
      <c r="DX35" s="307"/>
      <c r="DY35" s="307"/>
      <c r="DZ35" s="307"/>
      <c r="EA35" s="307"/>
      <c r="EB35" s="307"/>
      <c r="EC35" s="307"/>
      <c r="ED35" s="307"/>
      <c r="EE35" s="307"/>
      <c r="EF35" s="307"/>
      <c r="EG35" s="307"/>
      <c r="EH35" s="307"/>
      <c r="EI35" s="307"/>
      <c r="EJ35" s="307"/>
      <c r="EK35" s="307"/>
      <c r="EL35" s="307">
        <v>58378.083425623227</v>
      </c>
    </row>
    <row r="36" spans="1:142" x14ac:dyDescent="0.25">
      <c r="A36" s="305" t="s">
        <v>1675</v>
      </c>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307"/>
      <c r="AS36" s="307"/>
      <c r="AT36" s="307"/>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7"/>
      <c r="BW36" s="307"/>
      <c r="BX36" s="307"/>
      <c r="BY36" s="307"/>
      <c r="BZ36" s="307"/>
      <c r="CA36" s="307"/>
      <c r="CB36" s="307"/>
      <c r="CC36" s="307"/>
      <c r="CD36" s="307"/>
      <c r="CE36" s="307">
        <v>86497.117032336755</v>
      </c>
      <c r="CF36" s="307"/>
      <c r="CG36" s="307"/>
      <c r="CH36" s="307"/>
      <c r="CI36" s="307"/>
      <c r="CJ36" s="307"/>
      <c r="CK36" s="307"/>
      <c r="CL36" s="307"/>
      <c r="CM36" s="307"/>
      <c r="CN36" s="307"/>
      <c r="CO36" s="307"/>
      <c r="CP36" s="307"/>
      <c r="CQ36" s="307"/>
      <c r="CR36" s="307"/>
      <c r="CS36" s="307"/>
      <c r="CT36" s="307"/>
      <c r="CU36" s="307"/>
      <c r="CV36" s="307"/>
      <c r="CW36" s="307"/>
      <c r="CX36" s="307"/>
      <c r="CY36" s="307"/>
      <c r="CZ36" s="307"/>
      <c r="DA36" s="307"/>
      <c r="DB36" s="307"/>
      <c r="DC36" s="307"/>
      <c r="DD36" s="307"/>
      <c r="DE36" s="307"/>
      <c r="DF36" s="307"/>
      <c r="DG36" s="307"/>
      <c r="DH36" s="307"/>
      <c r="DI36" s="307"/>
      <c r="DJ36" s="307"/>
      <c r="DK36" s="307"/>
      <c r="DL36" s="307"/>
      <c r="DM36" s="307"/>
      <c r="DN36" s="307"/>
      <c r="DO36" s="307"/>
      <c r="DP36" s="307"/>
      <c r="DQ36" s="307"/>
      <c r="DR36" s="307"/>
      <c r="DS36" s="307"/>
      <c r="DT36" s="307"/>
      <c r="DU36" s="307"/>
      <c r="DV36" s="307"/>
      <c r="DW36" s="307"/>
      <c r="DX36" s="307"/>
      <c r="DY36" s="307"/>
      <c r="DZ36" s="307"/>
      <c r="EA36" s="307"/>
      <c r="EB36" s="307"/>
      <c r="EC36" s="307"/>
      <c r="ED36" s="307"/>
      <c r="EE36" s="307"/>
      <c r="EF36" s="307"/>
      <c r="EG36" s="307"/>
      <c r="EH36" s="307"/>
      <c r="EI36" s="307"/>
      <c r="EJ36" s="307"/>
      <c r="EK36" s="307"/>
      <c r="EL36" s="307">
        <v>86497.117032336755</v>
      </c>
    </row>
    <row r="37" spans="1:142" x14ac:dyDescent="0.25">
      <c r="A37" s="305" t="s">
        <v>1674</v>
      </c>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307"/>
      <c r="AS37" s="307"/>
      <c r="AT37" s="307"/>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7"/>
      <c r="BW37" s="307"/>
      <c r="BX37" s="307"/>
      <c r="BY37" s="307"/>
      <c r="BZ37" s="307"/>
      <c r="CA37" s="307"/>
      <c r="CB37" s="307"/>
      <c r="CC37" s="307"/>
      <c r="CD37" s="307"/>
      <c r="CE37" s="307"/>
      <c r="CF37" s="307">
        <v>91469.036572743964</v>
      </c>
      <c r="CG37" s="307"/>
      <c r="CH37" s="307"/>
      <c r="CI37" s="307"/>
      <c r="CJ37" s="307"/>
      <c r="CK37" s="307"/>
      <c r="CL37" s="307"/>
      <c r="CM37" s="307"/>
      <c r="CN37" s="307"/>
      <c r="CO37" s="307"/>
      <c r="CP37" s="307"/>
      <c r="CQ37" s="307"/>
      <c r="CR37" s="307"/>
      <c r="CS37" s="307"/>
      <c r="CT37" s="307"/>
      <c r="CU37" s="307"/>
      <c r="CV37" s="307"/>
      <c r="CW37" s="307"/>
      <c r="CX37" s="307"/>
      <c r="CY37" s="307"/>
      <c r="CZ37" s="307"/>
      <c r="DA37" s="307"/>
      <c r="DB37" s="307"/>
      <c r="DC37" s="307"/>
      <c r="DD37" s="307"/>
      <c r="DE37" s="307"/>
      <c r="DF37" s="307"/>
      <c r="DG37" s="307"/>
      <c r="DH37" s="307"/>
      <c r="DI37" s="307"/>
      <c r="DJ37" s="307"/>
      <c r="DK37" s="307"/>
      <c r="DL37" s="307"/>
      <c r="DM37" s="307"/>
      <c r="DN37" s="307"/>
      <c r="DO37" s="307"/>
      <c r="DP37" s="307"/>
      <c r="DQ37" s="307"/>
      <c r="DR37" s="307"/>
      <c r="DS37" s="307"/>
      <c r="DT37" s="307"/>
      <c r="DU37" s="307"/>
      <c r="DV37" s="307"/>
      <c r="DW37" s="307"/>
      <c r="DX37" s="307"/>
      <c r="DY37" s="307"/>
      <c r="DZ37" s="307"/>
      <c r="EA37" s="307"/>
      <c r="EB37" s="307"/>
      <c r="EC37" s="307"/>
      <c r="ED37" s="307"/>
      <c r="EE37" s="307"/>
      <c r="EF37" s="307"/>
      <c r="EG37" s="307"/>
      <c r="EH37" s="307"/>
      <c r="EI37" s="307"/>
      <c r="EJ37" s="307"/>
      <c r="EK37" s="307"/>
      <c r="EL37" s="307">
        <v>91469.036572743964</v>
      </c>
    </row>
    <row r="38" spans="1:142" x14ac:dyDescent="0.25">
      <c r="A38" s="305" t="s">
        <v>1673</v>
      </c>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v>53698.9174900871</v>
      </c>
      <c r="CH38" s="307"/>
      <c r="CI38" s="307"/>
      <c r="CJ38" s="307"/>
      <c r="CK38" s="307"/>
      <c r="CL38" s="307"/>
      <c r="CM38" s="307"/>
      <c r="CN38" s="307"/>
      <c r="CO38" s="307"/>
      <c r="CP38" s="307"/>
      <c r="CQ38" s="307"/>
      <c r="CR38" s="307"/>
      <c r="CS38" s="307"/>
      <c r="CT38" s="307"/>
      <c r="CU38" s="307"/>
      <c r="CV38" s="307"/>
      <c r="CW38" s="307"/>
      <c r="CX38" s="307"/>
      <c r="CY38" s="307"/>
      <c r="CZ38" s="307"/>
      <c r="DA38" s="307"/>
      <c r="DB38" s="307"/>
      <c r="DC38" s="307"/>
      <c r="DD38" s="307"/>
      <c r="DE38" s="307"/>
      <c r="DF38" s="307"/>
      <c r="DG38" s="307"/>
      <c r="DH38" s="307"/>
      <c r="DI38" s="307"/>
      <c r="DJ38" s="307"/>
      <c r="DK38" s="307"/>
      <c r="DL38" s="307"/>
      <c r="DM38" s="307"/>
      <c r="DN38" s="307"/>
      <c r="DO38" s="307"/>
      <c r="DP38" s="307"/>
      <c r="DQ38" s="307"/>
      <c r="DR38" s="307"/>
      <c r="DS38" s="307"/>
      <c r="DT38" s="307"/>
      <c r="DU38" s="307"/>
      <c r="DV38" s="307"/>
      <c r="DW38" s="307"/>
      <c r="DX38" s="307"/>
      <c r="DY38" s="307"/>
      <c r="DZ38" s="307"/>
      <c r="EA38" s="307"/>
      <c r="EB38" s="307"/>
      <c r="EC38" s="307"/>
      <c r="ED38" s="307"/>
      <c r="EE38" s="307"/>
      <c r="EF38" s="307"/>
      <c r="EG38" s="307"/>
      <c r="EH38" s="307"/>
      <c r="EI38" s="307"/>
      <c r="EJ38" s="307"/>
      <c r="EK38" s="307"/>
      <c r="EL38" s="307">
        <v>53698.9174900871</v>
      </c>
    </row>
    <row r="39" spans="1:142" x14ac:dyDescent="0.25">
      <c r="A39" s="305" t="s">
        <v>1672</v>
      </c>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7">
        <v>36473.691071377209</v>
      </c>
      <c r="CI39" s="307"/>
      <c r="CJ39" s="307"/>
      <c r="CK39" s="307"/>
      <c r="CL39" s="307"/>
      <c r="CM39" s="307"/>
      <c r="CN39" s="307"/>
      <c r="CO39" s="307"/>
      <c r="CP39" s="307"/>
      <c r="CQ39" s="307"/>
      <c r="CR39" s="307"/>
      <c r="CS39" s="307"/>
      <c r="CT39" s="307"/>
      <c r="CU39" s="307"/>
      <c r="CV39" s="307"/>
      <c r="CW39" s="307"/>
      <c r="CX39" s="307"/>
      <c r="CY39" s="307"/>
      <c r="CZ39" s="307"/>
      <c r="DA39" s="307"/>
      <c r="DB39" s="307"/>
      <c r="DC39" s="307"/>
      <c r="DD39" s="307"/>
      <c r="DE39" s="307"/>
      <c r="DF39" s="307"/>
      <c r="DG39" s="307"/>
      <c r="DH39" s="307"/>
      <c r="DI39" s="307"/>
      <c r="DJ39" s="307"/>
      <c r="DK39" s="307"/>
      <c r="DL39" s="307"/>
      <c r="DM39" s="307"/>
      <c r="DN39" s="307"/>
      <c r="DO39" s="307"/>
      <c r="DP39" s="307"/>
      <c r="DQ39" s="307"/>
      <c r="DR39" s="307"/>
      <c r="DS39" s="307"/>
      <c r="DT39" s="307"/>
      <c r="DU39" s="307"/>
      <c r="DV39" s="307"/>
      <c r="DW39" s="307"/>
      <c r="DX39" s="307"/>
      <c r="DY39" s="307"/>
      <c r="DZ39" s="307"/>
      <c r="EA39" s="307"/>
      <c r="EB39" s="307"/>
      <c r="EC39" s="307"/>
      <c r="ED39" s="307"/>
      <c r="EE39" s="307"/>
      <c r="EF39" s="307"/>
      <c r="EG39" s="307"/>
      <c r="EH39" s="307"/>
      <c r="EI39" s="307"/>
      <c r="EJ39" s="307"/>
      <c r="EK39" s="307"/>
      <c r="EL39" s="307">
        <v>36473.691071377209</v>
      </c>
    </row>
    <row r="40" spans="1:142" x14ac:dyDescent="0.25">
      <c r="A40" s="305" t="s">
        <v>1671</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7"/>
      <c r="BW40" s="307"/>
      <c r="BX40" s="307"/>
      <c r="BY40" s="307"/>
      <c r="BZ40" s="307"/>
      <c r="CA40" s="307"/>
      <c r="CB40" s="307"/>
      <c r="CC40" s="307"/>
      <c r="CD40" s="307"/>
      <c r="CE40" s="307"/>
      <c r="CF40" s="307"/>
      <c r="CG40" s="307"/>
      <c r="CH40" s="307"/>
      <c r="CI40" s="307">
        <v>179750.31350728092</v>
      </c>
      <c r="CJ40" s="307"/>
      <c r="CK40" s="307"/>
      <c r="CL40" s="307"/>
      <c r="CM40" s="307"/>
      <c r="CN40" s="307"/>
      <c r="CO40" s="307"/>
      <c r="CP40" s="307"/>
      <c r="CQ40" s="307"/>
      <c r="CR40" s="307"/>
      <c r="CS40" s="307"/>
      <c r="CT40" s="307"/>
      <c r="CU40" s="307"/>
      <c r="CV40" s="307"/>
      <c r="CW40" s="307"/>
      <c r="CX40" s="307"/>
      <c r="CY40" s="307"/>
      <c r="CZ40" s="307"/>
      <c r="DA40" s="307"/>
      <c r="DB40" s="307"/>
      <c r="DC40" s="307"/>
      <c r="DD40" s="307"/>
      <c r="DE40" s="307"/>
      <c r="DF40" s="307"/>
      <c r="DG40" s="307"/>
      <c r="DH40" s="307"/>
      <c r="DI40" s="307"/>
      <c r="DJ40" s="307"/>
      <c r="DK40" s="307"/>
      <c r="DL40" s="307"/>
      <c r="DM40" s="307"/>
      <c r="DN40" s="307"/>
      <c r="DO40" s="307"/>
      <c r="DP40" s="307"/>
      <c r="DQ40" s="307"/>
      <c r="DR40" s="307"/>
      <c r="DS40" s="307"/>
      <c r="DT40" s="307"/>
      <c r="DU40" s="307"/>
      <c r="DV40" s="307"/>
      <c r="DW40" s="307"/>
      <c r="DX40" s="307"/>
      <c r="DY40" s="307"/>
      <c r="DZ40" s="307"/>
      <c r="EA40" s="307"/>
      <c r="EB40" s="307"/>
      <c r="EC40" s="307"/>
      <c r="ED40" s="307"/>
      <c r="EE40" s="307"/>
      <c r="EF40" s="307"/>
      <c r="EG40" s="307"/>
      <c r="EH40" s="307"/>
      <c r="EI40" s="307"/>
      <c r="EJ40" s="307"/>
      <c r="EK40" s="307"/>
      <c r="EL40" s="307">
        <v>179750.31350728092</v>
      </c>
    </row>
    <row r="41" spans="1:142" x14ac:dyDescent="0.25">
      <c r="A41" s="305" t="s">
        <v>1670</v>
      </c>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7"/>
      <c r="BW41" s="307"/>
      <c r="BX41" s="307"/>
      <c r="BY41" s="307"/>
      <c r="BZ41" s="307"/>
      <c r="CA41" s="307"/>
      <c r="CB41" s="307"/>
      <c r="CC41" s="307"/>
      <c r="CD41" s="307"/>
      <c r="CE41" s="307"/>
      <c r="CF41" s="307"/>
      <c r="CG41" s="307"/>
      <c r="CH41" s="307"/>
      <c r="CI41" s="307"/>
      <c r="CJ41" s="307">
        <v>19232.415690242549</v>
      </c>
      <c r="CK41" s="307"/>
      <c r="CL41" s="307"/>
      <c r="CM41" s="307"/>
      <c r="CN41" s="307"/>
      <c r="CO41" s="307"/>
      <c r="CP41" s="307"/>
      <c r="CQ41" s="307"/>
      <c r="CR41" s="307"/>
      <c r="CS41" s="307"/>
      <c r="CT41" s="307"/>
      <c r="CU41" s="307"/>
      <c r="CV41" s="307"/>
      <c r="CW41" s="307"/>
      <c r="CX41" s="307"/>
      <c r="CY41" s="307"/>
      <c r="CZ41" s="307"/>
      <c r="DA41" s="307"/>
      <c r="DB41" s="307"/>
      <c r="DC41" s="307"/>
      <c r="DD41" s="307"/>
      <c r="DE41" s="307"/>
      <c r="DF41" s="307"/>
      <c r="DG41" s="307"/>
      <c r="DH41" s="307"/>
      <c r="DI41" s="307"/>
      <c r="DJ41" s="307"/>
      <c r="DK41" s="307"/>
      <c r="DL41" s="307"/>
      <c r="DM41" s="307"/>
      <c r="DN41" s="307"/>
      <c r="DO41" s="307"/>
      <c r="DP41" s="307"/>
      <c r="DQ41" s="307"/>
      <c r="DR41" s="307"/>
      <c r="DS41" s="307"/>
      <c r="DT41" s="307"/>
      <c r="DU41" s="307"/>
      <c r="DV41" s="307"/>
      <c r="DW41" s="307"/>
      <c r="DX41" s="307"/>
      <c r="DY41" s="307"/>
      <c r="DZ41" s="307"/>
      <c r="EA41" s="307"/>
      <c r="EB41" s="307"/>
      <c r="EC41" s="307"/>
      <c r="ED41" s="307"/>
      <c r="EE41" s="307"/>
      <c r="EF41" s="307"/>
      <c r="EG41" s="307"/>
      <c r="EH41" s="307"/>
      <c r="EI41" s="307"/>
      <c r="EJ41" s="307"/>
      <c r="EK41" s="307"/>
      <c r="EL41" s="307">
        <v>19232.415690242549</v>
      </c>
    </row>
    <row r="42" spans="1:142" x14ac:dyDescent="0.25">
      <c r="A42" s="305" t="s">
        <v>1669</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7"/>
      <c r="BW42" s="307"/>
      <c r="BX42" s="307"/>
      <c r="BY42" s="307"/>
      <c r="BZ42" s="307"/>
      <c r="CA42" s="307"/>
      <c r="CB42" s="307"/>
      <c r="CC42" s="307"/>
      <c r="CD42" s="307"/>
      <c r="CE42" s="307"/>
      <c r="CF42" s="307"/>
      <c r="CG42" s="307"/>
      <c r="CH42" s="307"/>
      <c r="CI42" s="307"/>
      <c r="CJ42" s="307"/>
      <c r="CK42" s="307">
        <v>19730.995927888711</v>
      </c>
      <c r="CL42" s="307"/>
      <c r="CM42" s="307"/>
      <c r="CN42" s="307"/>
      <c r="CO42" s="307"/>
      <c r="CP42" s="307"/>
      <c r="CQ42" s="307"/>
      <c r="CR42" s="307"/>
      <c r="CS42" s="307"/>
      <c r="CT42" s="307"/>
      <c r="CU42" s="307"/>
      <c r="CV42" s="307"/>
      <c r="CW42" s="307"/>
      <c r="CX42" s="307"/>
      <c r="CY42" s="307"/>
      <c r="CZ42" s="307"/>
      <c r="DA42" s="307"/>
      <c r="DB42" s="307"/>
      <c r="DC42" s="307"/>
      <c r="DD42" s="307"/>
      <c r="DE42" s="307"/>
      <c r="DF42" s="307"/>
      <c r="DG42" s="307"/>
      <c r="DH42" s="307"/>
      <c r="DI42" s="307"/>
      <c r="DJ42" s="307"/>
      <c r="DK42" s="307"/>
      <c r="DL42" s="307"/>
      <c r="DM42" s="307"/>
      <c r="DN42" s="307"/>
      <c r="DO42" s="307"/>
      <c r="DP42" s="307"/>
      <c r="DQ42" s="307"/>
      <c r="DR42" s="307"/>
      <c r="DS42" s="307"/>
      <c r="DT42" s="307"/>
      <c r="DU42" s="307"/>
      <c r="DV42" s="307"/>
      <c r="DW42" s="307"/>
      <c r="DX42" s="307"/>
      <c r="DY42" s="307"/>
      <c r="DZ42" s="307"/>
      <c r="EA42" s="307"/>
      <c r="EB42" s="307"/>
      <c r="EC42" s="307"/>
      <c r="ED42" s="307"/>
      <c r="EE42" s="307"/>
      <c r="EF42" s="307"/>
      <c r="EG42" s="307"/>
      <c r="EH42" s="307"/>
      <c r="EI42" s="307"/>
      <c r="EJ42" s="307"/>
      <c r="EK42" s="307"/>
      <c r="EL42" s="307">
        <v>19730.995927888711</v>
      </c>
    </row>
    <row r="43" spans="1:142" x14ac:dyDescent="0.25">
      <c r="A43" s="305" t="s">
        <v>1668</v>
      </c>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7"/>
      <c r="BW43" s="307"/>
      <c r="BX43" s="307"/>
      <c r="BY43" s="307"/>
      <c r="BZ43" s="307"/>
      <c r="CA43" s="307"/>
      <c r="CB43" s="307"/>
      <c r="CC43" s="307"/>
      <c r="CD43" s="307"/>
      <c r="CE43" s="307"/>
      <c r="CF43" s="307"/>
      <c r="CG43" s="307"/>
      <c r="CH43" s="307"/>
      <c r="CI43" s="307"/>
      <c r="CJ43" s="307"/>
      <c r="CK43" s="307"/>
      <c r="CL43" s="307">
        <v>49317.260275924687</v>
      </c>
      <c r="CM43" s="307"/>
      <c r="CN43" s="307"/>
      <c r="CO43" s="307"/>
      <c r="CP43" s="307"/>
      <c r="CQ43" s="307"/>
      <c r="CR43" s="307"/>
      <c r="CS43" s="307"/>
      <c r="CT43" s="307"/>
      <c r="CU43" s="307"/>
      <c r="CV43" s="307"/>
      <c r="CW43" s="307"/>
      <c r="CX43" s="307"/>
      <c r="CY43" s="307"/>
      <c r="CZ43" s="307"/>
      <c r="DA43" s="307"/>
      <c r="DB43" s="307"/>
      <c r="DC43" s="307"/>
      <c r="DD43" s="307"/>
      <c r="DE43" s="307"/>
      <c r="DF43" s="307"/>
      <c r="DG43" s="307"/>
      <c r="DH43" s="307"/>
      <c r="DI43" s="307"/>
      <c r="DJ43" s="307"/>
      <c r="DK43" s="307"/>
      <c r="DL43" s="307"/>
      <c r="DM43" s="307"/>
      <c r="DN43" s="307"/>
      <c r="DO43" s="307"/>
      <c r="DP43" s="307"/>
      <c r="DQ43" s="307"/>
      <c r="DR43" s="307"/>
      <c r="DS43" s="307"/>
      <c r="DT43" s="307"/>
      <c r="DU43" s="307"/>
      <c r="DV43" s="307"/>
      <c r="DW43" s="307"/>
      <c r="DX43" s="307"/>
      <c r="DY43" s="307"/>
      <c r="DZ43" s="307"/>
      <c r="EA43" s="307"/>
      <c r="EB43" s="307"/>
      <c r="EC43" s="307"/>
      <c r="ED43" s="307"/>
      <c r="EE43" s="307"/>
      <c r="EF43" s="307"/>
      <c r="EG43" s="307"/>
      <c r="EH43" s="307"/>
      <c r="EI43" s="307"/>
      <c r="EJ43" s="307"/>
      <c r="EK43" s="307"/>
      <c r="EL43" s="307">
        <v>49317.260275924687</v>
      </c>
    </row>
    <row r="44" spans="1:142" x14ac:dyDescent="0.25">
      <c r="A44" s="305" t="s">
        <v>1667</v>
      </c>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7"/>
      <c r="BW44" s="307"/>
      <c r="BX44" s="307"/>
      <c r="BY44" s="307"/>
      <c r="BZ44" s="307"/>
      <c r="CA44" s="307"/>
      <c r="CB44" s="307"/>
      <c r="CC44" s="307"/>
      <c r="CD44" s="307"/>
      <c r="CE44" s="307"/>
      <c r="CF44" s="307"/>
      <c r="CG44" s="307"/>
      <c r="CH44" s="307"/>
      <c r="CI44" s="307"/>
      <c r="CJ44" s="307"/>
      <c r="CK44" s="307"/>
      <c r="CL44" s="307"/>
      <c r="CM44" s="307">
        <v>141552.76171426754</v>
      </c>
      <c r="CN44" s="307"/>
      <c r="CO44" s="307"/>
      <c r="CP44" s="307"/>
      <c r="CQ44" s="307"/>
      <c r="CR44" s="307"/>
      <c r="CS44" s="307"/>
      <c r="CT44" s="307"/>
      <c r="CU44" s="307"/>
      <c r="CV44" s="307"/>
      <c r="CW44" s="307"/>
      <c r="CX44" s="307"/>
      <c r="CY44" s="307"/>
      <c r="CZ44" s="307"/>
      <c r="DA44" s="307"/>
      <c r="DB44" s="307"/>
      <c r="DC44" s="307"/>
      <c r="DD44" s="307"/>
      <c r="DE44" s="307"/>
      <c r="DF44" s="307"/>
      <c r="DG44" s="307"/>
      <c r="DH44" s="307"/>
      <c r="DI44" s="307"/>
      <c r="DJ44" s="307"/>
      <c r="DK44" s="307"/>
      <c r="DL44" s="307"/>
      <c r="DM44" s="307"/>
      <c r="DN44" s="307"/>
      <c r="DO44" s="307"/>
      <c r="DP44" s="307"/>
      <c r="DQ44" s="307"/>
      <c r="DR44" s="307"/>
      <c r="DS44" s="307"/>
      <c r="DT44" s="307"/>
      <c r="DU44" s="307"/>
      <c r="DV44" s="307"/>
      <c r="DW44" s="307"/>
      <c r="DX44" s="307"/>
      <c r="DY44" s="307"/>
      <c r="DZ44" s="307"/>
      <c r="EA44" s="307"/>
      <c r="EB44" s="307"/>
      <c r="EC44" s="307"/>
      <c r="ED44" s="307"/>
      <c r="EE44" s="307"/>
      <c r="EF44" s="307"/>
      <c r="EG44" s="307"/>
      <c r="EH44" s="307"/>
      <c r="EI44" s="307"/>
      <c r="EJ44" s="307"/>
      <c r="EK44" s="307"/>
      <c r="EL44" s="307">
        <v>141552.76171426754</v>
      </c>
    </row>
    <row r="45" spans="1:142" x14ac:dyDescent="0.25">
      <c r="A45" s="305" t="s">
        <v>1666</v>
      </c>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7"/>
      <c r="BW45" s="307"/>
      <c r="BX45" s="307"/>
      <c r="BY45" s="307"/>
      <c r="BZ45" s="307"/>
      <c r="CA45" s="307"/>
      <c r="CB45" s="307"/>
      <c r="CC45" s="307"/>
      <c r="CD45" s="307"/>
      <c r="CE45" s="307"/>
      <c r="CF45" s="307"/>
      <c r="CG45" s="307"/>
      <c r="CH45" s="307"/>
      <c r="CI45" s="307"/>
      <c r="CJ45" s="307"/>
      <c r="CK45" s="307"/>
      <c r="CL45" s="307"/>
      <c r="CM45" s="307"/>
      <c r="CN45" s="307">
        <v>50240.643179344377</v>
      </c>
      <c r="CO45" s="307"/>
      <c r="CP45" s="307"/>
      <c r="CQ45" s="307"/>
      <c r="CR45" s="307"/>
      <c r="CS45" s="307"/>
      <c r="CT45" s="307"/>
      <c r="CU45" s="307"/>
      <c r="CV45" s="307"/>
      <c r="CW45" s="307"/>
      <c r="CX45" s="307"/>
      <c r="CY45" s="307"/>
      <c r="CZ45" s="307"/>
      <c r="DA45" s="307"/>
      <c r="DB45" s="307"/>
      <c r="DC45" s="307"/>
      <c r="DD45" s="307"/>
      <c r="DE45" s="307"/>
      <c r="DF45" s="307"/>
      <c r="DG45" s="307"/>
      <c r="DH45" s="307"/>
      <c r="DI45" s="307"/>
      <c r="DJ45" s="307"/>
      <c r="DK45" s="307"/>
      <c r="DL45" s="307"/>
      <c r="DM45" s="307"/>
      <c r="DN45" s="307"/>
      <c r="DO45" s="307"/>
      <c r="DP45" s="307"/>
      <c r="DQ45" s="307"/>
      <c r="DR45" s="307"/>
      <c r="DS45" s="307"/>
      <c r="DT45" s="307"/>
      <c r="DU45" s="307"/>
      <c r="DV45" s="307"/>
      <c r="DW45" s="307"/>
      <c r="DX45" s="307"/>
      <c r="DY45" s="307"/>
      <c r="DZ45" s="307"/>
      <c r="EA45" s="307"/>
      <c r="EB45" s="307"/>
      <c r="EC45" s="307"/>
      <c r="ED45" s="307"/>
      <c r="EE45" s="307"/>
      <c r="EF45" s="307"/>
      <c r="EG45" s="307"/>
      <c r="EH45" s="307"/>
      <c r="EI45" s="307"/>
      <c r="EJ45" s="307"/>
      <c r="EK45" s="307"/>
      <c r="EL45" s="307">
        <v>50240.643179344377</v>
      </c>
    </row>
    <row r="46" spans="1:142" x14ac:dyDescent="0.25">
      <c r="A46" s="305" t="s">
        <v>1665</v>
      </c>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7"/>
      <c r="BW46" s="307"/>
      <c r="BX46" s="307"/>
      <c r="BY46" s="307"/>
      <c r="BZ46" s="307"/>
      <c r="CA46" s="307"/>
      <c r="CB46" s="307"/>
      <c r="CC46" s="307"/>
      <c r="CD46" s="307"/>
      <c r="CE46" s="307"/>
      <c r="CF46" s="307"/>
      <c r="CG46" s="307"/>
      <c r="CH46" s="307"/>
      <c r="CI46" s="307"/>
      <c r="CJ46" s="307"/>
      <c r="CK46" s="307"/>
      <c r="CL46" s="307"/>
      <c r="CM46" s="307"/>
      <c r="CN46" s="307"/>
      <c r="CO46" s="307">
        <v>372366.40617693763</v>
      </c>
      <c r="CP46" s="307"/>
      <c r="CQ46" s="307"/>
      <c r="CR46" s="307"/>
      <c r="CS46" s="307"/>
      <c r="CT46" s="307"/>
      <c r="CU46" s="307"/>
      <c r="CV46" s="307"/>
      <c r="CW46" s="307"/>
      <c r="CX46" s="307"/>
      <c r="CY46" s="307"/>
      <c r="CZ46" s="307"/>
      <c r="DA46" s="307"/>
      <c r="DB46" s="307"/>
      <c r="DC46" s="307"/>
      <c r="DD46" s="307"/>
      <c r="DE46" s="307"/>
      <c r="DF46" s="307"/>
      <c r="DG46" s="307"/>
      <c r="DH46" s="307"/>
      <c r="DI46" s="307"/>
      <c r="DJ46" s="307"/>
      <c r="DK46" s="307"/>
      <c r="DL46" s="307"/>
      <c r="DM46" s="307"/>
      <c r="DN46" s="307"/>
      <c r="DO46" s="307"/>
      <c r="DP46" s="307"/>
      <c r="DQ46" s="307"/>
      <c r="DR46" s="307"/>
      <c r="DS46" s="307"/>
      <c r="DT46" s="307"/>
      <c r="DU46" s="307"/>
      <c r="DV46" s="307"/>
      <c r="DW46" s="307"/>
      <c r="DX46" s="307"/>
      <c r="DY46" s="307"/>
      <c r="DZ46" s="307"/>
      <c r="EA46" s="307"/>
      <c r="EB46" s="307"/>
      <c r="EC46" s="307"/>
      <c r="ED46" s="307"/>
      <c r="EE46" s="307"/>
      <c r="EF46" s="307"/>
      <c r="EG46" s="307"/>
      <c r="EH46" s="307"/>
      <c r="EI46" s="307"/>
      <c r="EJ46" s="307"/>
      <c r="EK46" s="307"/>
      <c r="EL46" s="307">
        <v>372366.40617693763</v>
      </c>
    </row>
    <row r="47" spans="1:142" x14ac:dyDescent="0.25">
      <c r="A47" s="305" t="s">
        <v>1664</v>
      </c>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7"/>
      <c r="BW47" s="307"/>
      <c r="BX47" s="307"/>
      <c r="BY47" s="307"/>
      <c r="BZ47" s="307"/>
      <c r="CA47" s="307"/>
      <c r="CB47" s="307"/>
      <c r="CC47" s="307"/>
      <c r="CD47" s="307"/>
      <c r="CE47" s="307"/>
      <c r="CF47" s="307"/>
      <c r="CG47" s="307"/>
      <c r="CH47" s="307"/>
      <c r="CI47" s="307"/>
      <c r="CJ47" s="307"/>
      <c r="CK47" s="307"/>
      <c r="CL47" s="307"/>
      <c r="CM47" s="307"/>
      <c r="CN47" s="307"/>
      <c r="CO47" s="307"/>
      <c r="CP47" s="307">
        <v>702232.04950263188</v>
      </c>
      <c r="CQ47" s="307"/>
      <c r="CR47" s="307"/>
      <c r="CS47" s="307"/>
      <c r="CT47" s="307"/>
      <c r="CU47" s="307"/>
      <c r="CV47" s="307"/>
      <c r="CW47" s="307"/>
      <c r="CX47" s="307"/>
      <c r="CY47" s="307"/>
      <c r="CZ47" s="307"/>
      <c r="DA47" s="307"/>
      <c r="DB47" s="307"/>
      <c r="DC47" s="307"/>
      <c r="DD47" s="307"/>
      <c r="DE47" s="307"/>
      <c r="DF47" s="307"/>
      <c r="DG47" s="307"/>
      <c r="DH47" s="307"/>
      <c r="DI47" s="307"/>
      <c r="DJ47" s="307"/>
      <c r="DK47" s="307"/>
      <c r="DL47" s="307"/>
      <c r="DM47" s="307"/>
      <c r="DN47" s="307"/>
      <c r="DO47" s="307"/>
      <c r="DP47" s="307"/>
      <c r="DQ47" s="307"/>
      <c r="DR47" s="307"/>
      <c r="DS47" s="307"/>
      <c r="DT47" s="307"/>
      <c r="DU47" s="307"/>
      <c r="DV47" s="307"/>
      <c r="DW47" s="307"/>
      <c r="DX47" s="307"/>
      <c r="DY47" s="307"/>
      <c r="DZ47" s="307"/>
      <c r="EA47" s="307"/>
      <c r="EB47" s="307"/>
      <c r="EC47" s="307"/>
      <c r="ED47" s="307"/>
      <c r="EE47" s="307"/>
      <c r="EF47" s="307"/>
      <c r="EG47" s="307"/>
      <c r="EH47" s="307"/>
      <c r="EI47" s="307"/>
      <c r="EJ47" s="307"/>
      <c r="EK47" s="307"/>
      <c r="EL47" s="307">
        <v>702232.04950263188</v>
      </c>
    </row>
    <row r="48" spans="1:142" x14ac:dyDescent="0.25">
      <c r="A48" s="305" t="s">
        <v>1663</v>
      </c>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7"/>
      <c r="CI48" s="307"/>
      <c r="CJ48" s="307"/>
      <c r="CK48" s="307"/>
      <c r="CL48" s="307"/>
      <c r="CM48" s="307"/>
      <c r="CN48" s="307"/>
      <c r="CO48" s="307"/>
      <c r="CP48" s="307"/>
      <c r="CQ48" s="307">
        <v>79471.122101065645</v>
      </c>
      <c r="CR48" s="307"/>
      <c r="CS48" s="307"/>
      <c r="CT48" s="307"/>
      <c r="CU48" s="307"/>
      <c r="CV48" s="307"/>
      <c r="CW48" s="307"/>
      <c r="CX48" s="307"/>
      <c r="CY48" s="307"/>
      <c r="CZ48" s="307"/>
      <c r="DA48" s="307"/>
      <c r="DB48" s="307"/>
      <c r="DC48" s="307"/>
      <c r="DD48" s="307"/>
      <c r="DE48" s="307"/>
      <c r="DF48" s="307"/>
      <c r="DG48" s="307"/>
      <c r="DH48" s="307"/>
      <c r="DI48" s="307"/>
      <c r="DJ48" s="307"/>
      <c r="DK48" s="307"/>
      <c r="DL48" s="307"/>
      <c r="DM48" s="307"/>
      <c r="DN48" s="307"/>
      <c r="DO48" s="307"/>
      <c r="DP48" s="307"/>
      <c r="DQ48" s="307"/>
      <c r="DR48" s="307"/>
      <c r="DS48" s="307"/>
      <c r="DT48" s="307"/>
      <c r="DU48" s="307"/>
      <c r="DV48" s="307"/>
      <c r="DW48" s="307"/>
      <c r="DX48" s="307"/>
      <c r="DY48" s="307"/>
      <c r="DZ48" s="307"/>
      <c r="EA48" s="307"/>
      <c r="EB48" s="307"/>
      <c r="EC48" s="307"/>
      <c r="ED48" s="307"/>
      <c r="EE48" s="307"/>
      <c r="EF48" s="307"/>
      <c r="EG48" s="307"/>
      <c r="EH48" s="307"/>
      <c r="EI48" s="307"/>
      <c r="EJ48" s="307"/>
      <c r="EK48" s="307"/>
      <c r="EL48" s="307">
        <v>79471.122101065645</v>
      </c>
    </row>
    <row r="49" spans="1:142" x14ac:dyDescent="0.25">
      <c r="A49" s="305" t="s">
        <v>1662</v>
      </c>
      <c r="B49" s="307"/>
      <c r="C49" s="307"/>
      <c r="D49" s="307"/>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7"/>
      <c r="BW49" s="307"/>
      <c r="BX49" s="307"/>
      <c r="BY49" s="307"/>
      <c r="BZ49" s="307"/>
      <c r="CA49" s="307"/>
      <c r="CB49" s="307"/>
      <c r="CC49" s="307"/>
      <c r="CD49" s="307"/>
      <c r="CE49" s="307"/>
      <c r="CF49" s="307"/>
      <c r="CG49" s="307"/>
      <c r="CH49" s="307"/>
      <c r="CI49" s="307"/>
      <c r="CJ49" s="307"/>
      <c r="CK49" s="307"/>
      <c r="CL49" s="307"/>
      <c r="CM49" s="307"/>
      <c r="CN49" s="307"/>
      <c r="CO49" s="307"/>
      <c r="CP49" s="307"/>
      <c r="CQ49" s="307"/>
      <c r="CR49" s="307"/>
      <c r="CS49" s="307"/>
      <c r="CT49" s="307">
        <v>1.0075274460309636</v>
      </c>
      <c r="CU49" s="307">
        <v>2408.4688766015297</v>
      </c>
      <c r="CV49" s="307"/>
      <c r="CW49" s="307"/>
      <c r="CX49" s="307"/>
      <c r="CY49" s="307"/>
      <c r="CZ49" s="307"/>
      <c r="DA49" s="307"/>
      <c r="DB49" s="307"/>
      <c r="DC49" s="307"/>
      <c r="DD49" s="307"/>
      <c r="DE49" s="307"/>
      <c r="DF49" s="307"/>
      <c r="DG49" s="307"/>
      <c r="DH49" s="307"/>
      <c r="DI49" s="307"/>
      <c r="DJ49" s="307"/>
      <c r="DK49" s="307"/>
      <c r="DL49" s="307"/>
      <c r="DM49" s="307"/>
      <c r="DN49" s="307"/>
      <c r="DO49" s="307"/>
      <c r="DP49" s="307"/>
      <c r="DQ49" s="307"/>
      <c r="DR49" s="307"/>
      <c r="DS49" s="307"/>
      <c r="DT49" s="307"/>
      <c r="DU49" s="307"/>
      <c r="DV49" s="307"/>
      <c r="DW49" s="307"/>
      <c r="DX49" s="307"/>
      <c r="DY49" s="307"/>
      <c r="DZ49" s="307"/>
      <c r="EA49" s="307"/>
      <c r="EB49" s="307"/>
      <c r="EC49" s="307"/>
      <c r="ED49" s="307"/>
      <c r="EE49" s="307"/>
      <c r="EF49" s="307"/>
      <c r="EG49" s="307"/>
      <c r="EH49" s="307"/>
      <c r="EI49" s="307"/>
      <c r="EJ49" s="307"/>
      <c r="EK49" s="307"/>
      <c r="EL49" s="307">
        <v>2409.4764040475607</v>
      </c>
    </row>
    <row r="50" spans="1:142" x14ac:dyDescent="0.25">
      <c r="A50" s="305" t="s">
        <v>1661</v>
      </c>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7"/>
      <c r="BW50" s="307"/>
      <c r="BX50" s="307"/>
      <c r="BY50" s="307"/>
      <c r="BZ50" s="307"/>
      <c r="CA50" s="307"/>
      <c r="CB50" s="307"/>
      <c r="CC50" s="307"/>
      <c r="CD50" s="307"/>
      <c r="CE50" s="307"/>
      <c r="CF50" s="307"/>
      <c r="CG50" s="307"/>
      <c r="CH50" s="307"/>
      <c r="CI50" s="307"/>
      <c r="CJ50" s="307"/>
      <c r="CK50" s="307"/>
      <c r="CL50" s="307"/>
      <c r="CM50" s="307"/>
      <c r="CN50" s="307"/>
      <c r="CO50" s="307"/>
      <c r="CP50" s="307"/>
      <c r="CQ50" s="307"/>
      <c r="CR50" s="307"/>
      <c r="CS50" s="307"/>
      <c r="CT50" s="307">
        <v>26558.825294834318</v>
      </c>
      <c r="CU50" s="307">
        <v>6352.6184003720873</v>
      </c>
      <c r="CV50" s="307"/>
      <c r="CW50" s="307"/>
      <c r="CX50" s="307"/>
      <c r="CY50" s="307"/>
      <c r="CZ50" s="307"/>
      <c r="DA50" s="307"/>
      <c r="DB50" s="307"/>
      <c r="DC50" s="307"/>
      <c r="DD50" s="307"/>
      <c r="DE50" s="307"/>
      <c r="DF50" s="307"/>
      <c r="DG50" s="307"/>
      <c r="DH50" s="307"/>
      <c r="DI50" s="307"/>
      <c r="DJ50" s="307"/>
      <c r="DK50" s="307"/>
      <c r="DL50" s="307"/>
      <c r="DM50" s="307"/>
      <c r="DN50" s="307"/>
      <c r="DO50" s="307"/>
      <c r="DP50" s="307"/>
      <c r="DQ50" s="307"/>
      <c r="DR50" s="307"/>
      <c r="DS50" s="307"/>
      <c r="DT50" s="307"/>
      <c r="DU50" s="307"/>
      <c r="DV50" s="307"/>
      <c r="DW50" s="307"/>
      <c r="DX50" s="307"/>
      <c r="DY50" s="307"/>
      <c r="DZ50" s="307"/>
      <c r="EA50" s="307"/>
      <c r="EB50" s="307"/>
      <c r="EC50" s="307"/>
      <c r="ED50" s="307"/>
      <c r="EE50" s="307"/>
      <c r="EF50" s="307"/>
      <c r="EG50" s="307"/>
      <c r="EH50" s="307"/>
      <c r="EI50" s="307"/>
      <c r="EJ50" s="307"/>
      <c r="EK50" s="307"/>
      <c r="EL50" s="307">
        <v>32911.443695206406</v>
      </c>
    </row>
    <row r="51" spans="1:142" x14ac:dyDescent="0.25">
      <c r="A51" s="305" t="s">
        <v>1660</v>
      </c>
      <c r="B51" s="307"/>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7"/>
      <c r="CI51" s="307"/>
      <c r="CJ51" s="307"/>
      <c r="CK51" s="307"/>
      <c r="CL51" s="307"/>
      <c r="CM51" s="307"/>
      <c r="CN51" s="307"/>
      <c r="CO51" s="307"/>
      <c r="CP51" s="307"/>
      <c r="CQ51" s="307"/>
      <c r="CR51" s="307"/>
      <c r="CS51" s="307"/>
      <c r="CT51" s="307"/>
      <c r="CU51" s="307"/>
      <c r="CV51" s="307">
        <v>59348.008843493073</v>
      </c>
      <c r="CW51" s="307"/>
      <c r="CX51" s="307"/>
      <c r="CY51" s="307"/>
      <c r="CZ51" s="307"/>
      <c r="DA51" s="307"/>
      <c r="DB51" s="307"/>
      <c r="DC51" s="307"/>
      <c r="DD51" s="307"/>
      <c r="DE51" s="307"/>
      <c r="DF51" s="307"/>
      <c r="DG51" s="307"/>
      <c r="DH51" s="307"/>
      <c r="DI51" s="307"/>
      <c r="DJ51" s="307"/>
      <c r="DK51" s="307"/>
      <c r="DL51" s="307"/>
      <c r="DM51" s="307"/>
      <c r="DN51" s="307"/>
      <c r="DO51" s="307"/>
      <c r="DP51" s="307"/>
      <c r="DQ51" s="307"/>
      <c r="DR51" s="307"/>
      <c r="DS51" s="307"/>
      <c r="DT51" s="307"/>
      <c r="DU51" s="307"/>
      <c r="DV51" s="307"/>
      <c r="DW51" s="307"/>
      <c r="DX51" s="307"/>
      <c r="DY51" s="307"/>
      <c r="DZ51" s="307"/>
      <c r="EA51" s="307"/>
      <c r="EB51" s="307"/>
      <c r="EC51" s="307"/>
      <c r="ED51" s="307"/>
      <c r="EE51" s="307"/>
      <c r="EF51" s="307"/>
      <c r="EG51" s="307"/>
      <c r="EH51" s="307"/>
      <c r="EI51" s="307"/>
      <c r="EJ51" s="307"/>
      <c r="EK51" s="307"/>
      <c r="EL51" s="307">
        <v>59348.008843493073</v>
      </c>
    </row>
    <row r="52" spans="1:142" x14ac:dyDescent="0.25">
      <c r="A52" s="305" t="s">
        <v>1659</v>
      </c>
      <c r="B52" s="307"/>
      <c r="C52" s="307"/>
      <c r="D52" s="307"/>
      <c r="E52" s="307"/>
      <c r="F52" s="307"/>
      <c r="G52" s="307"/>
      <c r="H52" s="307"/>
      <c r="I52" s="307"/>
      <c r="J52" s="307"/>
      <c r="K52" s="307"/>
      <c r="L52" s="307"/>
      <c r="M52" s="307"/>
      <c r="N52" s="307"/>
      <c r="O52" s="307"/>
      <c r="P52" s="307"/>
      <c r="Q52" s="307"/>
      <c r="R52" s="307"/>
      <c r="S52" s="307"/>
      <c r="T52" s="307"/>
      <c r="U52" s="307"/>
      <c r="V52" s="307"/>
      <c r="W52" s="307"/>
      <c r="X52" s="307"/>
      <c r="Y52" s="307"/>
      <c r="Z52" s="307"/>
      <c r="AA52" s="307"/>
      <c r="AB52" s="307"/>
      <c r="AC52" s="307"/>
      <c r="AD52" s="307"/>
      <c r="AE52" s="307"/>
      <c r="AF52" s="307"/>
      <c r="AG52" s="307"/>
      <c r="AH52" s="307"/>
      <c r="AI52" s="307"/>
      <c r="AJ52" s="307"/>
      <c r="AK52" s="307"/>
      <c r="AL52" s="307"/>
      <c r="AM52" s="307"/>
      <c r="AN52" s="307"/>
      <c r="AO52" s="307"/>
      <c r="AP52" s="307"/>
      <c r="AQ52" s="307"/>
      <c r="AR52" s="307"/>
      <c r="AS52" s="307"/>
      <c r="AT52" s="307"/>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7"/>
      <c r="BW52" s="307"/>
      <c r="BX52" s="307"/>
      <c r="BY52" s="307"/>
      <c r="BZ52" s="307"/>
      <c r="CA52" s="307"/>
      <c r="CB52" s="307"/>
      <c r="CC52" s="307"/>
      <c r="CD52" s="307"/>
      <c r="CE52" s="307"/>
      <c r="CF52" s="307"/>
      <c r="CG52" s="307"/>
      <c r="CH52" s="307"/>
      <c r="CI52" s="307"/>
      <c r="CJ52" s="307"/>
      <c r="CK52" s="307"/>
      <c r="CL52" s="307"/>
      <c r="CM52" s="307"/>
      <c r="CN52" s="307"/>
      <c r="CO52" s="307"/>
      <c r="CP52" s="307"/>
      <c r="CQ52" s="307"/>
      <c r="CR52" s="307">
        <v>124177.47504970986</v>
      </c>
      <c r="CS52" s="307"/>
      <c r="CT52" s="307"/>
      <c r="CU52" s="307"/>
      <c r="CV52" s="307"/>
      <c r="CW52" s="307"/>
      <c r="CX52" s="307"/>
      <c r="CY52" s="307"/>
      <c r="CZ52" s="307"/>
      <c r="DA52" s="307"/>
      <c r="DB52" s="307"/>
      <c r="DC52" s="307"/>
      <c r="DD52" s="307"/>
      <c r="DE52" s="307"/>
      <c r="DF52" s="307"/>
      <c r="DG52" s="307"/>
      <c r="DH52" s="307"/>
      <c r="DI52" s="307"/>
      <c r="DJ52" s="307"/>
      <c r="DK52" s="307"/>
      <c r="DL52" s="307"/>
      <c r="DM52" s="307"/>
      <c r="DN52" s="307"/>
      <c r="DO52" s="307"/>
      <c r="DP52" s="307"/>
      <c r="DQ52" s="307"/>
      <c r="DR52" s="307"/>
      <c r="DS52" s="307"/>
      <c r="DT52" s="307"/>
      <c r="DU52" s="307"/>
      <c r="DV52" s="307"/>
      <c r="DW52" s="307"/>
      <c r="DX52" s="307"/>
      <c r="DY52" s="307"/>
      <c r="DZ52" s="307"/>
      <c r="EA52" s="307"/>
      <c r="EB52" s="307"/>
      <c r="EC52" s="307"/>
      <c r="ED52" s="307"/>
      <c r="EE52" s="307"/>
      <c r="EF52" s="307"/>
      <c r="EG52" s="307"/>
      <c r="EH52" s="307"/>
      <c r="EI52" s="307"/>
      <c r="EJ52" s="307"/>
      <c r="EK52" s="307"/>
      <c r="EL52" s="307">
        <v>124177.47504970986</v>
      </c>
    </row>
    <row r="53" spans="1:142" x14ac:dyDescent="0.25">
      <c r="A53" s="305" t="s">
        <v>1658</v>
      </c>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7"/>
      <c r="BW53" s="307"/>
      <c r="BX53" s="307"/>
      <c r="BY53" s="307"/>
      <c r="BZ53" s="307"/>
      <c r="CA53" s="307"/>
      <c r="CB53" s="307"/>
      <c r="CC53" s="307"/>
      <c r="CD53" s="307"/>
      <c r="CE53" s="307"/>
      <c r="CF53" s="307"/>
      <c r="CG53" s="307"/>
      <c r="CH53" s="307"/>
      <c r="CI53" s="307"/>
      <c r="CJ53" s="307"/>
      <c r="CK53" s="307"/>
      <c r="CL53" s="307"/>
      <c r="CM53" s="307"/>
      <c r="CN53" s="307"/>
      <c r="CO53" s="307"/>
      <c r="CP53" s="307"/>
      <c r="CQ53" s="307"/>
      <c r="CR53" s="307"/>
      <c r="CS53" s="307">
        <v>388513.53358557384</v>
      </c>
      <c r="CT53" s="307"/>
      <c r="CU53" s="307"/>
      <c r="CV53" s="307"/>
      <c r="CW53" s="307"/>
      <c r="CX53" s="307"/>
      <c r="CY53" s="307"/>
      <c r="CZ53" s="307"/>
      <c r="DA53" s="307"/>
      <c r="DB53" s="307"/>
      <c r="DC53" s="307"/>
      <c r="DD53" s="307"/>
      <c r="DE53" s="307"/>
      <c r="DF53" s="307"/>
      <c r="DG53" s="307"/>
      <c r="DH53" s="307"/>
      <c r="DI53" s="307"/>
      <c r="DJ53" s="307"/>
      <c r="DK53" s="307"/>
      <c r="DL53" s="307"/>
      <c r="DM53" s="307"/>
      <c r="DN53" s="307"/>
      <c r="DO53" s="307"/>
      <c r="DP53" s="307"/>
      <c r="DQ53" s="307"/>
      <c r="DR53" s="307"/>
      <c r="DS53" s="307"/>
      <c r="DT53" s="307"/>
      <c r="DU53" s="307"/>
      <c r="DV53" s="307"/>
      <c r="DW53" s="307"/>
      <c r="DX53" s="307"/>
      <c r="DY53" s="307"/>
      <c r="DZ53" s="307"/>
      <c r="EA53" s="307"/>
      <c r="EB53" s="307"/>
      <c r="EC53" s="307"/>
      <c r="ED53" s="307"/>
      <c r="EE53" s="307"/>
      <c r="EF53" s="307"/>
      <c r="EG53" s="307"/>
      <c r="EH53" s="307"/>
      <c r="EI53" s="307"/>
      <c r="EJ53" s="307"/>
      <c r="EK53" s="307"/>
      <c r="EL53" s="307">
        <v>388513.53358557384</v>
      </c>
    </row>
    <row r="54" spans="1:142" x14ac:dyDescent="0.25">
      <c r="A54" s="305" t="s">
        <v>1657</v>
      </c>
      <c r="B54" s="307"/>
      <c r="C54" s="307"/>
      <c r="D54" s="307"/>
      <c r="E54" s="307"/>
      <c r="F54" s="307"/>
      <c r="G54" s="307"/>
      <c r="H54" s="307"/>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c r="CL54" s="307"/>
      <c r="CM54" s="307"/>
      <c r="CN54" s="307"/>
      <c r="CO54" s="307"/>
      <c r="CP54" s="307"/>
      <c r="CQ54" s="307"/>
      <c r="CR54" s="307"/>
      <c r="CS54" s="307"/>
      <c r="CT54" s="307"/>
      <c r="CU54" s="307"/>
      <c r="CV54" s="307"/>
      <c r="CW54" s="307">
        <v>173682.68206397866</v>
      </c>
      <c r="CX54" s="307"/>
      <c r="CY54" s="307"/>
      <c r="CZ54" s="307"/>
      <c r="DA54" s="307"/>
      <c r="DB54" s="307"/>
      <c r="DC54" s="307"/>
      <c r="DD54" s="307"/>
      <c r="DE54" s="307"/>
      <c r="DF54" s="307"/>
      <c r="DG54" s="307"/>
      <c r="DH54" s="307"/>
      <c r="DI54" s="307"/>
      <c r="DJ54" s="307"/>
      <c r="DK54" s="307"/>
      <c r="DL54" s="307"/>
      <c r="DM54" s="307"/>
      <c r="DN54" s="307"/>
      <c r="DO54" s="307"/>
      <c r="DP54" s="307"/>
      <c r="DQ54" s="307"/>
      <c r="DR54" s="307"/>
      <c r="DS54" s="307"/>
      <c r="DT54" s="307"/>
      <c r="DU54" s="307"/>
      <c r="DV54" s="307"/>
      <c r="DW54" s="307"/>
      <c r="DX54" s="307"/>
      <c r="DY54" s="307"/>
      <c r="DZ54" s="307"/>
      <c r="EA54" s="307"/>
      <c r="EB54" s="307"/>
      <c r="EC54" s="307"/>
      <c r="ED54" s="307"/>
      <c r="EE54" s="307"/>
      <c r="EF54" s="307"/>
      <c r="EG54" s="307"/>
      <c r="EH54" s="307"/>
      <c r="EI54" s="307"/>
      <c r="EJ54" s="307"/>
      <c r="EK54" s="307"/>
      <c r="EL54" s="307">
        <v>173682.68206397866</v>
      </c>
    </row>
    <row r="55" spans="1:142" x14ac:dyDescent="0.25">
      <c r="A55" s="305" t="s">
        <v>1656</v>
      </c>
      <c r="B55" s="307"/>
      <c r="C55" s="307"/>
      <c r="D55" s="307"/>
      <c r="E55" s="307"/>
      <c r="F55" s="307"/>
      <c r="G55" s="307"/>
      <c r="H55" s="307"/>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c r="CL55" s="307"/>
      <c r="CM55" s="307"/>
      <c r="CN55" s="307"/>
      <c r="CO55" s="307"/>
      <c r="CP55" s="307"/>
      <c r="CQ55" s="307"/>
      <c r="CR55" s="307"/>
      <c r="CS55" s="307"/>
      <c r="CT55" s="307"/>
      <c r="CU55" s="307"/>
      <c r="CV55" s="307"/>
      <c r="CW55" s="307"/>
      <c r="CX55" s="307">
        <v>542473.29019276693</v>
      </c>
      <c r="CY55" s="307"/>
      <c r="CZ55" s="307"/>
      <c r="DA55" s="307"/>
      <c r="DB55" s="307"/>
      <c r="DC55" s="307"/>
      <c r="DD55" s="307"/>
      <c r="DE55" s="307"/>
      <c r="DF55" s="307"/>
      <c r="DG55" s="307"/>
      <c r="DH55" s="307"/>
      <c r="DI55" s="307"/>
      <c r="DJ55" s="307"/>
      <c r="DK55" s="307"/>
      <c r="DL55" s="307"/>
      <c r="DM55" s="307"/>
      <c r="DN55" s="307"/>
      <c r="DO55" s="307"/>
      <c r="DP55" s="307"/>
      <c r="DQ55" s="307"/>
      <c r="DR55" s="307"/>
      <c r="DS55" s="307"/>
      <c r="DT55" s="307"/>
      <c r="DU55" s="307"/>
      <c r="DV55" s="307"/>
      <c r="DW55" s="307"/>
      <c r="DX55" s="307"/>
      <c r="DY55" s="307"/>
      <c r="DZ55" s="307"/>
      <c r="EA55" s="307"/>
      <c r="EB55" s="307"/>
      <c r="EC55" s="307"/>
      <c r="ED55" s="307"/>
      <c r="EE55" s="307"/>
      <c r="EF55" s="307"/>
      <c r="EG55" s="307"/>
      <c r="EH55" s="307"/>
      <c r="EI55" s="307"/>
      <c r="EJ55" s="307"/>
      <c r="EK55" s="307"/>
      <c r="EL55" s="307">
        <v>542473.29019276693</v>
      </c>
    </row>
    <row r="56" spans="1:142" x14ac:dyDescent="0.25">
      <c r="A56" s="305" t="s">
        <v>1655</v>
      </c>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c r="CL56" s="307"/>
      <c r="CM56" s="307"/>
      <c r="CN56" s="307"/>
      <c r="CO56" s="307"/>
      <c r="CP56" s="307"/>
      <c r="CQ56" s="307"/>
      <c r="CR56" s="307"/>
      <c r="CS56" s="307"/>
      <c r="CT56" s="307"/>
      <c r="CU56" s="307"/>
      <c r="CV56" s="307"/>
      <c r="CW56" s="307"/>
      <c r="CX56" s="307"/>
      <c r="CY56" s="307">
        <v>958314.03617420956</v>
      </c>
      <c r="CZ56" s="307"/>
      <c r="DA56" s="307"/>
      <c r="DB56" s="307"/>
      <c r="DC56" s="307"/>
      <c r="DD56" s="307"/>
      <c r="DE56" s="307"/>
      <c r="DF56" s="307"/>
      <c r="DG56" s="307"/>
      <c r="DH56" s="307"/>
      <c r="DI56" s="307"/>
      <c r="DJ56" s="307"/>
      <c r="DK56" s="307"/>
      <c r="DL56" s="307"/>
      <c r="DM56" s="307"/>
      <c r="DN56" s="307"/>
      <c r="DO56" s="307"/>
      <c r="DP56" s="307"/>
      <c r="DQ56" s="307"/>
      <c r="DR56" s="307"/>
      <c r="DS56" s="307"/>
      <c r="DT56" s="307"/>
      <c r="DU56" s="307"/>
      <c r="DV56" s="307"/>
      <c r="DW56" s="307"/>
      <c r="DX56" s="307"/>
      <c r="DY56" s="307"/>
      <c r="DZ56" s="307"/>
      <c r="EA56" s="307"/>
      <c r="EB56" s="307"/>
      <c r="EC56" s="307"/>
      <c r="ED56" s="307"/>
      <c r="EE56" s="307"/>
      <c r="EF56" s="307"/>
      <c r="EG56" s="307"/>
      <c r="EH56" s="307"/>
      <c r="EI56" s="307"/>
      <c r="EJ56" s="307"/>
      <c r="EK56" s="307"/>
      <c r="EL56" s="307">
        <v>958314.03617420956</v>
      </c>
    </row>
    <row r="57" spans="1:142" x14ac:dyDescent="0.25">
      <c r="A57" s="305" t="s">
        <v>1654</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c r="CL57" s="307"/>
      <c r="CM57" s="307"/>
      <c r="CN57" s="307"/>
      <c r="CO57" s="307"/>
      <c r="CP57" s="307"/>
      <c r="CQ57" s="307"/>
      <c r="CR57" s="307"/>
      <c r="CS57" s="307"/>
      <c r="CT57" s="307"/>
      <c r="CU57" s="307"/>
      <c r="CV57" s="307"/>
      <c r="CW57" s="307"/>
      <c r="CX57" s="307"/>
      <c r="CY57" s="307"/>
      <c r="CZ57" s="307">
        <v>728487.09088345035</v>
      </c>
      <c r="DA57" s="307"/>
      <c r="DB57" s="307"/>
      <c r="DC57" s="307"/>
      <c r="DD57" s="307"/>
      <c r="DE57" s="307"/>
      <c r="DF57" s="307"/>
      <c r="DG57" s="307"/>
      <c r="DH57" s="307"/>
      <c r="DI57" s="307"/>
      <c r="DJ57" s="307"/>
      <c r="DK57" s="307"/>
      <c r="DL57" s="307"/>
      <c r="DM57" s="307"/>
      <c r="DN57" s="307"/>
      <c r="DO57" s="307"/>
      <c r="DP57" s="307"/>
      <c r="DQ57" s="307"/>
      <c r="DR57" s="307"/>
      <c r="DS57" s="307"/>
      <c r="DT57" s="307"/>
      <c r="DU57" s="307"/>
      <c r="DV57" s="307"/>
      <c r="DW57" s="307"/>
      <c r="DX57" s="307"/>
      <c r="DY57" s="307"/>
      <c r="DZ57" s="307"/>
      <c r="EA57" s="307"/>
      <c r="EB57" s="307"/>
      <c r="EC57" s="307"/>
      <c r="ED57" s="307"/>
      <c r="EE57" s="307"/>
      <c r="EF57" s="307"/>
      <c r="EG57" s="307"/>
      <c r="EH57" s="307"/>
      <c r="EI57" s="307"/>
      <c r="EJ57" s="307"/>
      <c r="EK57" s="307"/>
      <c r="EL57" s="307">
        <v>728487.09088345035</v>
      </c>
    </row>
    <row r="58" spans="1:142" x14ac:dyDescent="0.25">
      <c r="A58" s="305" t="s">
        <v>1653</v>
      </c>
      <c r="B58" s="307"/>
      <c r="C58" s="307"/>
      <c r="D58" s="307"/>
      <c r="E58" s="307"/>
      <c r="F58" s="307"/>
      <c r="G58" s="307"/>
      <c r="H58" s="307"/>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7"/>
      <c r="AG58" s="307"/>
      <c r="AH58" s="307"/>
      <c r="AI58" s="307"/>
      <c r="AJ58" s="307"/>
      <c r="AK58" s="307"/>
      <c r="AL58" s="307"/>
      <c r="AM58" s="307"/>
      <c r="AN58" s="307"/>
      <c r="AO58" s="307"/>
      <c r="AP58" s="307"/>
      <c r="AQ58" s="307"/>
      <c r="AR58" s="307"/>
      <c r="AS58" s="307"/>
      <c r="AT58" s="307"/>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7"/>
      <c r="BW58" s="307"/>
      <c r="BX58" s="307"/>
      <c r="BY58" s="307"/>
      <c r="BZ58" s="307"/>
      <c r="CA58" s="307"/>
      <c r="CB58" s="307"/>
      <c r="CC58" s="307"/>
      <c r="CD58" s="307"/>
      <c r="CE58" s="307"/>
      <c r="CF58" s="307"/>
      <c r="CG58" s="307"/>
      <c r="CH58" s="307"/>
      <c r="CI58" s="307"/>
      <c r="CJ58" s="307"/>
      <c r="CK58" s="307"/>
      <c r="CL58" s="307"/>
      <c r="CM58" s="307"/>
      <c r="CN58" s="307"/>
      <c r="CO58" s="307"/>
      <c r="CP58" s="307"/>
      <c r="CQ58" s="307"/>
      <c r="CR58" s="307"/>
      <c r="CS58" s="307"/>
      <c r="CT58" s="307"/>
      <c r="CU58" s="307"/>
      <c r="CV58" s="307"/>
      <c r="CW58" s="307"/>
      <c r="CX58" s="307"/>
      <c r="CY58" s="307"/>
      <c r="CZ58" s="307"/>
      <c r="DA58" s="307">
        <v>615574.14943075681</v>
      </c>
      <c r="DB58" s="307"/>
      <c r="DC58" s="307"/>
      <c r="DD58" s="307"/>
      <c r="DE58" s="307"/>
      <c r="DF58" s="307"/>
      <c r="DG58" s="307"/>
      <c r="DH58" s="307"/>
      <c r="DI58" s="307"/>
      <c r="DJ58" s="307"/>
      <c r="DK58" s="307"/>
      <c r="DL58" s="307"/>
      <c r="DM58" s="307"/>
      <c r="DN58" s="307"/>
      <c r="DO58" s="307"/>
      <c r="DP58" s="307"/>
      <c r="DQ58" s="307"/>
      <c r="DR58" s="307"/>
      <c r="DS58" s="307"/>
      <c r="DT58" s="307"/>
      <c r="DU58" s="307"/>
      <c r="DV58" s="307"/>
      <c r="DW58" s="307"/>
      <c r="DX58" s="307"/>
      <c r="DY58" s="307"/>
      <c r="DZ58" s="307"/>
      <c r="EA58" s="307"/>
      <c r="EB58" s="307"/>
      <c r="EC58" s="307"/>
      <c r="ED58" s="307"/>
      <c r="EE58" s="307"/>
      <c r="EF58" s="307"/>
      <c r="EG58" s="307"/>
      <c r="EH58" s="307"/>
      <c r="EI58" s="307"/>
      <c r="EJ58" s="307"/>
      <c r="EK58" s="307"/>
      <c r="EL58" s="307">
        <v>615574.14943075681</v>
      </c>
    </row>
    <row r="59" spans="1:142" x14ac:dyDescent="0.25">
      <c r="A59" s="305" t="s">
        <v>1652</v>
      </c>
      <c r="B59" s="307">
        <v>4873.052538022469</v>
      </c>
      <c r="C59" s="307">
        <v>516.49239175858645</v>
      </c>
      <c r="D59" s="307">
        <v>53.624064217136585</v>
      </c>
      <c r="E59" s="307">
        <v>11.505146331409493</v>
      </c>
      <c r="F59" s="307">
        <v>1.2098054654823223</v>
      </c>
      <c r="G59" s="307">
        <v>3.8509522686867985</v>
      </c>
      <c r="H59" s="307">
        <v>3.6740468752676225</v>
      </c>
      <c r="I59" s="307">
        <v>0.24245082732893289</v>
      </c>
      <c r="J59" s="307">
        <v>0.29080752176283081</v>
      </c>
      <c r="K59" s="307">
        <v>8.4247490373690038E-4</v>
      </c>
      <c r="L59" s="307">
        <v>67143.489309255136</v>
      </c>
      <c r="M59" s="307">
        <v>9550.3817469384667</v>
      </c>
      <c r="N59" s="307">
        <v>4935.6506523694206</v>
      </c>
      <c r="O59" s="307">
        <v>38.074594005136944</v>
      </c>
      <c r="P59" s="307">
        <v>3907.4485635959604</v>
      </c>
      <c r="Q59" s="307">
        <v>846.82285764238031</v>
      </c>
      <c r="R59" s="307">
        <v>26.207450939046552</v>
      </c>
      <c r="S59" s="307">
        <v>128.92993636716963</v>
      </c>
      <c r="T59" s="307">
        <v>64.647388761057911</v>
      </c>
      <c r="U59" s="307">
        <v>112.96683752259496</v>
      </c>
      <c r="V59" s="307">
        <v>100.92670711363435</v>
      </c>
      <c r="W59" s="307">
        <v>664.43781539454687</v>
      </c>
      <c r="X59" s="307">
        <v>925.16020968811529</v>
      </c>
      <c r="Y59" s="307">
        <v>10.271920701572062</v>
      </c>
      <c r="Z59" s="307">
        <v>14.440581153980876</v>
      </c>
      <c r="AA59" s="307">
        <v>59.635142751714213</v>
      </c>
      <c r="AB59" s="307">
        <v>10.523378084061324</v>
      </c>
      <c r="AC59" s="307">
        <v>76.37230429642932</v>
      </c>
      <c r="AD59" s="307">
        <v>53.894035546886393</v>
      </c>
      <c r="AE59" s="307">
        <v>134.4266717394338</v>
      </c>
      <c r="AF59" s="307">
        <v>86.114302847627883</v>
      </c>
      <c r="AG59" s="307">
        <v>12.278975385051188</v>
      </c>
      <c r="AH59" s="307">
        <v>114.98889229369679</v>
      </c>
      <c r="AI59" s="307">
        <v>60.192016290051413</v>
      </c>
      <c r="AJ59" s="307">
        <v>24.638695324301391</v>
      </c>
      <c r="AK59" s="307">
        <v>1540.433165632905</v>
      </c>
      <c r="AL59" s="307">
        <v>20.503726471238789</v>
      </c>
      <c r="AM59" s="307"/>
      <c r="AN59" s="307">
        <v>2270.2089793927894</v>
      </c>
      <c r="AO59" s="307">
        <v>28.447049210158873</v>
      </c>
      <c r="AP59" s="307">
        <v>338.44215133075289</v>
      </c>
      <c r="AQ59" s="307">
        <v>3.391805994040871E-2</v>
      </c>
      <c r="AR59" s="307">
        <v>0.44395336484999609</v>
      </c>
      <c r="AS59" s="307">
        <v>0.39271316443963966</v>
      </c>
      <c r="AT59" s="307">
        <v>0.46332190664430467</v>
      </c>
      <c r="AU59" s="307">
        <v>1.4495932621107419</v>
      </c>
      <c r="AV59" s="307">
        <v>2.338897060916199</v>
      </c>
      <c r="AW59" s="307"/>
      <c r="AX59" s="307">
        <v>163.70142193448385</v>
      </c>
      <c r="AY59" s="307">
        <v>251.73421536482226</v>
      </c>
      <c r="AZ59" s="307">
        <v>3757.6832285928958</v>
      </c>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c r="CL59" s="307"/>
      <c r="CM59" s="307"/>
      <c r="CN59" s="307"/>
      <c r="CO59" s="307"/>
      <c r="CP59" s="307"/>
      <c r="CQ59" s="307"/>
      <c r="CR59" s="307"/>
      <c r="CS59" s="307"/>
      <c r="CT59" s="307"/>
      <c r="CU59" s="307"/>
      <c r="CV59" s="307"/>
      <c r="CW59" s="307"/>
      <c r="CX59" s="307"/>
      <c r="CY59" s="307"/>
      <c r="CZ59" s="307"/>
      <c r="DA59" s="307"/>
      <c r="DB59" s="307"/>
      <c r="DC59" s="307"/>
      <c r="DD59" s="307"/>
      <c r="DE59" s="307"/>
      <c r="DF59" s="307"/>
      <c r="DG59" s="307"/>
      <c r="DH59" s="307"/>
      <c r="DI59" s="307"/>
      <c r="DJ59" s="307"/>
      <c r="DK59" s="307"/>
      <c r="DL59" s="307">
        <v>5149.7561148321083</v>
      </c>
      <c r="DM59" s="307">
        <v>6412.246784362017</v>
      </c>
      <c r="DN59" s="307">
        <v>7179.2136903893215</v>
      </c>
      <c r="DO59" s="307">
        <v>7530.3579778084986</v>
      </c>
      <c r="DP59" s="307">
        <v>6911.5526571299251</v>
      </c>
      <c r="DQ59" s="307">
        <v>7586.8894042559405</v>
      </c>
      <c r="DR59" s="307">
        <v>6625.4025591038262</v>
      </c>
      <c r="DS59" s="307">
        <v>6035.4470710084724</v>
      </c>
      <c r="DT59" s="307">
        <v>7104.760002167106</v>
      </c>
      <c r="DU59" s="307">
        <v>1650.8514951200016</v>
      </c>
      <c r="DV59" s="307">
        <v>1574.5099827543231</v>
      </c>
      <c r="DW59" s="307">
        <v>1725.9652946049459</v>
      </c>
      <c r="DX59" s="307">
        <v>8564.7507023979288</v>
      </c>
      <c r="DY59" s="307">
        <v>3261.0284803429581</v>
      </c>
      <c r="DZ59" s="307"/>
      <c r="EA59" s="307"/>
      <c r="EB59" s="307"/>
      <c r="EC59" s="307"/>
      <c r="ED59" s="307"/>
      <c r="EE59" s="307"/>
      <c r="EF59" s="307"/>
      <c r="EG59" s="307"/>
      <c r="EH59" s="307"/>
      <c r="EI59" s="307"/>
      <c r="EJ59" s="307">
        <v>-3225.777602052578</v>
      </c>
      <c r="EK59" s="307">
        <v>22873.750984019629</v>
      </c>
      <c r="EL59" s="307">
        <v>199903.84596476387</v>
      </c>
    </row>
    <row r="60" spans="1:142" x14ac:dyDescent="0.25">
      <c r="A60" s="305" t="s">
        <v>1651</v>
      </c>
      <c r="B60" s="307"/>
      <c r="C60" s="307"/>
      <c r="D60" s="307"/>
      <c r="E60" s="307"/>
      <c r="F60" s="307"/>
      <c r="G60" s="307"/>
      <c r="H60" s="307"/>
      <c r="I60" s="307"/>
      <c r="J60" s="307"/>
      <c r="K60" s="307"/>
      <c r="L60" s="307"/>
      <c r="M60" s="307"/>
      <c r="N60" s="307"/>
      <c r="O60" s="307"/>
      <c r="P60" s="307"/>
      <c r="Q60" s="307"/>
      <c r="R60" s="307">
        <v>5300.3329803224005</v>
      </c>
      <c r="S60" s="307">
        <v>7049.78140745774</v>
      </c>
      <c r="T60" s="307">
        <v>63.230445261469228</v>
      </c>
      <c r="U60" s="307"/>
      <c r="V60" s="307"/>
      <c r="W60" s="307">
        <v>24.100609881616787</v>
      </c>
      <c r="X60" s="307">
        <v>20.936814067281958</v>
      </c>
      <c r="Y60" s="307"/>
      <c r="Z60" s="307"/>
      <c r="AA60" s="307"/>
      <c r="AB60" s="307"/>
      <c r="AC60" s="307"/>
      <c r="AD60" s="307"/>
      <c r="AE60" s="307"/>
      <c r="AF60" s="307"/>
      <c r="AG60" s="307"/>
      <c r="AH60" s="307"/>
      <c r="AI60" s="307"/>
      <c r="AJ60" s="307">
        <v>286.0753152072208</v>
      </c>
      <c r="AK60" s="307">
        <v>16.14231114776986</v>
      </c>
      <c r="AL60" s="307"/>
      <c r="AM60" s="307"/>
      <c r="AN60" s="307"/>
      <c r="AO60" s="307"/>
      <c r="AP60" s="307"/>
      <c r="AQ60" s="307"/>
      <c r="AR60" s="307"/>
      <c r="AS60" s="307"/>
      <c r="AT60" s="307"/>
      <c r="AU60" s="307"/>
      <c r="AV60" s="307"/>
      <c r="AW60" s="307"/>
      <c r="AX60" s="307"/>
      <c r="AY60" s="307"/>
      <c r="AZ60" s="307">
        <v>35.632384110657746</v>
      </c>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c r="CL60" s="307"/>
      <c r="CM60" s="307"/>
      <c r="CN60" s="307"/>
      <c r="CO60" s="307"/>
      <c r="CP60" s="307"/>
      <c r="CQ60" s="307"/>
      <c r="CR60" s="307"/>
      <c r="CS60" s="307"/>
      <c r="CT60" s="307"/>
      <c r="CU60" s="307"/>
      <c r="CV60" s="307"/>
      <c r="CW60" s="307"/>
      <c r="CX60" s="307"/>
      <c r="CY60" s="307"/>
      <c r="CZ60" s="307"/>
      <c r="DA60" s="307"/>
      <c r="DB60" s="307"/>
      <c r="DC60" s="307"/>
      <c r="DD60" s="307"/>
      <c r="DE60" s="307"/>
      <c r="DF60" s="307"/>
      <c r="DG60" s="307"/>
      <c r="DH60" s="307"/>
      <c r="DI60" s="307"/>
      <c r="DJ60" s="307"/>
      <c r="DK60" s="307"/>
      <c r="DL60" s="307">
        <v>846.06794435877771</v>
      </c>
      <c r="DM60" s="307">
        <v>1291.9227001929376</v>
      </c>
      <c r="DN60" s="307">
        <v>910.83205480105744</v>
      </c>
      <c r="DO60" s="307">
        <v>847.29174084138481</v>
      </c>
      <c r="DP60" s="307">
        <v>590.87332431034861</v>
      </c>
      <c r="DQ60" s="307">
        <v>660.15206548149285</v>
      </c>
      <c r="DR60" s="307">
        <v>443.0325470755036</v>
      </c>
      <c r="DS60" s="307">
        <v>83.834334195046409</v>
      </c>
      <c r="DT60" s="307">
        <v>293.46488074269973</v>
      </c>
      <c r="DU60" s="307">
        <v>53.717937350683556</v>
      </c>
      <c r="DV60" s="307">
        <v>31.876101172188147</v>
      </c>
      <c r="DW60" s="307">
        <v>20.083180527416406</v>
      </c>
      <c r="DX60" s="307">
        <v>66.794568257479199</v>
      </c>
      <c r="DY60" s="307">
        <v>256.89035509473024</v>
      </c>
      <c r="DZ60" s="307"/>
      <c r="EA60" s="307"/>
      <c r="EB60" s="307"/>
      <c r="EC60" s="307"/>
      <c r="ED60" s="307"/>
      <c r="EE60" s="307"/>
      <c r="EF60" s="307"/>
      <c r="EG60" s="307"/>
      <c r="EH60" s="307"/>
      <c r="EI60" s="307"/>
      <c r="EJ60" s="307">
        <v>261.16782830349081</v>
      </c>
      <c r="EK60" s="307">
        <v>388.57865184937498</v>
      </c>
      <c r="EL60" s="307">
        <v>19842.81248201077</v>
      </c>
    </row>
    <row r="61" spans="1:142" x14ac:dyDescent="0.25">
      <c r="A61" s="305" t="s">
        <v>1650</v>
      </c>
      <c r="B61" s="307"/>
      <c r="C61" s="307"/>
      <c r="D61" s="307"/>
      <c r="E61" s="307"/>
      <c r="F61" s="307"/>
      <c r="G61" s="307"/>
      <c r="H61" s="307"/>
      <c r="I61" s="307"/>
      <c r="J61" s="307"/>
      <c r="K61" s="307"/>
      <c r="L61" s="307">
        <v>3108.3255772445168</v>
      </c>
      <c r="M61" s="307"/>
      <c r="N61" s="307"/>
      <c r="O61" s="307"/>
      <c r="P61" s="307"/>
      <c r="Q61" s="307"/>
      <c r="R61" s="307"/>
      <c r="S61" s="307"/>
      <c r="T61" s="307"/>
      <c r="U61" s="307"/>
      <c r="V61" s="307"/>
      <c r="W61" s="307"/>
      <c r="X61" s="307"/>
      <c r="Y61" s="307"/>
      <c r="Z61" s="307"/>
      <c r="AA61" s="307"/>
      <c r="AB61" s="307"/>
      <c r="AC61" s="307"/>
      <c r="AD61" s="307"/>
      <c r="AE61" s="307"/>
      <c r="AF61" s="307"/>
      <c r="AG61" s="307"/>
      <c r="AH61" s="307"/>
      <c r="AI61" s="307"/>
      <c r="AJ61" s="307"/>
      <c r="AK61" s="307">
        <v>117.53641457524442</v>
      </c>
      <c r="AL61" s="307">
        <v>5.641124717430281</v>
      </c>
      <c r="AM61" s="307"/>
      <c r="AN61" s="307"/>
      <c r="AO61" s="307"/>
      <c r="AP61" s="307">
        <v>204.14144084464411</v>
      </c>
      <c r="AQ61" s="307">
        <v>8.9876864916184893E-2</v>
      </c>
      <c r="AR61" s="307">
        <v>1.1763978732539933</v>
      </c>
      <c r="AS61" s="307">
        <v>1.0406204727905644</v>
      </c>
      <c r="AT61" s="307">
        <v>1.2277207791310529</v>
      </c>
      <c r="AU61" s="307">
        <v>3.84116473592087</v>
      </c>
      <c r="AV61" s="307">
        <v>6.197661418971399</v>
      </c>
      <c r="AW61" s="307"/>
      <c r="AX61" s="307">
        <v>35.237323315337704</v>
      </c>
      <c r="AY61" s="307">
        <v>113.10449169090151</v>
      </c>
      <c r="AZ61" s="307">
        <v>418.23507486853055</v>
      </c>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c r="CL61" s="307"/>
      <c r="CM61" s="307"/>
      <c r="CN61" s="307"/>
      <c r="CO61" s="307"/>
      <c r="CP61" s="307"/>
      <c r="CQ61" s="307"/>
      <c r="CR61" s="307"/>
      <c r="CS61" s="307"/>
      <c r="CT61" s="307"/>
      <c r="CU61" s="307"/>
      <c r="CV61" s="307"/>
      <c r="CW61" s="307"/>
      <c r="CX61" s="307"/>
      <c r="CY61" s="307"/>
      <c r="CZ61" s="307"/>
      <c r="DA61" s="307"/>
      <c r="DB61" s="307"/>
      <c r="DC61" s="307"/>
      <c r="DD61" s="307"/>
      <c r="DE61" s="307"/>
      <c r="DF61" s="307"/>
      <c r="DG61" s="307"/>
      <c r="DH61" s="307"/>
      <c r="DI61" s="307"/>
      <c r="DJ61" s="307"/>
      <c r="DK61" s="307"/>
      <c r="DL61" s="307">
        <v>27.167641434963933</v>
      </c>
      <c r="DM61" s="307">
        <v>46.771582823154958</v>
      </c>
      <c r="DN61" s="307">
        <v>26.227272634535968</v>
      </c>
      <c r="DO61" s="307">
        <v>57.279884776937422</v>
      </c>
      <c r="DP61" s="307">
        <v>17.02912171831445</v>
      </c>
      <c r="DQ61" s="307">
        <v>92.567093369048422</v>
      </c>
      <c r="DR61" s="307">
        <v>21.496689076638276</v>
      </c>
      <c r="DS61" s="307">
        <v>37.423230101937051</v>
      </c>
      <c r="DT61" s="307">
        <v>166.51262093356166</v>
      </c>
      <c r="DU61" s="307">
        <v>43.897813881576603</v>
      </c>
      <c r="DV61" s="307">
        <v>38.99390841339617</v>
      </c>
      <c r="DW61" s="307">
        <v>51.636890223520766</v>
      </c>
      <c r="DX61" s="307">
        <v>588.07383678895292</v>
      </c>
      <c r="DY61" s="307">
        <v>49.775428767470729</v>
      </c>
      <c r="DZ61" s="307"/>
      <c r="EA61" s="307"/>
      <c r="EB61" s="307"/>
      <c r="EC61" s="307"/>
      <c r="ED61" s="307"/>
      <c r="EE61" s="307"/>
      <c r="EF61" s="307"/>
      <c r="EG61" s="307"/>
      <c r="EH61" s="307"/>
      <c r="EI61" s="307"/>
      <c r="EJ61" s="307">
        <v>168.11252212217383</v>
      </c>
      <c r="EK61" s="307">
        <v>1083.667245644986</v>
      </c>
      <c r="EL61" s="307">
        <v>6532.4276721127571</v>
      </c>
    </row>
    <row r="62" spans="1:142" x14ac:dyDescent="0.25">
      <c r="A62" s="305" t="s">
        <v>1649</v>
      </c>
      <c r="B62" s="307"/>
      <c r="C62" s="307"/>
      <c r="D62" s="307"/>
      <c r="E62" s="307">
        <v>1061.9495191978515</v>
      </c>
      <c r="F62" s="307"/>
      <c r="G62" s="307"/>
      <c r="H62" s="307"/>
      <c r="I62" s="307"/>
      <c r="J62" s="307"/>
      <c r="K62" s="307">
        <v>2.4919326050803687E-3</v>
      </c>
      <c r="L62" s="307"/>
      <c r="M62" s="307"/>
      <c r="N62" s="307"/>
      <c r="O62" s="307"/>
      <c r="P62" s="307"/>
      <c r="Q62" s="307"/>
      <c r="R62" s="307"/>
      <c r="S62" s="307"/>
      <c r="T62" s="307"/>
      <c r="U62" s="307">
        <v>7876.8156438645474</v>
      </c>
      <c r="V62" s="307">
        <v>298.52824228269816</v>
      </c>
      <c r="W62" s="307">
        <v>86.000293229705946</v>
      </c>
      <c r="X62" s="307">
        <v>56.912113710486253</v>
      </c>
      <c r="Y62" s="307">
        <v>10.221464478021176</v>
      </c>
      <c r="Z62" s="307"/>
      <c r="AA62" s="307"/>
      <c r="AB62" s="307"/>
      <c r="AC62" s="307"/>
      <c r="AD62" s="307"/>
      <c r="AE62" s="307"/>
      <c r="AF62" s="307"/>
      <c r="AG62" s="307"/>
      <c r="AH62" s="307"/>
      <c r="AI62" s="307"/>
      <c r="AJ62" s="307"/>
      <c r="AK62" s="307"/>
      <c r="AL62" s="307">
        <v>28309.584706766098</v>
      </c>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c r="CL62" s="307"/>
      <c r="CM62" s="307"/>
      <c r="CN62" s="307"/>
      <c r="CO62" s="307"/>
      <c r="CP62" s="307"/>
      <c r="CQ62" s="307"/>
      <c r="CR62" s="307"/>
      <c r="CS62" s="307"/>
      <c r="CT62" s="307"/>
      <c r="CU62" s="307"/>
      <c r="CV62" s="307"/>
      <c r="CW62" s="307"/>
      <c r="CX62" s="307"/>
      <c r="CY62" s="307"/>
      <c r="CZ62" s="307"/>
      <c r="DA62" s="307"/>
      <c r="DB62" s="307"/>
      <c r="DC62" s="307"/>
      <c r="DD62" s="307"/>
      <c r="DE62" s="307"/>
      <c r="DF62" s="307"/>
      <c r="DG62" s="307"/>
      <c r="DH62" s="307"/>
      <c r="DI62" s="307"/>
      <c r="DJ62" s="307"/>
      <c r="DK62" s="307"/>
      <c r="DL62" s="307"/>
      <c r="DM62" s="307"/>
      <c r="DN62" s="307"/>
      <c r="DO62" s="307"/>
      <c r="DP62" s="307"/>
      <c r="DQ62" s="307"/>
      <c r="DR62" s="307"/>
      <c r="DS62" s="307"/>
      <c r="DT62" s="307"/>
      <c r="DU62" s="307"/>
      <c r="DV62" s="307"/>
      <c r="DW62" s="307"/>
      <c r="DX62" s="307"/>
      <c r="DY62" s="307"/>
      <c r="DZ62" s="307"/>
      <c r="EA62" s="307"/>
      <c r="EB62" s="307"/>
      <c r="EC62" s="307"/>
      <c r="ED62" s="307"/>
      <c r="EE62" s="307"/>
      <c r="EF62" s="307"/>
      <c r="EG62" s="307"/>
      <c r="EH62" s="307"/>
      <c r="EI62" s="307"/>
      <c r="EJ62" s="307"/>
      <c r="EK62" s="307"/>
      <c r="EL62" s="307">
        <v>37700.014475462012</v>
      </c>
    </row>
    <row r="63" spans="1:142" x14ac:dyDescent="0.25">
      <c r="A63" s="305" t="s">
        <v>1648</v>
      </c>
      <c r="B63" s="307">
        <v>22.002078882827739</v>
      </c>
      <c r="C63" s="307"/>
      <c r="D63" s="307"/>
      <c r="E63" s="307"/>
      <c r="F63" s="307">
        <v>399.50763094814971</v>
      </c>
      <c r="G63" s="307">
        <v>2738.6235330408549</v>
      </c>
      <c r="H63" s="307">
        <v>401.56460322189139</v>
      </c>
      <c r="I63" s="307">
        <v>28.50652492106305</v>
      </c>
      <c r="J63" s="307">
        <v>34.192136845620261</v>
      </c>
      <c r="K63" s="307"/>
      <c r="L63" s="307">
        <v>655.18491735971281</v>
      </c>
      <c r="M63" s="307">
        <v>119.94237517450233</v>
      </c>
      <c r="N63" s="307">
        <v>958.7576880409365</v>
      </c>
      <c r="O63" s="307">
        <v>260.666395886337</v>
      </c>
      <c r="P63" s="307">
        <v>16.6575223541772</v>
      </c>
      <c r="Q63" s="307">
        <v>4.835148658052419</v>
      </c>
      <c r="R63" s="307">
        <v>637.18599464038346</v>
      </c>
      <c r="S63" s="307">
        <v>913.68092441796819</v>
      </c>
      <c r="T63" s="307">
        <v>98.31521545574563</v>
      </c>
      <c r="U63" s="307"/>
      <c r="V63" s="307"/>
      <c r="W63" s="307"/>
      <c r="X63" s="307"/>
      <c r="Y63" s="307"/>
      <c r="Z63" s="307">
        <v>25.381870939054263</v>
      </c>
      <c r="AA63" s="307">
        <v>1693.7535358245941</v>
      </c>
      <c r="AB63" s="307">
        <v>2875.6522041002686</v>
      </c>
      <c r="AC63" s="307">
        <v>35.38172144670947</v>
      </c>
      <c r="AD63" s="307">
        <v>47.056382632119245</v>
      </c>
      <c r="AE63" s="307">
        <v>112.9473647089075</v>
      </c>
      <c r="AF63" s="307">
        <v>61.936616286326476</v>
      </c>
      <c r="AG63" s="307">
        <v>15.643469439310474</v>
      </c>
      <c r="AH63" s="307">
        <v>14.051046873992879</v>
      </c>
      <c r="AI63" s="307">
        <v>18.575917841642859</v>
      </c>
      <c r="AJ63" s="307">
        <v>105.36479492826936</v>
      </c>
      <c r="AK63" s="307">
        <v>45.122709884168039</v>
      </c>
      <c r="AL63" s="307"/>
      <c r="AM63" s="307">
        <v>232.32242111197468</v>
      </c>
      <c r="AN63" s="307"/>
      <c r="AO63" s="307"/>
      <c r="AP63" s="307">
        <v>9.0266981314131218</v>
      </c>
      <c r="AQ63" s="307"/>
      <c r="AR63" s="307"/>
      <c r="AS63" s="307">
        <v>23.151711564122586</v>
      </c>
      <c r="AT63" s="307"/>
      <c r="AU63" s="307"/>
      <c r="AV63" s="307">
        <v>19.453543038282888</v>
      </c>
      <c r="AW63" s="307"/>
      <c r="AX63" s="307">
        <v>29.410171342510065</v>
      </c>
      <c r="AY63" s="307">
        <v>107.5996830060717</v>
      </c>
      <c r="AZ63" s="307">
        <v>25.915833439274873</v>
      </c>
      <c r="BA63" s="307"/>
      <c r="BB63" s="307"/>
      <c r="BC63" s="307"/>
      <c r="BD63" s="307"/>
      <c r="BE63" s="307"/>
      <c r="BF63" s="307"/>
      <c r="BG63" s="307"/>
      <c r="BH63" s="307"/>
      <c r="BI63" s="307"/>
      <c r="BJ63" s="307"/>
      <c r="BK63" s="307"/>
      <c r="BL63" s="307"/>
      <c r="BM63" s="307"/>
      <c r="BN63" s="307"/>
      <c r="BO63" s="307"/>
      <c r="BP63" s="307"/>
      <c r="BQ63" s="307"/>
      <c r="BR63" s="307"/>
      <c r="BS63" s="307"/>
      <c r="BT63" s="307"/>
      <c r="BU63" s="307"/>
      <c r="BV63" s="307"/>
      <c r="BW63" s="307"/>
      <c r="BX63" s="307"/>
      <c r="BY63" s="307"/>
      <c r="BZ63" s="307"/>
      <c r="CA63" s="307"/>
      <c r="CB63" s="307"/>
      <c r="CC63" s="307"/>
      <c r="CD63" s="307"/>
      <c r="CE63" s="307"/>
      <c r="CF63" s="307"/>
      <c r="CG63" s="307"/>
      <c r="CH63" s="307"/>
      <c r="CI63" s="307"/>
      <c r="CJ63" s="307"/>
      <c r="CK63" s="307"/>
      <c r="CL63" s="307"/>
      <c r="CM63" s="307"/>
      <c r="CN63" s="307"/>
      <c r="CO63" s="307"/>
      <c r="CP63" s="307"/>
      <c r="CQ63" s="307"/>
      <c r="CR63" s="307"/>
      <c r="CS63" s="307"/>
      <c r="CT63" s="307"/>
      <c r="CU63" s="307"/>
      <c r="CV63" s="307"/>
      <c r="CW63" s="307"/>
      <c r="CX63" s="307"/>
      <c r="CY63" s="307"/>
      <c r="CZ63" s="307"/>
      <c r="DA63" s="307"/>
      <c r="DB63" s="307"/>
      <c r="DC63" s="307"/>
      <c r="DD63" s="307"/>
      <c r="DE63" s="307"/>
      <c r="DF63" s="307"/>
      <c r="DG63" s="307"/>
      <c r="DH63" s="307"/>
      <c r="DI63" s="307"/>
      <c r="DJ63" s="307"/>
      <c r="DK63" s="307"/>
      <c r="DL63" s="307">
        <v>11.909247821589975</v>
      </c>
      <c r="DM63" s="307">
        <v>20.124111651489564</v>
      </c>
      <c r="DN63" s="307">
        <v>53.657127227591111</v>
      </c>
      <c r="DO63" s="307">
        <v>48.977417067691434</v>
      </c>
      <c r="DP63" s="307">
        <v>46.997909710121014</v>
      </c>
      <c r="DQ63" s="307">
        <v>116.94715079140205</v>
      </c>
      <c r="DR63" s="307">
        <v>74.339060826321699</v>
      </c>
      <c r="DS63" s="307">
        <v>20.112140891607659</v>
      </c>
      <c r="DT63" s="307">
        <v>4.4543376444845784</v>
      </c>
      <c r="DU63" s="307"/>
      <c r="DV63" s="307"/>
      <c r="DW63" s="307"/>
      <c r="DX63" s="307">
        <v>6.4591076434658037</v>
      </c>
      <c r="DY63" s="307">
        <v>17.629792181663984</v>
      </c>
      <c r="DZ63" s="307"/>
      <c r="EA63" s="307"/>
      <c r="EB63" s="307"/>
      <c r="EC63" s="307"/>
      <c r="ED63" s="307"/>
      <c r="EE63" s="307"/>
      <c r="EF63" s="307"/>
      <c r="EG63" s="307"/>
      <c r="EH63" s="307"/>
      <c r="EI63" s="307"/>
      <c r="EJ63" s="307"/>
      <c r="EK63" s="307">
        <v>48585.161481510229</v>
      </c>
      <c r="EL63" s="307">
        <v>61794.139271354892</v>
      </c>
    </row>
    <row r="64" spans="1:142" x14ac:dyDescent="0.25">
      <c r="A64" s="305" t="s">
        <v>1647</v>
      </c>
      <c r="B64" s="307"/>
      <c r="C64" s="307"/>
      <c r="D64" s="307"/>
      <c r="E64" s="307"/>
      <c r="F64" s="307"/>
      <c r="G64" s="307"/>
      <c r="H64" s="307">
        <v>0.16763635597956994</v>
      </c>
      <c r="I64" s="307">
        <v>1.1062344759739547E-2</v>
      </c>
      <c r="J64" s="307">
        <v>1.326872380642107E-2</v>
      </c>
      <c r="K64" s="307"/>
      <c r="L64" s="307"/>
      <c r="M64" s="307"/>
      <c r="N64" s="307"/>
      <c r="O64" s="307"/>
      <c r="P64" s="307"/>
      <c r="Q64" s="307"/>
      <c r="R64" s="307">
        <v>10.139108227467178</v>
      </c>
      <c r="S64" s="307"/>
      <c r="T64" s="307">
        <v>0.34279758834101676</v>
      </c>
      <c r="U64" s="307">
        <v>7.8661643854153827</v>
      </c>
      <c r="V64" s="307"/>
      <c r="W64" s="307"/>
      <c r="X64" s="307"/>
      <c r="Y64" s="307"/>
      <c r="Z64" s="307"/>
      <c r="AA64" s="307">
        <v>0.19349029286215219</v>
      </c>
      <c r="AB64" s="307">
        <v>31371.201858545377</v>
      </c>
      <c r="AC64" s="307">
        <v>8525.2610187109021</v>
      </c>
      <c r="AD64" s="307">
        <v>1957.279518209898</v>
      </c>
      <c r="AE64" s="307">
        <v>1699.4876479540878</v>
      </c>
      <c r="AF64" s="307">
        <v>1860.9466919769684</v>
      </c>
      <c r="AG64" s="307">
        <v>491.82505519526438</v>
      </c>
      <c r="AH64" s="307">
        <v>2785.320165287857</v>
      </c>
      <c r="AI64" s="307">
        <v>239.59598477423225</v>
      </c>
      <c r="AJ64" s="307"/>
      <c r="AK64" s="307">
        <v>204.5826830786406</v>
      </c>
      <c r="AL64" s="307"/>
      <c r="AM64" s="307"/>
      <c r="AN64" s="307"/>
      <c r="AO64" s="307"/>
      <c r="AP64" s="307"/>
      <c r="AQ64" s="307"/>
      <c r="AR64" s="307"/>
      <c r="AS64" s="307"/>
      <c r="AT64" s="307"/>
      <c r="AU64" s="307"/>
      <c r="AV64" s="307"/>
      <c r="AW64" s="307"/>
      <c r="AX64" s="307">
        <v>991.83445878415307</v>
      </c>
      <c r="AY64" s="307"/>
      <c r="AZ64" s="307">
        <v>6.4501285687365417</v>
      </c>
      <c r="BA64" s="307"/>
      <c r="BB64" s="307"/>
      <c r="BC64" s="307"/>
      <c r="BD64" s="307"/>
      <c r="BE64" s="307"/>
      <c r="BF64" s="307"/>
      <c r="BG64" s="307"/>
      <c r="BH64" s="307"/>
      <c r="BI64" s="307"/>
      <c r="BJ64" s="307"/>
      <c r="BK64" s="307"/>
      <c r="BL64" s="307"/>
      <c r="BM64" s="307"/>
      <c r="BN64" s="307"/>
      <c r="BO64" s="307"/>
      <c r="BP64" s="307"/>
      <c r="BQ64" s="307"/>
      <c r="BR64" s="307"/>
      <c r="BS64" s="307"/>
      <c r="BT64" s="307"/>
      <c r="BU64" s="307"/>
      <c r="BV64" s="307"/>
      <c r="BW64" s="307"/>
      <c r="BX64" s="307"/>
      <c r="BY64" s="307"/>
      <c r="BZ64" s="307"/>
      <c r="CA64" s="307"/>
      <c r="CB64" s="307"/>
      <c r="CC64" s="307"/>
      <c r="CD64" s="307"/>
      <c r="CE64" s="307"/>
      <c r="CF64" s="307"/>
      <c r="CG64" s="307"/>
      <c r="CH64" s="307"/>
      <c r="CI64" s="307"/>
      <c r="CJ64" s="307"/>
      <c r="CK64" s="307"/>
      <c r="CL64" s="307"/>
      <c r="CM64" s="307"/>
      <c r="CN64" s="307"/>
      <c r="CO64" s="307"/>
      <c r="CP64" s="307"/>
      <c r="CQ64" s="307"/>
      <c r="CR64" s="307"/>
      <c r="CS64" s="307"/>
      <c r="CT64" s="307"/>
      <c r="CU64" s="307"/>
      <c r="CV64" s="307"/>
      <c r="CW64" s="307"/>
      <c r="CX64" s="307"/>
      <c r="CY64" s="307"/>
      <c r="CZ64" s="307"/>
      <c r="DA64" s="307"/>
      <c r="DB64" s="307"/>
      <c r="DC64" s="307"/>
      <c r="DD64" s="307"/>
      <c r="DE64" s="307"/>
      <c r="DF64" s="307"/>
      <c r="DG64" s="307"/>
      <c r="DH64" s="307"/>
      <c r="DI64" s="307"/>
      <c r="DJ64" s="307"/>
      <c r="DK64" s="307"/>
      <c r="DL64" s="307"/>
      <c r="DM64" s="307"/>
      <c r="DN64" s="307"/>
      <c r="DO64" s="307"/>
      <c r="DP64" s="307"/>
      <c r="DQ64" s="307"/>
      <c r="DR64" s="307"/>
      <c r="DS64" s="307"/>
      <c r="DT64" s="307"/>
      <c r="DU64" s="307"/>
      <c r="DV64" s="307"/>
      <c r="DW64" s="307"/>
      <c r="DX64" s="307"/>
      <c r="DY64" s="307"/>
      <c r="DZ64" s="307"/>
      <c r="EA64" s="307"/>
      <c r="EB64" s="307"/>
      <c r="EC64" s="307"/>
      <c r="ED64" s="307"/>
      <c r="EE64" s="307"/>
      <c r="EF64" s="307"/>
      <c r="EG64" s="307"/>
      <c r="EH64" s="307"/>
      <c r="EI64" s="307"/>
      <c r="EJ64" s="307">
        <v>1657.6411625104656</v>
      </c>
      <c r="EK64" s="307">
        <v>242693.76129402485</v>
      </c>
      <c r="EL64" s="307">
        <v>294503.92119554005</v>
      </c>
    </row>
    <row r="65" spans="1:142" x14ac:dyDescent="0.25">
      <c r="A65" s="305" t="s">
        <v>1646</v>
      </c>
      <c r="B65" s="307">
        <v>3440.0489575719371</v>
      </c>
      <c r="C65" s="307">
        <v>365.81670813320528</v>
      </c>
      <c r="D65" s="307">
        <v>37.127331712721301</v>
      </c>
      <c r="E65" s="307">
        <v>251.6278982064774</v>
      </c>
      <c r="F65" s="307">
        <v>92.245997787398963</v>
      </c>
      <c r="G65" s="307">
        <v>635.68624743926227</v>
      </c>
      <c r="H65" s="307">
        <v>163.75846758045628</v>
      </c>
      <c r="I65" s="307">
        <v>10.831424825316715</v>
      </c>
      <c r="J65" s="307">
        <v>12.99174700830096</v>
      </c>
      <c r="K65" s="307">
        <v>5.6735816543919515E-2</v>
      </c>
      <c r="L65" s="307">
        <v>190.30464146954148</v>
      </c>
      <c r="M65" s="307">
        <v>7.9826314211113025E-2</v>
      </c>
      <c r="N65" s="307">
        <v>24.227184178594285</v>
      </c>
      <c r="O65" s="307"/>
      <c r="P65" s="307"/>
      <c r="Q65" s="307"/>
      <c r="R65" s="307">
        <v>572.69767364688687</v>
      </c>
      <c r="S65" s="307"/>
      <c r="T65" s="307">
        <v>348.78505130489538</v>
      </c>
      <c r="U65" s="307">
        <v>2.6232555683235408E-8</v>
      </c>
      <c r="V65" s="307">
        <v>6796.8305213389467</v>
      </c>
      <c r="W65" s="307">
        <v>3603.8000479329553</v>
      </c>
      <c r="X65" s="307"/>
      <c r="Y65" s="307">
        <v>554.32461683087513</v>
      </c>
      <c r="Z65" s="307">
        <v>1708.4691033997067</v>
      </c>
      <c r="AA65" s="307">
        <v>14163.274581948517</v>
      </c>
      <c r="AB65" s="307">
        <v>165.93701815591839</v>
      </c>
      <c r="AC65" s="307"/>
      <c r="AD65" s="307"/>
      <c r="AE65" s="307">
        <v>517.12641128070243</v>
      </c>
      <c r="AF65" s="307"/>
      <c r="AG65" s="307">
        <v>7.6298614117325609</v>
      </c>
      <c r="AH65" s="307">
        <v>131.93754385032963</v>
      </c>
      <c r="AI65" s="307">
        <v>0.22744123487176995</v>
      </c>
      <c r="AJ65" s="307">
        <v>4.9364138212353641</v>
      </c>
      <c r="AK65" s="307">
        <v>5446.2636387643824</v>
      </c>
      <c r="AL65" s="307">
        <v>0.15200000000004366</v>
      </c>
      <c r="AM65" s="307">
        <v>40.242725256153484</v>
      </c>
      <c r="AN65" s="307">
        <v>12804.488914243479</v>
      </c>
      <c r="AO65" s="307"/>
      <c r="AP65" s="307">
        <v>33.802198225017897</v>
      </c>
      <c r="AQ65" s="307">
        <v>18.271733712579934</v>
      </c>
      <c r="AR65" s="307">
        <v>239.1616577150908</v>
      </c>
      <c r="AS65" s="307">
        <v>211.44773253281483</v>
      </c>
      <c r="AT65" s="307">
        <v>249.60841241576665</v>
      </c>
      <c r="AU65" s="307">
        <v>780.94876934414935</v>
      </c>
      <c r="AV65" s="307">
        <v>1259.3893385276619</v>
      </c>
      <c r="AW65" s="307"/>
      <c r="AX65" s="307">
        <v>1274.8643044280293</v>
      </c>
      <c r="AY65" s="307">
        <v>2517.4258329889499</v>
      </c>
      <c r="AZ65" s="307">
        <v>7462.1240056966499</v>
      </c>
      <c r="BA65" s="307"/>
      <c r="BB65" s="307"/>
      <c r="BC65" s="307"/>
      <c r="BD65" s="307"/>
      <c r="BE65" s="307"/>
      <c r="BF65" s="307"/>
      <c r="BG65" s="307"/>
      <c r="BH65" s="307"/>
      <c r="BI65" s="307"/>
      <c r="BJ65" s="307"/>
      <c r="BK65" s="307"/>
      <c r="BL65" s="307"/>
      <c r="BM65" s="307"/>
      <c r="BN65" s="307"/>
      <c r="BO65" s="307"/>
      <c r="BP65" s="307"/>
      <c r="BQ65" s="307"/>
      <c r="BR65" s="307"/>
      <c r="BS65" s="307"/>
      <c r="BT65" s="307"/>
      <c r="BU65" s="307"/>
      <c r="BV65" s="307"/>
      <c r="BW65" s="307"/>
      <c r="BX65" s="307"/>
      <c r="BY65" s="307"/>
      <c r="BZ65" s="307"/>
      <c r="CA65" s="307"/>
      <c r="CB65" s="307"/>
      <c r="CC65" s="307"/>
      <c r="CD65" s="307"/>
      <c r="CE65" s="307"/>
      <c r="CF65" s="307"/>
      <c r="CG65" s="307"/>
      <c r="CH65" s="307"/>
      <c r="CI65" s="307"/>
      <c r="CJ65" s="307"/>
      <c r="CK65" s="307"/>
      <c r="CL65" s="307"/>
      <c r="CM65" s="307"/>
      <c r="CN65" s="307"/>
      <c r="CO65" s="307"/>
      <c r="CP65" s="307"/>
      <c r="CQ65" s="307"/>
      <c r="CR65" s="307"/>
      <c r="CS65" s="307"/>
      <c r="CT65" s="307"/>
      <c r="CU65" s="307"/>
      <c r="CV65" s="307"/>
      <c r="CW65" s="307"/>
      <c r="CX65" s="307"/>
      <c r="CY65" s="307"/>
      <c r="CZ65" s="307"/>
      <c r="DA65" s="307"/>
      <c r="DB65" s="307"/>
      <c r="DC65" s="307"/>
      <c r="DD65" s="307"/>
      <c r="DE65" s="307"/>
      <c r="DF65" s="307"/>
      <c r="DG65" s="307"/>
      <c r="DH65" s="307"/>
      <c r="DI65" s="307"/>
      <c r="DJ65" s="307"/>
      <c r="DK65" s="307"/>
      <c r="DL65" s="307">
        <v>34.829001052571044</v>
      </c>
      <c r="DM65" s="307">
        <v>58.853650238190419</v>
      </c>
      <c r="DN65" s="307">
        <v>156.9220969018518</v>
      </c>
      <c r="DO65" s="307">
        <v>143.23612508175134</v>
      </c>
      <c r="DP65" s="307">
        <v>137.44698836436734</v>
      </c>
      <c r="DQ65" s="307">
        <v>131.53390955662664</v>
      </c>
      <c r="DR65" s="307">
        <v>83.611334154648347</v>
      </c>
      <c r="DS65" s="307">
        <v>22.620718017709461</v>
      </c>
      <c r="DT65" s="307">
        <v>12.736295736659008</v>
      </c>
      <c r="DU65" s="307"/>
      <c r="DV65" s="307"/>
      <c r="DW65" s="307"/>
      <c r="DX65" s="307">
        <v>18.468538244728009</v>
      </c>
      <c r="DY65" s="307">
        <v>50.408896882690875</v>
      </c>
      <c r="DZ65" s="307"/>
      <c r="EA65" s="307"/>
      <c r="EB65" s="307"/>
      <c r="EC65" s="307"/>
      <c r="ED65" s="307"/>
      <c r="EE65" s="307"/>
      <c r="EF65" s="307"/>
      <c r="EG65" s="307"/>
      <c r="EH65" s="307"/>
      <c r="EI65" s="307"/>
      <c r="EJ65" s="307">
        <v>1138.9734354472084</v>
      </c>
      <c r="EK65" s="307">
        <v>51726.409795407199</v>
      </c>
      <c r="EL65" s="307">
        <v>119855.02150316469</v>
      </c>
    </row>
    <row r="66" spans="1:142" x14ac:dyDescent="0.25">
      <c r="A66" s="305" t="s">
        <v>1645</v>
      </c>
      <c r="B66" s="307"/>
      <c r="C66" s="307"/>
      <c r="D66" s="307"/>
      <c r="E66" s="307"/>
      <c r="F66" s="307"/>
      <c r="G66" s="307"/>
      <c r="H66" s="307"/>
      <c r="I66" s="307"/>
      <c r="J66" s="307"/>
      <c r="K66" s="307"/>
      <c r="L66" s="307"/>
      <c r="M66" s="307"/>
      <c r="N66" s="307"/>
      <c r="O66" s="307"/>
      <c r="P66" s="307"/>
      <c r="Q66" s="307"/>
      <c r="R66" s="307"/>
      <c r="S66" s="307"/>
      <c r="T66" s="307"/>
      <c r="U66" s="307">
        <v>79901.8859675555</v>
      </c>
      <c r="V66" s="307"/>
      <c r="W66" s="307"/>
      <c r="X66" s="307"/>
      <c r="Y66" s="307"/>
      <c r="Z66" s="307"/>
      <c r="AA66" s="307"/>
      <c r="AB66" s="307"/>
      <c r="AC66" s="307"/>
      <c r="AD66" s="307"/>
      <c r="AE66" s="307"/>
      <c r="AF66" s="307"/>
      <c r="AG66" s="307"/>
      <c r="AH66" s="307"/>
      <c r="AI66" s="307"/>
      <c r="AJ66" s="307"/>
      <c r="AK66" s="307"/>
      <c r="AL66" s="307"/>
      <c r="AM66" s="307"/>
      <c r="AN66" s="307"/>
      <c r="AO66" s="307"/>
      <c r="AP66" s="307"/>
      <c r="AQ66" s="307"/>
      <c r="AR66" s="307"/>
      <c r="AS66" s="307"/>
      <c r="AT66" s="307"/>
      <c r="AU66" s="307"/>
      <c r="AV66" s="307"/>
      <c r="AW66" s="307"/>
      <c r="AX66" s="307"/>
      <c r="AY66" s="307"/>
      <c r="AZ66" s="307"/>
      <c r="BA66" s="307"/>
      <c r="BB66" s="307"/>
      <c r="BC66" s="307"/>
      <c r="BD66" s="307"/>
      <c r="BE66" s="307"/>
      <c r="BF66" s="307"/>
      <c r="BG66" s="307"/>
      <c r="BH66" s="307"/>
      <c r="BI66" s="307"/>
      <c r="BJ66" s="307"/>
      <c r="BK66" s="307"/>
      <c r="BL66" s="307"/>
      <c r="BM66" s="307"/>
      <c r="BN66" s="307"/>
      <c r="BO66" s="307"/>
      <c r="BP66" s="307"/>
      <c r="BQ66" s="307"/>
      <c r="BR66" s="307"/>
      <c r="BS66" s="307"/>
      <c r="BT66" s="307"/>
      <c r="BU66" s="307"/>
      <c r="BV66" s="307"/>
      <c r="BW66" s="307"/>
      <c r="BX66" s="307"/>
      <c r="BY66" s="307"/>
      <c r="BZ66" s="307"/>
      <c r="CA66" s="307"/>
      <c r="CB66" s="307"/>
      <c r="CC66" s="307"/>
      <c r="CD66" s="307"/>
      <c r="CE66" s="307"/>
      <c r="CF66" s="307"/>
      <c r="CG66" s="307"/>
      <c r="CH66" s="307"/>
      <c r="CI66" s="307"/>
      <c r="CJ66" s="307"/>
      <c r="CK66" s="307"/>
      <c r="CL66" s="307"/>
      <c r="CM66" s="307"/>
      <c r="CN66" s="307"/>
      <c r="CO66" s="307"/>
      <c r="CP66" s="307"/>
      <c r="CQ66" s="307"/>
      <c r="CR66" s="307"/>
      <c r="CS66" s="307"/>
      <c r="CT66" s="307"/>
      <c r="CU66" s="307"/>
      <c r="CV66" s="307"/>
      <c r="CW66" s="307"/>
      <c r="CX66" s="307"/>
      <c r="CY66" s="307"/>
      <c r="CZ66" s="307"/>
      <c r="DA66" s="307"/>
      <c r="DB66" s="307"/>
      <c r="DC66" s="307"/>
      <c r="DD66" s="307"/>
      <c r="DE66" s="307"/>
      <c r="DF66" s="307"/>
      <c r="DG66" s="307"/>
      <c r="DH66" s="307"/>
      <c r="DI66" s="307"/>
      <c r="DJ66" s="307"/>
      <c r="DK66" s="307"/>
      <c r="DL66" s="307"/>
      <c r="DM66" s="307"/>
      <c r="DN66" s="307"/>
      <c r="DO66" s="307"/>
      <c r="DP66" s="307"/>
      <c r="DQ66" s="307"/>
      <c r="DR66" s="307"/>
      <c r="DS66" s="307"/>
      <c r="DT66" s="307"/>
      <c r="DU66" s="307"/>
      <c r="DV66" s="307"/>
      <c r="DW66" s="307"/>
      <c r="DX66" s="307"/>
      <c r="DY66" s="307"/>
      <c r="DZ66" s="307"/>
      <c r="EA66" s="307"/>
      <c r="EB66" s="307"/>
      <c r="EC66" s="307"/>
      <c r="ED66" s="307"/>
      <c r="EE66" s="307"/>
      <c r="EF66" s="307"/>
      <c r="EG66" s="307"/>
      <c r="EH66" s="307"/>
      <c r="EI66" s="307"/>
      <c r="EJ66" s="307"/>
      <c r="EK66" s="307"/>
      <c r="EL66" s="307">
        <v>79901.8859675555</v>
      </c>
    </row>
    <row r="67" spans="1:142" x14ac:dyDescent="0.25">
      <c r="A67" s="305" t="s">
        <v>1644</v>
      </c>
      <c r="B67" s="307"/>
      <c r="C67" s="307"/>
      <c r="D67" s="307"/>
      <c r="E67" s="307">
        <v>7.3324107728828025</v>
      </c>
      <c r="F67" s="307">
        <v>2.6880387777059132</v>
      </c>
      <c r="G67" s="307">
        <v>18.523831109825259</v>
      </c>
      <c r="H67" s="307">
        <v>5.1615145910580278</v>
      </c>
      <c r="I67" s="307">
        <v>0.31562659244426367</v>
      </c>
      <c r="J67" s="307">
        <v>0.37857815608373463</v>
      </c>
      <c r="K67" s="307">
        <v>1.0012423554607294E-2</v>
      </c>
      <c r="L67" s="307">
        <v>418.12860929229953</v>
      </c>
      <c r="M67" s="307">
        <v>0.17539070770044751</v>
      </c>
      <c r="N67" s="307">
        <v>2.1437284144423732</v>
      </c>
      <c r="O67" s="307"/>
      <c r="P67" s="307"/>
      <c r="Q67" s="307"/>
      <c r="R67" s="307">
        <v>50.67482324118405</v>
      </c>
      <c r="S67" s="307">
        <v>599.37184000000002</v>
      </c>
      <c r="T67" s="307">
        <v>30.862044037113858</v>
      </c>
      <c r="U67" s="307">
        <v>7357.4719999996732</v>
      </c>
      <c r="V67" s="307">
        <v>1199.4671118524896</v>
      </c>
      <c r="W67" s="307">
        <v>635.9787288526453</v>
      </c>
      <c r="X67" s="307"/>
      <c r="Y67" s="307">
        <v>97.824146871310603</v>
      </c>
      <c r="Z67" s="307">
        <v>245.42761677525013</v>
      </c>
      <c r="AA67" s="307">
        <v>2034.6043832247501</v>
      </c>
      <c r="AB67" s="307">
        <v>2265.4549818440819</v>
      </c>
      <c r="AC67" s="307">
        <v>331.61599999999999</v>
      </c>
      <c r="AD67" s="307">
        <v>165.93701815591868</v>
      </c>
      <c r="AE67" s="307">
        <v>45.757632151925002</v>
      </c>
      <c r="AF67" s="307"/>
      <c r="AG67" s="307">
        <v>0.67512388505470622</v>
      </c>
      <c r="AH67" s="307">
        <v>11.67441744771922</v>
      </c>
      <c r="AI67" s="307">
        <v>2.0125006447974457E-2</v>
      </c>
      <c r="AJ67" s="307">
        <v>0.43679572896375746</v>
      </c>
      <c r="AK67" s="307">
        <v>481.90949591571336</v>
      </c>
      <c r="AL67" s="307">
        <v>410.04799999999994</v>
      </c>
      <c r="AM67" s="307">
        <v>2.1631654333537146E-2</v>
      </c>
      <c r="AN67" s="307">
        <v>1132.9978141714357</v>
      </c>
      <c r="AO67" s="307"/>
      <c r="AP67" s="307">
        <v>1.8169680682982151E-2</v>
      </c>
      <c r="AQ67" s="307"/>
      <c r="AR67" s="307"/>
      <c r="AS67" s="307">
        <v>0.11365940628140399</v>
      </c>
      <c r="AT67" s="307"/>
      <c r="AU67" s="307"/>
      <c r="AV67" s="307">
        <v>0.67695899492310641</v>
      </c>
      <c r="AW67" s="307"/>
      <c r="AX67" s="307">
        <v>0.68527724650893396</v>
      </c>
      <c r="AY67" s="307">
        <v>1.3531907961727052</v>
      </c>
      <c r="AZ67" s="307">
        <v>4.0111122210973313</v>
      </c>
      <c r="BA67" s="307"/>
      <c r="BB67" s="307"/>
      <c r="BC67" s="307"/>
      <c r="BD67" s="307"/>
      <c r="BE67" s="307"/>
      <c r="BF67" s="307"/>
      <c r="BG67" s="307"/>
      <c r="BH67" s="307"/>
      <c r="BI67" s="307"/>
      <c r="BJ67" s="307"/>
      <c r="BK67" s="307"/>
      <c r="BL67" s="307"/>
      <c r="BM67" s="307"/>
      <c r="BN67" s="307"/>
      <c r="BO67" s="307"/>
      <c r="BP67" s="307"/>
      <c r="BQ67" s="307"/>
      <c r="BR67" s="307"/>
      <c r="BS67" s="307"/>
      <c r="BT67" s="307"/>
      <c r="BU67" s="307"/>
      <c r="BV67" s="307"/>
      <c r="BW67" s="307"/>
      <c r="BX67" s="307"/>
      <c r="BY67" s="307"/>
      <c r="BZ67" s="307"/>
      <c r="CA67" s="307"/>
      <c r="CB67" s="307"/>
      <c r="CC67" s="307"/>
      <c r="CD67" s="307"/>
      <c r="CE67" s="307"/>
      <c r="CF67" s="307"/>
      <c r="CG67" s="307"/>
      <c r="CH67" s="307"/>
      <c r="CI67" s="307"/>
      <c r="CJ67" s="307"/>
      <c r="CK67" s="307"/>
      <c r="CL67" s="307"/>
      <c r="CM67" s="307"/>
      <c r="CN67" s="307"/>
      <c r="CO67" s="307"/>
      <c r="CP67" s="307"/>
      <c r="CQ67" s="307"/>
      <c r="CR67" s="307"/>
      <c r="CS67" s="307"/>
      <c r="CT67" s="307"/>
      <c r="CU67" s="307"/>
      <c r="CV67" s="307"/>
      <c r="CW67" s="307"/>
      <c r="CX67" s="307"/>
      <c r="CY67" s="307"/>
      <c r="CZ67" s="307"/>
      <c r="DA67" s="307"/>
      <c r="DB67" s="307"/>
      <c r="DC67" s="307"/>
      <c r="DD67" s="307"/>
      <c r="DE67" s="307"/>
      <c r="DF67" s="307"/>
      <c r="DG67" s="307"/>
      <c r="DH67" s="307"/>
      <c r="DI67" s="307"/>
      <c r="DJ67" s="307"/>
      <c r="DK67" s="307"/>
      <c r="DL67" s="307"/>
      <c r="DM67" s="307"/>
      <c r="DN67" s="307"/>
      <c r="DO67" s="307"/>
      <c r="DP67" s="307"/>
      <c r="DQ67" s="307"/>
      <c r="DR67" s="307"/>
      <c r="DS67" s="307"/>
      <c r="DT67" s="307"/>
      <c r="DU67" s="307"/>
      <c r="DV67" s="307"/>
      <c r="DW67" s="307"/>
      <c r="DX67" s="307"/>
      <c r="DY67" s="307"/>
      <c r="DZ67" s="307"/>
      <c r="EA67" s="307"/>
      <c r="EB67" s="307"/>
      <c r="EC67" s="307"/>
      <c r="ED67" s="307"/>
      <c r="EE67" s="307"/>
      <c r="EF67" s="307"/>
      <c r="EG67" s="307"/>
      <c r="EH67" s="307"/>
      <c r="EI67" s="307"/>
      <c r="EJ67" s="307"/>
      <c r="EK67" s="307">
        <v>1.6955248535156249</v>
      </c>
      <c r="EL67" s="307">
        <v>17561.643364853189</v>
      </c>
    </row>
    <row r="68" spans="1:142" x14ac:dyDescent="0.25">
      <c r="A68" s="305" t="s">
        <v>1643</v>
      </c>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A68" s="307"/>
      <c r="AB68" s="307"/>
      <c r="AC68" s="307"/>
      <c r="AD68" s="307"/>
      <c r="AE68" s="307"/>
      <c r="AF68" s="307"/>
      <c r="AG68" s="307"/>
      <c r="AH68" s="307"/>
      <c r="AI68" s="307"/>
      <c r="AJ68" s="307"/>
      <c r="AK68" s="307"/>
      <c r="AL68" s="307"/>
      <c r="AM68" s="307"/>
      <c r="AN68" s="307"/>
      <c r="AO68" s="307"/>
      <c r="AP68" s="307"/>
      <c r="AQ68" s="307"/>
      <c r="AR68" s="307"/>
      <c r="AS68" s="307"/>
      <c r="AT68" s="307"/>
      <c r="AU68" s="307">
        <v>1</v>
      </c>
      <c r="AV68" s="307"/>
      <c r="AW68" s="307"/>
      <c r="AX68" s="307"/>
      <c r="AY68" s="307"/>
      <c r="AZ68" s="307"/>
      <c r="BA68" s="307"/>
      <c r="BB68" s="307"/>
      <c r="BC68" s="307"/>
      <c r="BD68" s="307"/>
      <c r="BE68" s="307"/>
      <c r="BF68" s="307"/>
      <c r="BG68" s="307"/>
      <c r="BH68" s="307"/>
      <c r="BI68" s="307"/>
      <c r="BJ68" s="307"/>
      <c r="BK68" s="307"/>
      <c r="BL68" s="307"/>
      <c r="BM68" s="307"/>
      <c r="BN68" s="307"/>
      <c r="BO68" s="307"/>
      <c r="BP68" s="307"/>
      <c r="BQ68" s="307"/>
      <c r="BR68" s="307"/>
      <c r="BS68" s="307"/>
      <c r="BT68" s="307"/>
      <c r="BU68" s="307"/>
      <c r="BV68" s="307"/>
      <c r="BW68" s="307"/>
      <c r="BX68" s="307"/>
      <c r="BY68" s="307"/>
      <c r="BZ68" s="307"/>
      <c r="CA68" s="307"/>
      <c r="CB68" s="307"/>
      <c r="CC68" s="307"/>
      <c r="CD68" s="307"/>
      <c r="CE68" s="307"/>
      <c r="CF68" s="307"/>
      <c r="CG68" s="307"/>
      <c r="CH68" s="307"/>
      <c r="CI68" s="307"/>
      <c r="CJ68" s="307"/>
      <c r="CK68" s="307"/>
      <c r="CL68" s="307"/>
      <c r="CM68" s="307"/>
      <c r="CN68" s="307"/>
      <c r="CO68" s="307"/>
      <c r="CP68" s="307"/>
      <c r="CQ68" s="307"/>
      <c r="CR68" s="307"/>
      <c r="CS68" s="307"/>
      <c r="CT68" s="307"/>
      <c r="CU68" s="307"/>
      <c r="CV68" s="307"/>
      <c r="CW68" s="307"/>
      <c r="CX68" s="307"/>
      <c r="CY68" s="307"/>
      <c r="CZ68" s="307"/>
      <c r="DA68" s="307"/>
      <c r="DB68" s="307"/>
      <c r="DC68" s="307"/>
      <c r="DD68" s="307"/>
      <c r="DE68" s="307"/>
      <c r="DF68" s="307"/>
      <c r="DG68" s="307"/>
      <c r="DH68" s="307"/>
      <c r="DI68" s="307"/>
      <c r="DJ68" s="307"/>
      <c r="DK68" s="307"/>
      <c r="DL68" s="307"/>
      <c r="DM68" s="307"/>
      <c r="DN68" s="307"/>
      <c r="DO68" s="307"/>
      <c r="DP68" s="307"/>
      <c r="DQ68" s="307"/>
      <c r="DR68" s="307"/>
      <c r="DS68" s="307"/>
      <c r="DT68" s="307"/>
      <c r="DU68" s="307"/>
      <c r="DV68" s="307"/>
      <c r="DW68" s="307"/>
      <c r="DX68" s="307"/>
      <c r="DY68" s="307"/>
      <c r="DZ68" s="307"/>
      <c r="EA68" s="307"/>
      <c r="EB68" s="307"/>
      <c r="EC68" s="307"/>
      <c r="ED68" s="307"/>
      <c r="EE68" s="307"/>
      <c r="EF68" s="307"/>
      <c r="EG68" s="307"/>
      <c r="EH68" s="307"/>
      <c r="EI68" s="307"/>
      <c r="EJ68" s="307"/>
      <c r="EK68" s="307"/>
      <c r="EL68" s="307">
        <v>1</v>
      </c>
    </row>
    <row r="69" spans="1:142" x14ac:dyDescent="0.25">
      <c r="A69" s="305" t="s">
        <v>1642</v>
      </c>
      <c r="B69" s="307">
        <v>9886.1109202205243</v>
      </c>
      <c r="C69" s="307">
        <v>1046.9189324965855</v>
      </c>
      <c r="D69" s="307">
        <v>109.67099595965833</v>
      </c>
      <c r="E69" s="307">
        <v>3.2404717141586641</v>
      </c>
      <c r="F69" s="307"/>
      <c r="G69" s="307"/>
      <c r="H69" s="307">
        <v>0.71061338575284771</v>
      </c>
      <c r="I69" s="307">
        <v>4.6893469010038775E-2</v>
      </c>
      <c r="J69" s="307">
        <v>5.6246347599260657E-2</v>
      </c>
      <c r="K69" s="307">
        <v>1.1787414449050038E-2</v>
      </c>
      <c r="L69" s="307">
        <v>54794.726807006555</v>
      </c>
      <c r="M69" s="307">
        <v>5996.7530248382182</v>
      </c>
      <c r="N69" s="307">
        <v>27.767171342603092</v>
      </c>
      <c r="O69" s="307">
        <v>4.0558108927281324</v>
      </c>
      <c r="P69" s="307">
        <v>271.42126808225959</v>
      </c>
      <c r="Q69" s="307"/>
      <c r="R69" s="307">
        <v>1.8768236284844901</v>
      </c>
      <c r="S69" s="307">
        <v>331.18531103035821</v>
      </c>
      <c r="T69" s="307"/>
      <c r="U69" s="307">
        <v>2.4615930498404257E-2</v>
      </c>
      <c r="V69" s="307">
        <v>1412.1072573786953</v>
      </c>
      <c r="W69" s="307">
        <v>3209.7683243070956</v>
      </c>
      <c r="X69" s="307"/>
      <c r="Y69" s="307">
        <v>9.8207305300825221E-2</v>
      </c>
      <c r="Z69" s="307"/>
      <c r="AA69" s="307">
        <v>93.424705872181747</v>
      </c>
      <c r="AB69" s="307"/>
      <c r="AC69" s="307"/>
      <c r="AD69" s="307"/>
      <c r="AE69" s="307">
        <v>15.822519570685953</v>
      </c>
      <c r="AF69" s="307"/>
      <c r="AG69" s="307"/>
      <c r="AH69" s="307"/>
      <c r="AI69" s="307"/>
      <c r="AJ69" s="307"/>
      <c r="AK69" s="307">
        <v>1721.6012440349305</v>
      </c>
      <c r="AL69" s="307">
        <v>219.13109528992584</v>
      </c>
      <c r="AM69" s="307"/>
      <c r="AN69" s="307"/>
      <c r="AO69" s="307">
        <v>1702.6741629636756</v>
      </c>
      <c r="AP69" s="307">
        <v>4484.465327129089</v>
      </c>
      <c r="AQ69" s="307">
        <v>2.6595327930454298</v>
      </c>
      <c r="AR69" s="307">
        <v>34.810605634170741</v>
      </c>
      <c r="AS69" s="307">
        <v>30.792851017902848</v>
      </c>
      <c r="AT69" s="307">
        <v>36.32927345470393</v>
      </c>
      <c r="AU69" s="307">
        <v>113.66324203993864</v>
      </c>
      <c r="AV69" s="307">
        <v>183.39389330512333</v>
      </c>
      <c r="AW69" s="307"/>
      <c r="AX69" s="307">
        <v>6846.3505225621693</v>
      </c>
      <c r="AY69" s="307">
        <v>2969.8808029066604</v>
      </c>
      <c r="AZ69" s="307">
        <v>7458.5429210849134</v>
      </c>
      <c r="BA69" s="307"/>
      <c r="BB69" s="307"/>
      <c r="BC69" s="307"/>
      <c r="BD69" s="307"/>
      <c r="BE69" s="307"/>
      <c r="BF69" s="307"/>
      <c r="BG69" s="307"/>
      <c r="BH69" s="307"/>
      <c r="BI69" s="307"/>
      <c r="BJ69" s="307"/>
      <c r="BK69" s="307"/>
      <c r="BL69" s="307"/>
      <c r="BM69" s="307"/>
      <c r="BN69" s="307"/>
      <c r="BO69" s="307"/>
      <c r="BP69" s="307"/>
      <c r="BQ69" s="307"/>
      <c r="BR69" s="307"/>
      <c r="BS69" s="307"/>
      <c r="BT69" s="307"/>
      <c r="BU69" s="307"/>
      <c r="BV69" s="307"/>
      <c r="BW69" s="307"/>
      <c r="BX69" s="307"/>
      <c r="BY69" s="307"/>
      <c r="BZ69" s="307"/>
      <c r="CA69" s="307"/>
      <c r="CB69" s="307"/>
      <c r="CC69" s="307"/>
      <c r="CD69" s="307"/>
      <c r="CE69" s="307"/>
      <c r="CF69" s="307"/>
      <c r="CG69" s="307"/>
      <c r="CH69" s="307"/>
      <c r="CI69" s="307"/>
      <c r="CJ69" s="307"/>
      <c r="CK69" s="307"/>
      <c r="CL69" s="307"/>
      <c r="CM69" s="307"/>
      <c r="CN69" s="307"/>
      <c r="CO69" s="307"/>
      <c r="CP69" s="307"/>
      <c r="CQ69" s="307"/>
      <c r="CR69" s="307"/>
      <c r="CS69" s="307"/>
      <c r="CT69" s="307"/>
      <c r="CU69" s="307"/>
      <c r="CV69" s="307"/>
      <c r="CW69" s="307"/>
      <c r="CX69" s="307"/>
      <c r="CY69" s="307"/>
      <c r="CZ69" s="307"/>
      <c r="DA69" s="307"/>
      <c r="DB69" s="307"/>
      <c r="DC69" s="307"/>
      <c r="DD69" s="307"/>
      <c r="DE69" s="307"/>
      <c r="DF69" s="307"/>
      <c r="DG69" s="307"/>
      <c r="DH69" s="307"/>
      <c r="DI69" s="307"/>
      <c r="DJ69" s="307"/>
      <c r="DK69" s="307"/>
      <c r="DL69" s="307">
        <v>16555.524281731879</v>
      </c>
      <c r="DM69" s="307">
        <v>20056.984656949557</v>
      </c>
      <c r="DN69" s="307">
        <v>22745.853964017137</v>
      </c>
      <c r="DO69" s="307">
        <v>23895.280329553185</v>
      </c>
      <c r="DP69" s="307">
        <v>23699.588113381611</v>
      </c>
      <c r="DQ69" s="307">
        <v>25424.884814570691</v>
      </c>
      <c r="DR69" s="307">
        <v>27220.738371132487</v>
      </c>
      <c r="DS69" s="307">
        <v>28393.316440783576</v>
      </c>
      <c r="DT69" s="307">
        <v>39134.743492840556</v>
      </c>
      <c r="DU69" s="307">
        <v>8636.1383632831294</v>
      </c>
      <c r="DV69" s="307">
        <v>9189.6393650824775</v>
      </c>
      <c r="DW69" s="307">
        <v>9537.3853426227051</v>
      </c>
      <c r="DX69" s="307">
        <v>11025.03100193247</v>
      </c>
      <c r="DY69" s="307">
        <v>13573.795121911906</v>
      </c>
      <c r="DZ69" s="307"/>
      <c r="EA69" s="307"/>
      <c r="EB69" s="307"/>
      <c r="EC69" s="307"/>
      <c r="ED69" s="307"/>
      <c r="EE69" s="307"/>
      <c r="EF69" s="307"/>
      <c r="EG69" s="307"/>
      <c r="EH69" s="307"/>
      <c r="EI69" s="307"/>
      <c r="EJ69" s="307">
        <v>4885.7729679855565</v>
      </c>
      <c r="EK69" s="307">
        <v>28462.364944513407</v>
      </c>
      <c r="EL69" s="307">
        <v>415447.13575470191</v>
      </c>
    </row>
    <row r="70" spans="1:142" x14ac:dyDescent="0.25">
      <c r="A70" s="305" t="s">
        <v>1641</v>
      </c>
      <c r="B70" s="307"/>
      <c r="C70" s="307"/>
      <c r="D70" s="307"/>
      <c r="E70" s="307">
        <v>510.88401411766381</v>
      </c>
      <c r="F70" s="307">
        <v>31.42222042311074</v>
      </c>
      <c r="G70" s="307">
        <v>142.51224280405307</v>
      </c>
      <c r="H70" s="307">
        <v>153.08791350195284</v>
      </c>
      <c r="I70" s="307">
        <v>10.102291163583748</v>
      </c>
      <c r="J70" s="307">
        <v>12.117188007870119</v>
      </c>
      <c r="K70" s="307">
        <v>2.8440429530388276E-5</v>
      </c>
      <c r="L70" s="307">
        <v>509.88789994793041</v>
      </c>
      <c r="M70" s="307">
        <v>12545.465816950144</v>
      </c>
      <c r="N70" s="307"/>
      <c r="O70" s="307"/>
      <c r="P70" s="307"/>
      <c r="Q70" s="307"/>
      <c r="R70" s="307"/>
      <c r="S70" s="307"/>
      <c r="T70" s="307"/>
      <c r="U70" s="307"/>
      <c r="V70" s="307">
        <v>3.407103153657693</v>
      </c>
      <c r="W70" s="307">
        <v>0.59932003602470352</v>
      </c>
      <c r="X70" s="307"/>
      <c r="Y70" s="307"/>
      <c r="Z70" s="307"/>
      <c r="AA70" s="307"/>
      <c r="AB70" s="307"/>
      <c r="AC70" s="307"/>
      <c r="AD70" s="307"/>
      <c r="AE70" s="307"/>
      <c r="AF70" s="307"/>
      <c r="AG70" s="307"/>
      <c r="AH70" s="307"/>
      <c r="AI70" s="307"/>
      <c r="AJ70" s="307"/>
      <c r="AK70" s="307">
        <v>8.266947644782654</v>
      </c>
      <c r="AL70" s="307"/>
      <c r="AM70" s="307"/>
      <c r="AN70" s="307"/>
      <c r="AO70" s="307"/>
      <c r="AP70" s="307">
        <v>16089.367132772255</v>
      </c>
      <c r="AQ70" s="307">
        <v>48.594360192143</v>
      </c>
      <c r="AR70" s="307">
        <v>636.04028800072069</v>
      </c>
      <c r="AS70" s="307">
        <v>562.64335040022888</v>
      </c>
      <c r="AT70" s="307">
        <v>663.75271441164455</v>
      </c>
      <c r="AU70" s="307">
        <v>2076.6802707161892</v>
      </c>
      <c r="AV70" s="307">
        <v>3350.6341257113918</v>
      </c>
      <c r="AW70" s="307"/>
      <c r="AX70" s="307">
        <v>3.5870407172227483</v>
      </c>
      <c r="AY70" s="307">
        <v>1859.2816135315807</v>
      </c>
      <c r="AZ70" s="307">
        <v>8199.0355690543947</v>
      </c>
      <c r="BA70" s="307"/>
      <c r="BB70" s="307"/>
      <c r="BC70" s="307"/>
      <c r="BD70" s="307"/>
      <c r="BE70" s="307"/>
      <c r="BF70" s="307"/>
      <c r="BG70" s="307"/>
      <c r="BH70" s="307"/>
      <c r="BI70" s="307"/>
      <c r="BJ70" s="307"/>
      <c r="BK70" s="307"/>
      <c r="BL70" s="307"/>
      <c r="BM70" s="307"/>
      <c r="BN70" s="307"/>
      <c r="BO70" s="307"/>
      <c r="BP70" s="307"/>
      <c r="BQ70" s="307"/>
      <c r="BR70" s="307"/>
      <c r="BS70" s="307"/>
      <c r="BT70" s="307"/>
      <c r="BU70" s="307"/>
      <c r="BV70" s="307"/>
      <c r="BW70" s="307"/>
      <c r="BX70" s="307"/>
      <c r="BY70" s="307"/>
      <c r="BZ70" s="307"/>
      <c r="CA70" s="307"/>
      <c r="CB70" s="307"/>
      <c r="CC70" s="307"/>
      <c r="CD70" s="307"/>
      <c r="CE70" s="307"/>
      <c r="CF70" s="307"/>
      <c r="CG70" s="307"/>
      <c r="CH70" s="307"/>
      <c r="CI70" s="307"/>
      <c r="CJ70" s="307"/>
      <c r="CK70" s="307"/>
      <c r="CL70" s="307"/>
      <c r="CM70" s="307"/>
      <c r="CN70" s="307"/>
      <c r="CO70" s="307"/>
      <c r="CP70" s="307"/>
      <c r="CQ70" s="307"/>
      <c r="CR70" s="307"/>
      <c r="CS70" s="307"/>
      <c r="CT70" s="307"/>
      <c r="CU70" s="307"/>
      <c r="CV70" s="307"/>
      <c r="CW70" s="307"/>
      <c r="CX70" s="307"/>
      <c r="CY70" s="307"/>
      <c r="CZ70" s="307"/>
      <c r="DA70" s="307"/>
      <c r="DB70" s="307"/>
      <c r="DC70" s="307"/>
      <c r="DD70" s="307"/>
      <c r="DE70" s="307"/>
      <c r="DF70" s="307"/>
      <c r="DG70" s="307"/>
      <c r="DH70" s="307"/>
      <c r="DI70" s="307"/>
      <c r="DJ70" s="307"/>
      <c r="DK70" s="307"/>
      <c r="DL70" s="307">
        <v>1946.5416210289968</v>
      </c>
      <c r="DM70" s="307">
        <v>3293.7577300631201</v>
      </c>
      <c r="DN70" s="307">
        <v>5118.4409955109531</v>
      </c>
      <c r="DO70" s="307">
        <v>6478.4476270484911</v>
      </c>
      <c r="DP70" s="307">
        <v>8196.9010481142905</v>
      </c>
      <c r="DQ70" s="307">
        <v>10491.836568202032</v>
      </c>
      <c r="DR70" s="307">
        <v>12636.751023850356</v>
      </c>
      <c r="DS70" s="307">
        <v>14350.585170086519</v>
      </c>
      <c r="DT70" s="307">
        <v>22716.809206946404</v>
      </c>
      <c r="DU70" s="307">
        <v>4904.1755094863056</v>
      </c>
      <c r="DV70" s="307">
        <v>5562.2307728124097</v>
      </c>
      <c r="DW70" s="307">
        <v>5476.1744871223509</v>
      </c>
      <c r="DX70" s="307">
        <v>8938.9296867484663</v>
      </c>
      <c r="DY70" s="307">
        <v>9755.8486220437189</v>
      </c>
      <c r="DZ70" s="307"/>
      <c r="EA70" s="307"/>
      <c r="EB70" s="307"/>
      <c r="EC70" s="307"/>
      <c r="ED70" s="307"/>
      <c r="EE70" s="307"/>
      <c r="EF70" s="307"/>
      <c r="EG70" s="307"/>
      <c r="EH70" s="307"/>
      <c r="EI70" s="307"/>
      <c r="EJ70" s="307">
        <v>2472.7462899288903</v>
      </c>
      <c r="EK70" s="307">
        <v>13913.787371085549</v>
      </c>
      <c r="EL70" s="307">
        <v>183671.33318177788</v>
      </c>
    </row>
    <row r="71" spans="1:142" x14ac:dyDescent="0.25">
      <c r="A71" s="305" t="s">
        <v>1640</v>
      </c>
      <c r="B71" s="307"/>
      <c r="C71" s="307"/>
      <c r="D71" s="307"/>
      <c r="E71" s="307"/>
      <c r="F71" s="307"/>
      <c r="G71" s="307"/>
      <c r="H71" s="307"/>
      <c r="I71" s="307"/>
      <c r="J71" s="307"/>
      <c r="K71" s="307">
        <v>1.6384235510025525E-4</v>
      </c>
      <c r="L71" s="307">
        <v>50.571529665689596</v>
      </c>
      <c r="M71" s="307">
        <v>394.87044213255797</v>
      </c>
      <c r="N71" s="307">
        <v>8368.2333721170889</v>
      </c>
      <c r="O71" s="307">
        <v>18257.525934099398</v>
      </c>
      <c r="P71" s="307">
        <v>23.5926180303012</v>
      </c>
      <c r="Q71" s="307">
        <v>382.67758068076182</v>
      </c>
      <c r="R71" s="307">
        <v>81.330798413189981</v>
      </c>
      <c r="S71" s="307">
        <v>47.722753594238554</v>
      </c>
      <c r="T71" s="307">
        <v>588.99688293786653</v>
      </c>
      <c r="U71" s="307">
        <v>39.70718711255747</v>
      </c>
      <c r="V71" s="307">
        <v>19.627966735464501</v>
      </c>
      <c r="W71" s="307">
        <v>306.58632598927056</v>
      </c>
      <c r="X71" s="307">
        <v>1160.8812145434269</v>
      </c>
      <c r="Y71" s="307">
        <v>142.01961385520656</v>
      </c>
      <c r="Z71" s="307"/>
      <c r="AA71" s="307">
        <v>108.4044590110051</v>
      </c>
      <c r="AB71" s="307"/>
      <c r="AC71" s="307"/>
      <c r="AD71" s="307">
        <v>175.24555713908578</v>
      </c>
      <c r="AE71" s="307">
        <v>49.747835891863119</v>
      </c>
      <c r="AF71" s="307">
        <v>11.613236749484182</v>
      </c>
      <c r="AG71" s="307"/>
      <c r="AH71" s="307">
        <v>1434.9240269663364</v>
      </c>
      <c r="AI71" s="307">
        <v>14.927235308480498</v>
      </c>
      <c r="AJ71" s="307">
        <v>723.76113029625378</v>
      </c>
      <c r="AK71" s="307">
        <v>396.16375280431623</v>
      </c>
      <c r="AL71" s="307"/>
      <c r="AM71" s="307"/>
      <c r="AN71" s="307"/>
      <c r="AO71" s="307"/>
      <c r="AP71" s="307"/>
      <c r="AQ71" s="307">
        <v>5.5439135727666913E-2</v>
      </c>
      <c r="AR71" s="307">
        <v>0.72564274479970536</v>
      </c>
      <c r="AS71" s="307">
        <v>0.64189052760394016</v>
      </c>
      <c r="AT71" s="307">
        <v>0.75730104474727389</v>
      </c>
      <c r="AU71" s="307">
        <v>2.369364530604519</v>
      </c>
      <c r="AV71" s="307">
        <v>3.8229347996501266</v>
      </c>
      <c r="AW71" s="307">
        <v>3.0176353396349502</v>
      </c>
      <c r="AX71" s="307">
        <v>0.41093806568527075</v>
      </c>
      <c r="AY71" s="307">
        <v>26.840991203984142</v>
      </c>
      <c r="AZ71" s="307">
        <v>942.16053754766335</v>
      </c>
      <c r="BA71" s="307"/>
      <c r="BB71" s="307"/>
      <c r="BC71" s="307"/>
      <c r="BD71" s="307"/>
      <c r="BE71" s="307"/>
      <c r="BF71" s="307"/>
      <c r="BG71" s="307"/>
      <c r="BH71" s="307"/>
      <c r="BI71" s="307"/>
      <c r="BJ71" s="307"/>
      <c r="BK71" s="307"/>
      <c r="BL71" s="307"/>
      <c r="BM71" s="307"/>
      <c r="BN71" s="307"/>
      <c r="BO71" s="307"/>
      <c r="BP71" s="307"/>
      <c r="BQ71" s="307"/>
      <c r="BR71" s="307"/>
      <c r="BS71" s="307"/>
      <c r="BT71" s="307"/>
      <c r="BU71" s="307"/>
      <c r="BV71" s="307"/>
      <c r="BW71" s="307"/>
      <c r="BX71" s="307"/>
      <c r="BY71" s="307"/>
      <c r="BZ71" s="307"/>
      <c r="CA71" s="307"/>
      <c r="CB71" s="307"/>
      <c r="CC71" s="307"/>
      <c r="CD71" s="307"/>
      <c r="CE71" s="307"/>
      <c r="CF71" s="307"/>
      <c r="CG71" s="307"/>
      <c r="CH71" s="307"/>
      <c r="CI71" s="307"/>
      <c r="CJ71" s="307"/>
      <c r="CK71" s="307"/>
      <c r="CL71" s="307"/>
      <c r="CM71" s="307"/>
      <c r="CN71" s="307"/>
      <c r="CO71" s="307"/>
      <c r="CP71" s="307"/>
      <c r="CQ71" s="307"/>
      <c r="CR71" s="307"/>
      <c r="CS71" s="307"/>
      <c r="CT71" s="307"/>
      <c r="CU71" s="307"/>
      <c r="CV71" s="307"/>
      <c r="CW71" s="307"/>
      <c r="CX71" s="307"/>
      <c r="CY71" s="307"/>
      <c r="CZ71" s="307"/>
      <c r="DA71" s="307"/>
      <c r="DB71" s="307"/>
      <c r="DC71" s="307"/>
      <c r="DD71" s="307"/>
      <c r="DE71" s="307"/>
      <c r="DF71" s="307"/>
      <c r="DG71" s="307"/>
      <c r="DH71" s="307"/>
      <c r="DI71" s="307"/>
      <c r="DJ71" s="307"/>
      <c r="DK71" s="307"/>
      <c r="DL71" s="307">
        <v>5.2375979614914572</v>
      </c>
      <c r="DM71" s="307">
        <v>21.615476803865015</v>
      </c>
      <c r="DN71" s="307">
        <v>49.388872525051916</v>
      </c>
      <c r="DO71" s="307">
        <v>45.477886847563404</v>
      </c>
      <c r="DP71" s="307">
        <v>69.714073966621157</v>
      </c>
      <c r="DQ71" s="307">
        <v>79.726125947061817</v>
      </c>
      <c r="DR71" s="307">
        <v>54.802315172753069</v>
      </c>
      <c r="DS71" s="307">
        <v>115.52783087464506</v>
      </c>
      <c r="DT71" s="307">
        <v>189.47288423395659</v>
      </c>
      <c r="DU71" s="307">
        <v>33.351724993213068</v>
      </c>
      <c r="DV71" s="307">
        <v>50.027765299518663</v>
      </c>
      <c r="DW71" s="307">
        <v>71.978085085178193</v>
      </c>
      <c r="DX71" s="307">
        <v>124.4556606569822</v>
      </c>
      <c r="DY71" s="307">
        <v>169.01140196239626</v>
      </c>
      <c r="DZ71" s="307"/>
      <c r="EA71" s="307"/>
      <c r="EB71" s="307"/>
      <c r="EC71" s="307"/>
      <c r="ED71" s="307"/>
      <c r="EE71" s="307"/>
      <c r="EF71" s="307"/>
      <c r="EG71" s="307"/>
      <c r="EH71" s="307"/>
      <c r="EI71" s="307"/>
      <c r="EJ71" s="307">
        <v>751.08673178457275</v>
      </c>
      <c r="EK71" s="307">
        <v>1251.8627529960024</v>
      </c>
      <c r="EL71" s="307">
        <v>36842.671479967161</v>
      </c>
    </row>
    <row r="72" spans="1:142" x14ac:dyDescent="0.25">
      <c r="A72" s="305" t="s">
        <v>1639</v>
      </c>
      <c r="B72" s="307">
        <v>2028.0366056948128</v>
      </c>
      <c r="C72" s="307">
        <v>214.30917353139697</v>
      </c>
      <c r="D72" s="307">
        <v>22.711644879508221</v>
      </c>
      <c r="E72" s="307">
        <v>205.07007409888575</v>
      </c>
      <c r="F72" s="307">
        <v>114.87566226637986</v>
      </c>
      <c r="G72" s="307">
        <v>831.70053793615716</v>
      </c>
      <c r="H72" s="307">
        <v>183.4648362233074</v>
      </c>
      <c r="I72" s="307">
        <v>12.106868213233668</v>
      </c>
      <c r="J72" s="307">
        <v>14.521576932476499</v>
      </c>
      <c r="K72" s="307"/>
      <c r="L72" s="307"/>
      <c r="M72" s="307"/>
      <c r="N72" s="307">
        <v>887.12855126054205</v>
      </c>
      <c r="O72" s="307">
        <v>2381.9724477513737</v>
      </c>
      <c r="P72" s="307">
        <v>59.469436431465525</v>
      </c>
      <c r="Q72" s="307">
        <v>137.82181176287745</v>
      </c>
      <c r="R72" s="307"/>
      <c r="S72" s="307">
        <v>842.76287053570184</v>
      </c>
      <c r="T72" s="307"/>
      <c r="U72" s="307"/>
      <c r="V72" s="307"/>
      <c r="W72" s="307">
        <v>985.63363881427779</v>
      </c>
      <c r="X72" s="307"/>
      <c r="Y72" s="307">
        <v>18.901600007964603</v>
      </c>
      <c r="Z72" s="307"/>
      <c r="AA72" s="307"/>
      <c r="AB72" s="307"/>
      <c r="AC72" s="307"/>
      <c r="AD72" s="307">
        <v>0.49836807005081596</v>
      </c>
      <c r="AE72" s="307">
        <v>109.10050590892386</v>
      </c>
      <c r="AF72" s="307">
        <v>37.833084441596199</v>
      </c>
      <c r="AG72" s="307">
        <v>136.0748104760799</v>
      </c>
      <c r="AH72" s="307">
        <v>1373.1450568768669</v>
      </c>
      <c r="AI72" s="307">
        <v>13.230760351409362</v>
      </c>
      <c r="AJ72" s="307">
        <v>55.21820857142945</v>
      </c>
      <c r="AK72" s="307">
        <v>162.85523052421527</v>
      </c>
      <c r="AL72" s="307">
        <v>40.78416175889997</v>
      </c>
      <c r="AM72" s="307"/>
      <c r="AN72" s="307">
        <v>2565.6785993535796</v>
      </c>
      <c r="AO72" s="307">
        <v>1535.4276412308732</v>
      </c>
      <c r="AP72" s="307">
        <v>102.72844868665732</v>
      </c>
      <c r="AQ72" s="307">
        <v>12.061194049067229</v>
      </c>
      <c r="AR72" s="307">
        <v>157.87098669833759</v>
      </c>
      <c r="AS72" s="307">
        <v>139.65054672401311</v>
      </c>
      <c r="AT72" s="307">
        <v>164.76659502140421</v>
      </c>
      <c r="AU72" s="307">
        <v>515.5045391525581</v>
      </c>
      <c r="AV72" s="307">
        <v>831.77033527788808</v>
      </c>
      <c r="AW72" s="307">
        <v>6.4807732853890396</v>
      </c>
      <c r="AX72" s="307">
        <v>256.03858488264621</v>
      </c>
      <c r="AY72" s="307">
        <v>1063.2131674829959</v>
      </c>
      <c r="AZ72" s="307">
        <v>2609.3362922258252</v>
      </c>
      <c r="BA72" s="307"/>
      <c r="BB72" s="307"/>
      <c r="BC72" s="307"/>
      <c r="BD72" s="307"/>
      <c r="BE72" s="307"/>
      <c r="BF72" s="307"/>
      <c r="BG72" s="307"/>
      <c r="BH72" s="307"/>
      <c r="BI72" s="307"/>
      <c r="BJ72" s="307"/>
      <c r="BK72" s="307"/>
      <c r="BL72" s="307"/>
      <c r="BM72" s="307"/>
      <c r="BN72" s="307"/>
      <c r="BO72" s="307"/>
      <c r="BP72" s="307"/>
      <c r="BQ72" s="307"/>
      <c r="BR72" s="307"/>
      <c r="BS72" s="307"/>
      <c r="BT72" s="307"/>
      <c r="BU72" s="307"/>
      <c r="BV72" s="307"/>
      <c r="BW72" s="307"/>
      <c r="BX72" s="307"/>
      <c r="BY72" s="307"/>
      <c r="BZ72" s="307"/>
      <c r="CA72" s="307"/>
      <c r="CB72" s="307"/>
      <c r="CC72" s="307"/>
      <c r="CD72" s="307"/>
      <c r="CE72" s="307"/>
      <c r="CF72" s="307"/>
      <c r="CG72" s="307"/>
      <c r="CH72" s="307"/>
      <c r="CI72" s="307"/>
      <c r="CJ72" s="307"/>
      <c r="CK72" s="307"/>
      <c r="CL72" s="307"/>
      <c r="CM72" s="307"/>
      <c r="CN72" s="307"/>
      <c r="CO72" s="307"/>
      <c r="CP72" s="307"/>
      <c r="CQ72" s="307"/>
      <c r="CR72" s="307"/>
      <c r="CS72" s="307"/>
      <c r="CT72" s="307"/>
      <c r="CU72" s="307"/>
      <c r="CV72" s="307"/>
      <c r="CW72" s="307"/>
      <c r="CX72" s="307"/>
      <c r="CY72" s="307"/>
      <c r="CZ72" s="307"/>
      <c r="DA72" s="307"/>
      <c r="DB72" s="307"/>
      <c r="DC72" s="307"/>
      <c r="DD72" s="307"/>
      <c r="DE72" s="307"/>
      <c r="DF72" s="307"/>
      <c r="DG72" s="307"/>
      <c r="DH72" s="307"/>
      <c r="DI72" s="307"/>
      <c r="DJ72" s="307"/>
      <c r="DK72" s="307"/>
      <c r="DL72" s="307">
        <v>2687.5609544190334</v>
      </c>
      <c r="DM72" s="307">
        <v>3690.4003764959416</v>
      </c>
      <c r="DN72" s="307">
        <v>4661.5372743667667</v>
      </c>
      <c r="DO72" s="307">
        <v>5496.2122013163671</v>
      </c>
      <c r="DP72" s="307">
        <v>5975.2168966409936</v>
      </c>
      <c r="DQ72" s="307">
        <v>6754.9172865966593</v>
      </c>
      <c r="DR72" s="307">
        <v>8298.2489484129565</v>
      </c>
      <c r="DS72" s="307">
        <v>10318.16853559319</v>
      </c>
      <c r="DT72" s="307">
        <v>14249.157498873145</v>
      </c>
      <c r="DU72" s="307">
        <v>3352.9754274612878</v>
      </c>
      <c r="DV72" s="307">
        <v>3271.6765986309174</v>
      </c>
      <c r="DW72" s="307">
        <v>3344.9439232344203</v>
      </c>
      <c r="DX72" s="307">
        <v>5208.8777118393282</v>
      </c>
      <c r="DY72" s="307">
        <v>5540.4055119136519</v>
      </c>
      <c r="DZ72" s="307"/>
      <c r="EA72" s="307"/>
      <c r="EB72" s="307"/>
      <c r="EC72" s="307"/>
      <c r="ED72" s="307"/>
      <c r="EE72" s="307"/>
      <c r="EF72" s="307"/>
      <c r="EG72" s="307"/>
      <c r="EH72" s="307">
        <v>20.860730254039279</v>
      </c>
      <c r="EI72" s="307">
        <v>1.1111884882240612</v>
      </c>
      <c r="EJ72" s="307">
        <v>25.783783007370175</v>
      </c>
      <c r="EK72" s="307">
        <v>5675.8936556490207</v>
      </c>
      <c r="EL72" s="307">
        <v>109403.70373058438</v>
      </c>
    </row>
    <row r="73" spans="1:142" x14ac:dyDescent="0.25">
      <c r="A73" s="305" t="s">
        <v>1638</v>
      </c>
      <c r="B73" s="307"/>
      <c r="C73" s="307"/>
      <c r="D73" s="307"/>
      <c r="E73" s="307">
        <v>79.300555747855526</v>
      </c>
      <c r="F73" s="307">
        <v>17.135111156596562</v>
      </c>
      <c r="G73" s="307">
        <v>132.83645930741284</v>
      </c>
      <c r="H73" s="307">
        <v>21.73874429794957</v>
      </c>
      <c r="I73" s="307">
        <v>1.4345425409810757</v>
      </c>
      <c r="J73" s="307">
        <v>1.7206613225537841</v>
      </c>
      <c r="K73" s="307"/>
      <c r="L73" s="307"/>
      <c r="M73" s="307"/>
      <c r="N73" s="307">
        <v>69.913679674719759</v>
      </c>
      <c r="O73" s="307">
        <v>1101.7257898858188</v>
      </c>
      <c r="P73" s="307">
        <v>339.79497308512498</v>
      </c>
      <c r="Q73" s="307">
        <v>1963.1504637803814</v>
      </c>
      <c r="R73" s="307"/>
      <c r="S73" s="307">
        <v>60.4691494329292</v>
      </c>
      <c r="T73" s="307">
        <v>2.2357282240877385</v>
      </c>
      <c r="U73" s="307"/>
      <c r="V73" s="307"/>
      <c r="W73" s="307"/>
      <c r="X73" s="307"/>
      <c r="Y73" s="307">
        <v>22.490735579301305</v>
      </c>
      <c r="Z73" s="307"/>
      <c r="AA73" s="307"/>
      <c r="AB73" s="307"/>
      <c r="AC73" s="307"/>
      <c r="AD73" s="307"/>
      <c r="AE73" s="307"/>
      <c r="AF73" s="307"/>
      <c r="AG73" s="307"/>
      <c r="AH73" s="307">
        <v>4579.8732370946445</v>
      </c>
      <c r="AI73" s="307"/>
      <c r="AJ73" s="307">
        <v>541.80849889099875</v>
      </c>
      <c r="AK73" s="307">
        <v>43.133963762023185</v>
      </c>
      <c r="AL73" s="307"/>
      <c r="AM73" s="307"/>
      <c r="AN73" s="307"/>
      <c r="AO73" s="307"/>
      <c r="AP73" s="307"/>
      <c r="AQ73" s="307"/>
      <c r="AR73" s="307"/>
      <c r="AS73" s="307"/>
      <c r="AT73" s="307"/>
      <c r="AU73" s="307"/>
      <c r="AV73" s="307"/>
      <c r="AW73" s="307"/>
      <c r="AX73" s="307">
        <v>5.1444673309063306E-2</v>
      </c>
      <c r="AY73" s="307">
        <v>94.511124731933691</v>
      </c>
      <c r="AZ73" s="307">
        <v>324.13375320071145</v>
      </c>
      <c r="BA73" s="307"/>
      <c r="BB73" s="307"/>
      <c r="BC73" s="307"/>
      <c r="BD73" s="307"/>
      <c r="BE73" s="307"/>
      <c r="BF73" s="307"/>
      <c r="BG73" s="307"/>
      <c r="BH73" s="307"/>
      <c r="BI73" s="307"/>
      <c r="BJ73" s="307"/>
      <c r="BK73" s="307"/>
      <c r="BL73" s="307"/>
      <c r="BM73" s="307"/>
      <c r="BN73" s="307"/>
      <c r="BO73" s="307"/>
      <c r="BP73" s="307"/>
      <c r="BQ73" s="307"/>
      <c r="BR73" s="307"/>
      <c r="BS73" s="307"/>
      <c r="BT73" s="307"/>
      <c r="BU73" s="307"/>
      <c r="BV73" s="307"/>
      <c r="BW73" s="307"/>
      <c r="BX73" s="307"/>
      <c r="BY73" s="307"/>
      <c r="BZ73" s="307"/>
      <c r="CA73" s="307"/>
      <c r="CB73" s="307"/>
      <c r="CC73" s="307"/>
      <c r="CD73" s="307"/>
      <c r="CE73" s="307"/>
      <c r="CF73" s="307"/>
      <c r="CG73" s="307"/>
      <c r="CH73" s="307"/>
      <c r="CI73" s="307"/>
      <c r="CJ73" s="307"/>
      <c r="CK73" s="307"/>
      <c r="CL73" s="307"/>
      <c r="CM73" s="307"/>
      <c r="CN73" s="307"/>
      <c r="CO73" s="307"/>
      <c r="CP73" s="307"/>
      <c r="CQ73" s="307"/>
      <c r="CR73" s="307"/>
      <c r="CS73" s="307"/>
      <c r="CT73" s="307"/>
      <c r="CU73" s="307"/>
      <c r="CV73" s="307"/>
      <c r="CW73" s="307"/>
      <c r="CX73" s="307"/>
      <c r="CY73" s="307"/>
      <c r="CZ73" s="307"/>
      <c r="DA73" s="307"/>
      <c r="DB73" s="307"/>
      <c r="DC73" s="307"/>
      <c r="DD73" s="307"/>
      <c r="DE73" s="307"/>
      <c r="DF73" s="307"/>
      <c r="DG73" s="307"/>
      <c r="DH73" s="307"/>
      <c r="DI73" s="307"/>
      <c r="DJ73" s="307"/>
      <c r="DK73" s="307"/>
      <c r="DL73" s="307">
        <v>87.354930661208499</v>
      </c>
      <c r="DM73" s="307">
        <v>131.86302695391834</v>
      </c>
      <c r="DN73" s="307">
        <v>147.76746795077736</v>
      </c>
      <c r="DO73" s="307">
        <v>196.69427882193628</v>
      </c>
      <c r="DP73" s="307">
        <v>223.27030440975722</v>
      </c>
      <c r="DQ73" s="307">
        <v>262.17994616919106</v>
      </c>
      <c r="DR73" s="307">
        <v>293.58115548348837</v>
      </c>
      <c r="DS73" s="307">
        <v>478.51548005208144</v>
      </c>
      <c r="DT73" s="307">
        <v>658.78520367383976</v>
      </c>
      <c r="DU73" s="307">
        <v>147.8947668622238</v>
      </c>
      <c r="DV73" s="307">
        <v>265.81057405437434</v>
      </c>
      <c r="DW73" s="307">
        <v>209.32198298288941</v>
      </c>
      <c r="DX73" s="307">
        <v>299.97492544404309</v>
      </c>
      <c r="DY73" s="307">
        <v>356.94617033261767</v>
      </c>
      <c r="DZ73" s="307"/>
      <c r="EA73" s="307"/>
      <c r="EB73" s="307"/>
      <c r="EC73" s="307"/>
      <c r="ED73" s="307"/>
      <c r="EE73" s="307"/>
      <c r="EF73" s="307"/>
      <c r="EG73" s="307"/>
      <c r="EH73" s="307">
        <v>2.5813131584053298E-2</v>
      </c>
      <c r="EI73" s="307">
        <v>1.3749880426961081E-3</v>
      </c>
      <c r="EJ73" s="307">
        <v>-228.69500610272752</v>
      </c>
      <c r="EK73" s="307">
        <v>1345.0070642363012</v>
      </c>
      <c r="EL73" s="307">
        <v>14273.758076494882</v>
      </c>
    </row>
    <row r="74" spans="1:142" x14ac:dyDescent="0.25">
      <c r="A74" s="305" t="s">
        <v>1637</v>
      </c>
      <c r="B74" s="307"/>
      <c r="C74" s="307"/>
      <c r="D74" s="307"/>
      <c r="E74" s="307">
        <v>62.709991699629597</v>
      </c>
      <c r="F74" s="307">
        <v>115.83218322780114</v>
      </c>
      <c r="G74" s="307">
        <v>810.65288393840626</v>
      </c>
      <c r="H74" s="307">
        <v>146.13121874330562</v>
      </c>
      <c r="I74" s="307">
        <v>9.6432179788993491</v>
      </c>
      <c r="J74" s="307">
        <v>11.56655290954266</v>
      </c>
      <c r="K74" s="307"/>
      <c r="L74" s="307"/>
      <c r="M74" s="307"/>
      <c r="N74" s="307"/>
      <c r="O74" s="307">
        <v>37.220964188166462</v>
      </c>
      <c r="P74" s="307">
        <v>64.986856199034477</v>
      </c>
      <c r="Q74" s="307">
        <v>1167.2682116934116</v>
      </c>
      <c r="R74" s="307"/>
      <c r="S74" s="307"/>
      <c r="T74" s="307"/>
      <c r="U74" s="307"/>
      <c r="V74" s="307"/>
      <c r="W74" s="307"/>
      <c r="X74" s="307"/>
      <c r="Y74" s="307"/>
      <c r="Z74" s="307"/>
      <c r="AA74" s="307"/>
      <c r="AB74" s="307"/>
      <c r="AC74" s="307"/>
      <c r="AD74" s="307"/>
      <c r="AE74" s="307"/>
      <c r="AF74" s="307"/>
      <c r="AG74" s="307"/>
      <c r="AH74" s="307"/>
      <c r="AI74" s="307"/>
      <c r="AJ74" s="307"/>
      <c r="AK74" s="307">
        <v>0.3052282158288589</v>
      </c>
      <c r="AL74" s="307"/>
      <c r="AM74" s="307">
        <v>19.923925830884649</v>
      </c>
      <c r="AN74" s="307">
        <v>697.6703904594674</v>
      </c>
      <c r="AO74" s="307">
        <v>286.37455365090472</v>
      </c>
      <c r="AP74" s="307"/>
      <c r="AQ74" s="307"/>
      <c r="AR74" s="307"/>
      <c r="AS74" s="307"/>
      <c r="AT74" s="307"/>
      <c r="AU74" s="307"/>
      <c r="AV74" s="307"/>
      <c r="AW74" s="307"/>
      <c r="AX74" s="307">
        <v>0.34169914371686999</v>
      </c>
      <c r="AY74" s="307">
        <v>468.11363923113919</v>
      </c>
      <c r="AZ74" s="307">
        <v>924.73703025358805</v>
      </c>
      <c r="BA74" s="307"/>
      <c r="BB74" s="307"/>
      <c r="BC74" s="307"/>
      <c r="BD74" s="307"/>
      <c r="BE74" s="307"/>
      <c r="BF74" s="307"/>
      <c r="BG74" s="307"/>
      <c r="BH74" s="307"/>
      <c r="BI74" s="307"/>
      <c r="BJ74" s="307"/>
      <c r="BK74" s="307"/>
      <c r="BL74" s="307"/>
      <c r="BM74" s="307"/>
      <c r="BN74" s="307"/>
      <c r="BO74" s="307"/>
      <c r="BP74" s="307"/>
      <c r="BQ74" s="307"/>
      <c r="BR74" s="307"/>
      <c r="BS74" s="307"/>
      <c r="BT74" s="307"/>
      <c r="BU74" s="307"/>
      <c r="BV74" s="307"/>
      <c r="BW74" s="307"/>
      <c r="BX74" s="307"/>
      <c r="BY74" s="307"/>
      <c r="BZ74" s="307"/>
      <c r="CA74" s="307"/>
      <c r="CB74" s="307"/>
      <c r="CC74" s="307"/>
      <c r="CD74" s="307"/>
      <c r="CE74" s="307"/>
      <c r="CF74" s="307"/>
      <c r="CG74" s="307"/>
      <c r="CH74" s="307"/>
      <c r="CI74" s="307"/>
      <c r="CJ74" s="307"/>
      <c r="CK74" s="307"/>
      <c r="CL74" s="307"/>
      <c r="CM74" s="307"/>
      <c r="CN74" s="307"/>
      <c r="CO74" s="307"/>
      <c r="CP74" s="307"/>
      <c r="CQ74" s="307"/>
      <c r="CR74" s="307"/>
      <c r="CS74" s="307"/>
      <c r="CT74" s="307"/>
      <c r="CU74" s="307"/>
      <c r="CV74" s="307"/>
      <c r="CW74" s="307"/>
      <c r="CX74" s="307"/>
      <c r="CY74" s="307"/>
      <c r="CZ74" s="307"/>
      <c r="DA74" s="307"/>
      <c r="DB74" s="307"/>
      <c r="DC74" s="307"/>
      <c r="DD74" s="307"/>
      <c r="DE74" s="307"/>
      <c r="DF74" s="307"/>
      <c r="DG74" s="307"/>
      <c r="DH74" s="307"/>
      <c r="DI74" s="307"/>
      <c r="DJ74" s="307"/>
      <c r="DK74" s="307"/>
      <c r="DL74" s="307">
        <v>599.72852371399813</v>
      </c>
      <c r="DM74" s="307">
        <v>848.82749469172575</v>
      </c>
      <c r="DN74" s="307">
        <v>1076.5617005846277</v>
      </c>
      <c r="DO74" s="307">
        <v>1356.8499539912766</v>
      </c>
      <c r="DP74" s="307">
        <v>1484.2537055397531</v>
      </c>
      <c r="DQ74" s="307">
        <v>1719.9506459044349</v>
      </c>
      <c r="DR74" s="307">
        <v>2213.6401831547819</v>
      </c>
      <c r="DS74" s="307">
        <v>2611.7769067437716</v>
      </c>
      <c r="DT74" s="307">
        <v>3328.4230092039525</v>
      </c>
      <c r="DU74" s="307">
        <v>867.93805742399718</v>
      </c>
      <c r="DV74" s="307">
        <v>761.237415502148</v>
      </c>
      <c r="DW74" s="307">
        <v>823.34674438203035</v>
      </c>
      <c r="DX74" s="307">
        <v>1035.1554813313728</v>
      </c>
      <c r="DY74" s="307">
        <v>953.93558971921902</v>
      </c>
      <c r="DZ74" s="307"/>
      <c r="EA74" s="307"/>
      <c r="EB74" s="307"/>
      <c r="EC74" s="307"/>
      <c r="ED74" s="307"/>
      <c r="EE74" s="307"/>
      <c r="EF74" s="307"/>
      <c r="EG74" s="307"/>
      <c r="EH74" s="307"/>
      <c r="EI74" s="307"/>
      <c r="EJ74" s="307">
        <v>186.56853628431335</v>
      </c>
      <c r="EK74" s="307">
        <v>946.75447296642722</v>
      </c>
      <c r="EL74" s="307">
        <v>25638.426968501561</v>
      </c>
    </row>
    <row r="75" spans="1:142" x14ac:dyDescent="0.25">
      <c r="A75" s="305" t="s">
        <v>1636</v>
      </c>
      <c r="B75" s="307">
        <v>1001.0612981684277</v>
      </c>
      <c r="C75" s="307">
        <v>74.704728065745087</v>
      </c>
      <c r="D75" s="307">
        <v>3.7910200967727521</v>
      </c>
      <c r="E75" s="307">
        <v>127.50793310914717</v>
      </c>
      <c r="F75" s="307">
        <v>131.83310646223114</v>
      </c>
      <c r="G75" s="307">
        <v>975.49229274799086</v>
      </c>
      <c r="H75" s="307">
        <v>790.44914407445151</v>
      </c>
      <c r="I75" s="307">
        <v>52.161841002188631</v>
      </c>
      <c r="J75" s="307">
        <v>62.565493710827567</v>
      </c>
      <c r="K75" s="307">
        <v>8.7913366865625189E-3</v>
      </c>
      <c r="L75" s="307">
        <v>4112.4741299166435</v>
      </c>
      <c r="M75" s="307">
        <v>2845.9746988939805</v>
      </c>
      <c r="N75" s="307">
        <v>191.62659787632043</v>
      </c>
      <c r="O75" s="307">
        <v>76.269372390112338</v>
      </c>
      <c r="P75" s="307">
        <v>9.0407987995339845</v>
      </c>
      <c r="Q75" s="307">
        <v>61.251635914154626</v>
      </c>
      <c r="R75" s="307">
        <v>9836.5877939841157</v>
      </c>
      <c r="S75" s="307">
        <v>1893.6430148487609</v>
      </c>
      <c r="T75" s="307">
        <v>94.82476762447159</v>
      </c>
      <c r="U75" s="307">
        <v>909.50069620561931</v>
      </c>
      <c r="V75" s="307">
        <v>1053.1834942102159</v>
      </c>
      <c r="W75" s="307">
        <v>2434.714933483589</v>
      </c>
      <c r="X75" s="307">
        <v>16.486809111019319</v>
      </c>
      <c r="Y75" s="307">
        <v>96.6414833940443</v>
      </c>
      <c r="Z75" s="307">
        <v>92.341955672474782</v>
      </c>
      <c r="AA75" s="307">
        <v>656.52253361419582</v>
      </c>
      <c r="AB75" s="307">
        <v>404.80624693924261</v>
      </c>
      <c r="AC75" s="307">
        <v>55.923625014340629</v>
      </c>
      <c r="AD75" s="307">
        <v>657.5263646165256</v>
      </c>
      <c r="AE75" s="307">
        <v>239.53317204334533</v>
      </c>
      <c r="AF75" s="307">
        <v>81.850908028392041</v>
      </c>
      <c r="AG75" s="307">
        <v>123.66527191772326</v>
      </c>
      <c r="AH75" s="307">
        <v>1217.849963992385</v>
      </c>
      <c r="AI75" s="307">
        <v>171.82093227504939</v>
      </c>
      <c r="AJ75" s="307">
        <v>5395.6663734465747</v>
      </c>
      <c r="AK75" s="307">
        <v>434.73248426303132</v>
      </c>
      <c r="AL75" s="307">
        <v>313.78893879776825</v>
      </c>
      <c r="AM75" s="307">
        <v>52.794933125363563</v>
      </c>
      <c r="AN75" s="307">
        <v>4748.9946457084807</v>
      </c>
      <c r="AO75" s="307">
        <v>2991.5143043607904</v>
      </c>
      <c r="AP75" s="307">
        <v>91.651978490990317</v>
      </c>
      <c r="AQ75" s="307">
        <v>13.620851977616049</v>
      </c>
      <c r="AR75" s="307">
        <v>180.11342649446789</v>
      </c>
      <c r="AS75" s="307">
        <v>251.41638297185105</v>
      </c>
      <c r="AT75" s="307">
        <v>313.14289131329559</v>
      </c>
      <c r="AU75" s="307">
        <v>979.72882096877549</v>
      </c>
      <c r="AV75" s="307">
        <v>1226.7727405233998</v>
      </c>
      <c r="AW75" s="307"/>
      <c r="AX75" s="307">
        <v>1085.4628789765404</v>
      </c>
      <c r="AY75" s="307">
        <v>1021.843019907178</v>
      </c>
      <c r="AZ75" s="307">
        <v>3392.1173074809562</v>
      </c>
      <c r="BA75" s="307"/>
      <c r="BB75" s="307"/>
      <c r="BC75" s="307"/>
      <c r="BD75" s="307"/>
      <c r="BE75" s="307"/>
      <c r="BF75" s="307"/>
      <c r="BG75" s="307"/>
      <c r="BH75" s="307"/>
      <c r="BI75" s="307"/>
      <c r="BJ75" s="307"/>
      <c r="BK75" s="307"/>
      <c r="BL75" s="307"/>
      <c r="BM75" s="307"/>
      <c r="BN75" s="307"/>
      <c r="BO75" s="307"/>
      <c r="BP75" s="307"/>
      <c r="BQ75" s="307"/>
      <c r="BR75" s="307"/>
      <c r="BS75" s="307"/>
      <c r="BT75" s="307"/>
      <c r="BU75" s="307"/>
      <c r="BV75" s="307"/>
      <c r="BW75" s="307"/>
      <c r="BX75" s="307"/>
      <c r="BY75" s="307"/>
      <c r="BZ75" s="307"/>
      <c r="CA75" s="307"/>
      <c r="CB75" s="307"/>
      <c r="CC75" s="307"/>
      <c r="CD75" s="307"/>
      <c r="CE75" s="307"/>
      <c r="CF75" s="307"/>
      <c r="CG75" s="307"/>
      <c r="CH75" s="307"/>
      <c r="CI75" s="307"/>
      <c r="CJ75" s="307"/>
      <c r="CK75" s="307"/>
      <c r="CL75" s="307"/>
      <c r="CM75" s="307"/>
      <c r="CN75" s="307"/>
      <c r="CO75" s="307"/>
      <c r="CP75" s="307"/>
      <c r="CQ75" s="307"/>
      <c r="CR75" s="307"/>
      <c r="CS75" s="307"/>
      <c r="CT75" s="307"/>
      <c r="CU75" s="307"/>
      <c r="CV75" s="307"/>
      <c r="CW75" s="307"/>
      <c r="CX75" s="307"/>
      <c r="CY75" s="307"/>
      <c r="CZ75" s="307"/>
      <c r="DA75" s="307"/>
      <c r="DB75" s="307"/>
      <c r="DC75" s="307"/>
      <c r="DD75" s="307"/>
      <c r="DE75" s="307"/>
      <c r="DF75" s="307"/>
      <c r="DG75" s="307"/>
      <c r="DH75" s="307"/>
      <c r="DI75" s="307"/>
      <c r="DJ75" s="307"/>
      <c r="DK75" s="307"/>
      <c r="DL75" s="307">
        <v>57.110105073342396</v>
      </c>
      <c r="DM75" s="307">
        <v>57.626980140088584</v>
      </c>
      <c r="DN75" s="307">
        <v>68.597700256125094</v>
      </c>
      <c r="DO75" s="307">
        <v>60.211940554062913</v>
      </c>
      <c r="DP75" s="307">
        <v>57.922107404101865</v>
      </c>
      <c r="DQ75" s="307">
        <v>81.041412774969146</v>
      </c>
      <c r="DR75" s="307">
        <v>69.02537658269398</v>
      </c>
      <c r="DS75" s="307">
        <v>129.91217343128201</v>
      </c>
      <c r="DT75" s="307">
        <v>251.6069874781293</v>
      </c>
      <c r="DU75" s="307">
        <v>78.289593332384229</v>
      </c>
      <c r="DV75" s="307">
        <v>76.905271962037119</v>
      </c>
      <c r="DW75" s="307">
        <v>71.070892414714464</v>
      </c>
      <c r="DX75" s="307">
        <v>154.05121569606573</v>
      </c>
      <c r="DY75" s="307">
        <v>202.30582530024313</v>
      </c>
      <c r="DZ75" s="307"/>
      <c r="EA75" s="307"/>
      <c r="EB75" s="307"/>
      <c r="EC75" s="307"/>
      <c r="ED75" s="307"/>
      <c r="EE75" s="307"/>
      <c r="EF75" s="307"/>
      <c r="EG75" s="307"/>
      <c r="EH75" s="307"/>
      <c r="EI75" s="307"/>
      <c r="EJ75" s="307">
        <v>278.42550590120192</v>
      </c>
      <c r="EK75" s="307">
        <v>5029.9800896295146</v>
      </c>
      <c r="EL75" s="307">
        <v>59771.082006278768</v>
      </c>
    </row>
    <row r="76" spans="1:142" x14ac:dyDescent="0.25">
      <c r="A76" s="305" t="s">
        <v>1635</v>
      </c>
      <c r="B76" s="307">
        <v>61.558138209613332</v>
      </c>
      <c r="C76" s="307">
        <v>27.67087098122952</v>
      </c>
      <c r="D76" s="307">
        <v>6.3189018678204798</v>
      </c>
      <c r="E76" s="307">
        <v>36.946343597636186</v>
      </c>
      <c r="F76" s="307">
        <v>29.082420698480046</v>
      </c>
      <c r="G76" s="307">
        <v>236.46549716399957</v>
      </c>
      <c r="H76" s="307">
        <v>59.371497252992661</v>
      </c>
      <c r="I76" s="307">
        <v>3.9179327639081936</v>
      </c>
      <c r="J76" s="307">
        <v>4.6993624647845191</v>
      </c>
      <c r="K76" s="307">
        <v>2.168155534024501E-3</v>
      </c>
      <c r="L76" s="307">
        <v>3625.633240039193</v>
      </c>
      <c r="M76" s="307">
        <v>2467.63907124445</v>
      </c>
      <c r="N76" s="307">
        <v>239.60345709751095</v>
      </c>
      <c r="O76" s="307">
        <v>139.22417554012554</v>
      </c>
      <c r="P76" s="307">
        <v>13.901244555444688</v>
      </c>
      <c r="Q76" s="307">
        <v>104.50849817261798</v>
      </c>
      <c r="R76" s="307">
        <v>401.27228079951186</v>
      </c>
      <c r="S76" s="307">
        <v>21194.273608523588</v>
      </c>
      <c r="T76" s="307">
        <v>12336.244065989971</v>
      </c>
      <c r="U76" s="307">
        <v>161.76364688716203</v>
      </c>
      <c r="V76" s="307">
        <v>259.74043569567726</v>
      </c>
      <c r="W76" s="307">
        <v>3332.8266588153574</v>
      </c>
      <c r="X76" s="307">
        <v>19.017197442361997</v>
      </c>
      <c r="Y76" s="307">
        <v>5126.7800328746598</v>
      </c>
      <c r="Z76" s="307">
        <v>42.56318201311089</v>
      </c>
      <c r="AA76" s="307">
        <v>408.65795692274048</v>
      </c>
      <c r="AB76" s="307">
        <v>112.75031725512756</v>
      </c>
      <c r="AC76" s="307">
        <v>93.566326068805211</v>
      </c>
      <c r="AD76" s="307">
        <v>135.36472677543023</v>
      </c>
      <c r="AE76" s="307">
        <v>226.87822649637727</v>
      </c>
      <c r="AF76" s="307">
        <v>141.5573555680086</v>
      </c>
      <c r="AG76" s="307">
        <v>81.849726550251688</v>
      </c>
      <c r="AH76" s="307">
        <v>945.64599542766325</v>
      </c>
      <c r="AI76" s="307">
        <v>5.5058513110178398</v>
      </c>
      <c r="AJ76" s="307">
        <v>163.98935096683792</v>
      </c>
      <c r="AK76" s="307">
        <v>784.82236237248878</v>
      </c>
      <c r="AL76" s="307">
        <v>102.00212127666117</v>
      </c>
      <c r="AM76" s="307">
        <v>9.7428782356393793</v>
      </c>
      <c r="AN76" s="307">
        <v>562.83802361350683</v>
      </c>
      <c r="AO76" s="307">
        <v>19698.212401112978</v>
      </c>
      <c r="AP76" s="307">
        <v>64.504802665418325</v>
      </c>
      <c r="AQ76" s="307">
        <v>19.048696868167472</v>
      </c>
      <c r="AR76" s="307">
        <v>264.08434598710789</v>
      </c>
      <c r="AS76" s="307">
        <v>281.44446512932814</v>
      </c>
      <c r="AT76" s="307">
        <v>340.49235681638635</v>
      </c>
      <c r="AU76" s="307">
        <v>1065.2969763852789</v>
      </c>
      <c r="AV76" s="307">
        <v>1448.9316602641793</v>
      </c>
      <c r="AW76" s="307">
        <v>215.28889979642324</v>
      </c>
      <c r="AX76" s="307">
        <v>11850.751164624991</v>
      </c>
      <c r="AY76" s="307">
        <v>1394.8881624630642</v>
      </c>
      <c r="AZ76" s="307">
        <v>3808.2006751255958</v>
      </c>
      <c r="BA76" s="307"/>
      <c r="BB76" s="307"/>
      <c r="BC76" s="307"/>
      <c r="BD76" s="307"/>
      <c r="BE76" s="307"/>
      <c r="BF76" s="307"/>
      <c r="BG76" s="307"/>
      <c r="BH76" s="307"/>
      <c r="BI76" s="307"/>
      <c r="BJ76" s="307"/>
      <c r="BK76" s="307"/>
      <c r="BL76" s="307"/>
      <c r="BM76" s="307"/>
      <c r="BN76" s="307"/>
      <c r="BO76" s="307"/>
      <c r="BP76" s="307"/>
      <c r="BQ76" s="307"/>
      <c r="BR76" s="307"/>
      <c r="BS76" s="307"/>
      <c r="BT76" s="307"/>
      <c r="BU76" s="307"/>
      <c r="BV76" s="307"/>
      <c r="BW76" s="307"/>
      <c r="BX76" s="307"/>
      <c r="BY76" s="307"/>
      <c r="BZ76" s="307"/>
      <c r="CA76" s="307"/>
      <c r="CB76" s="307"/>
      <c r="CC76" s="307"/>
      <c r="CD76" s="307"/>
      <c r="CE76" s="307"/>
      <c r="CF76" s="307"/>
      <c r="CG76" s="307"/>
      <c r="CH76" s="307"/>
      <c r="CI76" s="307"/>
      <c r="CJ76" s="307"/>
      <c r="CK76" s="307"/>
      <c r="CL76" s="307"/>
      <c r="CM76" s="307"/>
      <c r="CN76" s="307"/>
      <c r="CO76" s="307"/>
      <c r="CP76" s="307"/>
      <c r="CQ76" s="307"/>
      <c r="CR76" s="307"/>
      <c r="CS76" s="307"/>
      <c r="CT76" s="307"/>
      <c r="CU76" s="307"/>
      <c r="CV76" s="307"/>
      <c r="CW76" s="307"/>
      <c r="CX76" s="307"/>
      <c r="CY76" s="307"/>
      <c r="CZ76" s="307"/>
      <c r="DA76" s="307"/>
      <c r="DB76" s="307"/>
      <c r="DC76" s="307"/>
      <c r="DD76" s="307"/>
      <c r="DE76" s="307"/>
      <c r="DF76" s="307"/>
      <c r="DG76" s="307"/>
      <c r="DH76" s="307"/>
      <c r="DI76" s="307"/>
      <c r="DJ76" s="307"/>
      <c r="DK76" s="307"/>
      <c r="DL76" s="307">
        <v>258.87771935422467</v>
      </c>
      <c r="DM76" s="307">
        <v>407.54163456609888</v>
      </c>
      <c r="DN76" s="307">
        <v>543.88922959270838</v>
      </c>
      <c r="DO76" s="307">
        <v>743.32671189206633</v>
      </c>
      <c r="DP76" s="307">
        <v>754.50947223302785</v>
      </c>
      <c r="DQ76" s="307">
        <v>825.4025725424051</v>
      </c>
      <c r="DR76" s="307">
        <v>1062.0312313922325</v>
      </c>
      <c r="DS76" s="307">
        <v>1435.553344708022</v>
      </c>
      <c r="DT76" s="307">
        <v>2113.222857650228</v>
      </c>
      <c r="DU76" s="307">
        <v>584.41834540226739</v>
      </c>
      <c r="DV76" s="307">
        <v>448.99000231873566</v>
      </c>
      <c r="DW76" s="307">
        <v>475.16161099882407</v>
      </c>
      <c r="DX76" s="307">
        <v>748.24537572800273</v>
      </c>
      <c r="DY76" s="307">
        <v>670.71307126907845</v>
      </c>
      <c r="DZ76" s="307"/>
      <c r="EA76" s="307"/>
      <c r="EB76" s="307"/>
      <c r="EC76" s="307"/>
      <c r="ED76" s="307"/>
      <c r="EE76" s="307"/>
      <c r="EF76" s="307"/>
      <c r="EG76" s="307"/>
      <c r="EH76" s="307"/>
      <c r="EI76" s="307"/>
      <c r="EJ76" s="307">
        <v>-161.08407922607557</v>
      </c>
      <c r="EK76" s="307">
        <v>11741.859540664365</v>
      </c>
      <c r="EL76" s="307">
        <v>116809.99839601238</v>
      </c>
    </row>
    <row r="77" spans="1:142" x14ac:dyDescent="0.25">
      <c r="A77" s="305" t="s">
        <v>1634</v>
      </c>
      <c r="B77" s="307">
        <v>14.066506878074524</v>
      </c>
      <c r="C77" s="307">
        <v>6.3230008182951289</v>
      </c>
      <c r="D77" s="307">
        <v>2.2460888608837375</v>
      </c>
      <c r="E77" s="307">
        <v>6.1536264701500665</v>
      </c>
      <c r="F77" s="307">
        <v>4.5944133584144931</v>
      </c>
      <c r="G77" s="307">
        <v>31.696895552894532</v>
      </c>
      <c r="H77" s="307">
        <v>5.4124895164124291</v>
      </c>
      <c r="I77" s="307">
        <v>0.35717088151407494</v>
      </c>
      <c r="J77" s="307">
        <v>0.42840843251912769</v>
      </c>
      <c r="K77" s="307">
        <v>9.8792256045284393E-5</v>
      </c>
      <c r="L77" s="307">
        <v>95.085456535871629</v>
      </c>
      <c r="M77" s="307">
        <v>8.0494347539012967</v>
      </c>
      <c r="N77" s="307">
        <v>27.856776680891603</v>
      </c>
      <c r="O77" s="307">
        <v>8.5532420054834564</v>
      </c>
      <c r="P77" s="307">
        <v>0.91544695532777576</v>
      </c>
      <c r="Q77" s="307">
        <v>5.4928835510563134</v>
      </c>
      <c r="R77" s="307">
        <v>13.737402366707999</v>
      </c>
      <c r="S77" s="307">
        <v>1309.00573197325</v>
      </c>
      <c r="T77" s="307">
        <v>2836.5419207123564</v>
      </c>
      <c r="U77" s="307">
        <v>13.175085883006352</v>
      </c>
      <c r="V77" s="307">
        <v>11.835102798612743</v>
      </c>
      <c r="W77" s="307">
        <v>133.3304902208609</v>
      </c>
      <c r="X77" s="307">
        <v>5.8383987546173381</v>
      </c>
      <c r="Y77" s="307">
        <v>36.645393636117852</v>
      </c>
      <c r="Z77" s="307">
        <v>2.242978541626897</v>
      </c>
      <c r="AA77" s="307">
        <v>9.178684003249133</v>
      </c>
      <c r="AB77" s="307">
        <v>16.110485992081465</v>
      </c>
      <c r="AC77" s="307">
        <v>5.3289600961569308</v>
      </c>
      <c r="AD77" s="307">
        <v>24.449905651860345</v>
      </c>
      <c r="AE77" s="307">
        <v>37.291698418022172</v>
      </c>
      <c r="AF77" s="307">
        <v>17.305838842843556</v>
      </c>
      <c r="AG77" s="307">
        <v>1891.2989719572008</v>
      </c>
      <c r="AH77" s="307">
        <v>42.528632274293521</v>
      </c>
      <c r="AI77" s="307">
        <v>2.3929510820094486</v>
      </c>
      <c r="AJ77" s="307">
        <v>8.0646334418305621</v>
      </c>
      <c r="AK77" s="307">
        <v>211.98279764880772</v>
      </c>
      <c r="AL77" s="307">
        <v>82.861549066362684</v>
      </c>
      <c r="AM77" s="307">
        <v>6.9263214911109925</v>
      </c>
      <c r="AN77" s="307">
        <v>120.10543576568452</v>
      </c>
      <c r="AO77" s="307">
        <v>20913.563072735295</v>
      </c>
      <c r="AP77" s="307">
        <v>172.65433716421236</v>
      </c>
      <c r="AQ77" s="307">
        <v>5.2194907351542765</v>
      </c>
      <c r="AR77" s="307">
        <v>76.000463183401251</v>
      </c>
      <c r="AS77" s="307">
        <v>84.133701620563869</v>
      </c>
      <c r="AT77" s="307">
        <v>84.066951807319271</v>
      </c>
      <c r="AU77" s="307">
        <v>263.0199115528406</v>
      </c>
      <c r="AV77" s="307">
        <v>479.06865098756987</v>
      </c>
      <c r="AW77" s="307">
        <v>648.09720589721189</v>
      </c>
      <c r="AX77" s="307">
        <v>19052.441818924788</v>
      </c>
      <c r="AY77" s="307">
        <v>2306.4641696243652</v>
      </c>
      <c r="AZ77" s="307">
        <v>5832.7802929760901</v>
      </c>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307"/>
      <c r="CQ77" s="307"/>
      <c r="CR77" s="307"/>
      <c r="CS77" s="307"/>
      <c r="CT77" s="307"/>
      <c r="CU77" s="307"/>
      <c r="CV77" s="307"/>
      <c r="CW77" s="307"/>
      <c r="CX77" s="307"/>
      <c r="CY77" s="307"/>
      <c r="CZ77" s="307"/>
      <c r="DA77" s="307"/>
      <c r="DB77" s="307"/>
      <c r="DC77" s="307"/>
      <c r="DD77" s="307"/>
      <c r="DE77" s="307"/>
      <c r="DF77" s="307"/>
      <c r="DG77" s="307"/>
      <c r="DH77" s="307"/>
      <c r="DI77" s="307"/>
      <c r="DJ77" s="307"/>
      <c r="DK77" s="307"/>
      <c r="DL77" s="307">
        <v>66.872321892403562</v>
      </c>
      <c r="DM77" s="307">
        <v>159.31108403520369</v>
      </c>
      <c r="DN77" s="307">
        <v>182.25525898280094</v>
      </c>
      <c r="DO77" s="307">
        <v>262.52098640292019</v>
      </c>
      <c r="DP77" s="307">
        <v>315.35116492959537</v>
      </c>
      <c r="DQ77" s="307">
        <v>578.00404924901704</v>
      </c>
      <c r="DR77" s="307">
        <v>1029.9771403911056</v>
      </c>
      <c r="DS77" s="307">
        <v>1594.9435043187159</v>
      </c>
      <c r="DT77" s="307">
        <v>2824.8318196380528</v>
      </c>
      <c r="DU77" s="307">
        <v>658.40310873102317</v>
      </c>
      <c r="DV77" s="307">
        <v>771.39638151654526</v>
      </c>
      <c r="DW77" s="307">
        <v>693.17026958810675</v>
      </c>
      <c r="DX77" s="307">
        <v>1060.398406141054</v>
      </c>
      <c r="DY77" s="307">
        <v>1421.1077000332975</v>
      </c>
      <c r="DZ77" s="307"/>
      <c r="EA77" s="307"/>
      <c r="EB77" s="307"/>
      <c r="EC77" s="307"/>
      <c r="ED77" s="307"/>
      <c r="EE77" s="307"/>
      <c r="EF77" s="307"/>
      <c r="EG77" s="307"/>
      <c r="EH77" s="307">
        <v>1.0857660613639877</v>
      </c>
      <c r="EI77" s="307">
        <v>5.7835499217887117E-2</v>
      </c>
      <c r="EJ77" s="307">
        <v>1005.2245982828197</v>
      </c>
      <c r="EK77" s="307">
        <v>1175.3951959377221</v>
      </c>
      <c r="EL77" s="307">
        <v>70773.22796950239</v>
      </c>
    </row>
    <row r="78" spans="1:142" x14ac:dyDescent="0.25">
      <c r="A78" s="305" t="s">
        <v>1633</v>
      </c>
      <c r="B78" s="307"/>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v>23072.835574879213</v>
      </c>
      <c r="AU78" s="307">
        <v>43355.10343832885</v>
      </c>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307"/>
      <c r="CE78" s="307"/>
      <c r="CF78" s="307"/>
      <c r="CG78" s="307"/>
      <c r="CH78" s="307"/>
      <c r="CI78" s="307"/>
      <c r="CJ78" s="307"/>
      <c r="CK78" s="307"/>
      <c r="CL78" s="307"/>
      <c r="CM78" s="307"/>
      <c r="CN78" s="307"/>
      <c r="CO78" s="307"/>
      <c r="CP78" s="307"/>
      <c r="CQ78" s="307"/>
      <c r="CR78" s="307"/>
      <c r="CS78" s="307"/>
      <c r="CT78" s="307"/>
      <c r="CU78" s="307"/>
      <c r="CV78" s="307"/>
      <c r="CW78" s="307"/>
      <c r="CX78" s="307"/>
      <c r="CY78" s="307"/>
      <c r="CZ78" s="307"/>
      <c r="DA78" s="307"/>
      <c r="DB78" s="307"/>
      <c r="DC78" s="307"/>
      <c r="DD78" s="307"/>
      <c r="DE78" s="307"/>
      <c r="DF78" s="307"/>
      <c r="DG78" s="307"/>
      <c r="DH78" s="307"/>
      <c r="DI78" s="307"/>
      <c r="DJ78" s="307"/>
      <c r="DK78" s="307"/>
      <c r="DL78" s="307">
        <v>255.25799449603869</v>
      </c>
      <c r="DM78" s="307">
        <v>399.88643055811383</v>
      </c>
      <c r="DN78" s="307">
        <v>618.5228117216468</v>
      </c>
      <c r="DO78" s="307">
        <v>739.88847822468836</v>
      </c>
      <c r="DP78" s="307">
        <v>1293.3483635108726</v>
      </c>
      <c r="DQ78" s="307">
        <v>2651.6871128164566</v>
      </c>
      <c r="DR78" s="307">
        <v>4092.109742000705</v>
      </c>
      <c r="DS78" s="307">
        <v>6989.323439337204</v>
      </c>
      <c r="DT78" s="307">
        <v>17519.76559275408</v>
      </c>
      <c r="DU78" s="307">
        <v>5065.1203495883092</v>
      </c>
      <c r="DV78" s="307">
        <v>4718.1942982466444</v>
      </c>
      <c r="DW78" s="307">
        <v>5602.8557291678899</v>
      </c>
      <c r="DX78" s="307">
        <v>7597.6805243824647</v>
      </c>
      <c r="DY78" s="307">
        <v>7250.7544730407981</v>
      </c>
      <c r="DZ78" s="307"/>
      <c r="EA78" s="307"/>
      <c r="EB78" s="307"/>
      <c r="EC78" s="307"/>
      <c r="ED78" s="307"/>
      <c r="EE78" s="307"/>
      <c r="EF78" s="307"/>
      <c r="EG78" s="307"/>
      <c r="EH78" s="307"/>
      <c r="EI78" s="307"/>
      <c r="EJ78" s="307"/>
      <c r="EK78" s="307">
        <v>9249.4803104154216</v>
      </c>
      <c r="EL78" s="307">
        <v>140471.81466346935</v>
      </c>
    </row>
    <row r="79" spans="1:142" x14ac:dyDescent="0.25">
      <c r="A79" s="305" t="s">
        <v>1632</v>
      </c>
      <c r="B79" s="307">
        <v>7150.9024285738687</v>
      </c>
      <c r="C79" s="307">
        <v>757.36143798344392</v>
      </c>
      <c r="D79" s="307">
        <v>82.082047693727915</v>
      </c>
      <c r="E79" s="307">
        <v>1384.0852067580481</v>
      </c>
      <c r="F79" s="307">
        <v>1085.763989358981</v>
      </c>
      <c r="G79" s="307">
        <v>7639.7946068386882</v>
      </c>
      <c r="H79" s="307">
        <v>1171.5972304592171</v>
      </c>
      <c r="I79" s="307">
        <v>77.313852398911692</v>
      </c>
      <c r="J79" s="307">
        <v>92.734061012551294</v>
      </c>
      <c r="K79" s="307"/>
      <c r="L79" s="307"/>
      <c r="M79" s="307"/>
      <c r="N79" s="307"/>
      <c r="O79" s="307"/>
      <c r="P79" s="307"/>
      <c r="Q79" s="307"/>
      <c r="R79" s="307"/>
      <c r="S79" s="307">
        <v>38.633630796150605</v>
      </c>
      <c r="T79" s="307"/>
      <c r="U79" s="307"/>
      <c r="V79" s="307"/>
      <c r="W79" s="307"/>
      <c r="X79" s="307"/>
      <c r="Y79" s="307"/>
      <c r="Z79" s="307"/>
      <c r="AA79" s="307"/>
      <c r="AB79" s="307"/>
      <c r="AC79" s="307"/>
      <c r="AD79" s="307"/>
      <c r="AE79" s="307"/>
      <c r="AF79" s="307"/>
      <c r="AG79" s="307"/>
      <c r="AH79" s="307"/>
      <c r="AI79" s="307"/>
      <c r="AJ79" s="307"/>
      <c r="AK79" s="307"/>
      <c r="AL79" s="307">
        <v>3253.9456350439482</v>
      </c>
      <c r="AM79" s="307"/>
      <c r="AN79" s="307">
        <v>2725.2600725092611</v>
      </c>
      <c r="AO79" s="307">
        <v>46.904411366994033</v>
      </c>
      <c r="AP79" s="307">
        <v>0.71570566305041294</v>
      </c>
      <c r="AQ79" s="307"/>
      <c r="AR79" s="307"/>
      <c r="AS79" s="307"/>
      <c r="AT79" s="307">
        <v>24643.852671205921</v>
      </c>
      <c r="AU79" s="307">
        <v>91471.782675604278</v>
      </c>
      <c r="AV79" s="307">
        <v>105.47943522803716</v>
      </c>
      <c r="AW79" s="307">
        <v>1.7449429611731155</v>
      </c>
      <c r="AX79" s="307">
        <v>64.357590868036624</v>
      </c>
      <c r="AY79" s="307">
        <v>19.090650757095887</v>
      </c>
      <c r="AZ79" s="307">
        <v>26.474309346376454</v>
      </c>
      <c r="BA79" s="307"/>
      <c r="BB79" s="307"/>
      <c r="BC79" s="307"/>
      <c r="BD79" s="307"/>
      <c r="BE79" s="307"/>
      <c r="BF79" s="307"/>
      <c r="BG79" s="307"/>
      <c r="BH79" s="307"/>
      <c r="BI79" s="307"/>
      <c r="BJ79" s="307"/>
      <c r="BK79" s="307"/>
      <c r="BL79" s="307"/>
      <c r="BM79" s="307"/>
      <c r="BN79" s="307"/>
      <c r="BO79" s="307"/>
      <c r="BP79" s="307"/>
      <c r="BQ79" s="307"/>
      <c r="BR79" s="307"/>
      <c r="BS79" s="307"/>
      <c r="BT79" s="307"/>
      <c r="BU79" s="307"/>
      <c r="BV79" s="307"/>
      <c r="BW79" s="307"/>
      <c r="BX79" s="307"/>
      <c r="BY79" s="307"/>
      <c r="BZ79" s="307"/>
      <c r="CA79" s="307"/>
      <c r="CB79" s="307"/>
      <c r="CC79" s="307"/>
      <c r="CD79" s="307"/>
      <c r="CE79" s="307"/>
      <c r="CF79" s="307"/>
      <c r="CG79" s="307"/>
      <c r="CH79" s="307"/>
      <c r="CI79" s="307"/>
      <c r="CJ79" s="307"/>
      <c r="CK79" s="307"/>
      <c r="CL79" s="307"/>
      <c r="CM79" s="307"/>
      <c r="CN79" s="307"/>
      <c r="CO79" s="307"/>
      <c r="CP79" s="307"/>
      <c r="CQ79" s="307"/>
      <c r="CR79" s="307"/>
      <c r="CS79" s="307"/>
      <c r="CT79" s="307"/>
      <c r="CU79" s="307"/>
      <c r="CV79" s="307"/>
      <c r="CW79" s="307"/>
      <c r="CX79" s="307"/>
      <c r="CY79" s="307"/>
      <c r="CZ79" s="307"/>
      <c r="DA79" s="307"/>
      <c r="DB79" s="307"/>
      <c r="DC79" s="307"/>
      <c r="DD79" s="307"/>
      <c r="DE79" s="307"/>
      <c r="DF79" s="307"/>
      <c r="DG79" s="307"/>
      <c r="DH79" s="307"/>
      <c r="DI79" s="307"/>
      <c r="DJ79" s="307"/>
      <c r="DK79" s="307"/>
      <c r="DL79" s="307">
        <v>35.936835783282092</v>
      </c>
      <c r="DM79" s="307">
        <v>56.2985422466476</v>
      </c>
      <c r="DN79" s="307">
        <v>87.079555556876684</v>
      </c>
      <c r="DO79" s="307">
        <v>104.16618211076538</v>
      </c>
      <c r="DP79" s="307">
        <v>182.08576715425133</v>
      </c>
      <c r="DQ79" s="307">
        <v>373.32129209143835</v>
      </c>
      <c r="DR79" s="307">
        <v>576.11310507938026</v>
      </c>
      <c r="DS79" s="307">
        <v>984.00118347558134</v>
      </c>
      <c r="DT79" s="307">
        <v>2466.5434683502926</v>
      </c>
      <c r="DU79" s="307">
        <v>713.0996958002828</v>
      </c>
      <c r="DV79" s="307">
        <v>664.25725088245531</v>
      </c>
      <c r="DW79" s="307">
        <v>788.80548542291535</v>
      </c>
      <c r="DX79" s="307">
        <v>1069.6495437004244</v>
      </c>
      <c r="DY79" s="307">
        <v>1020.8070987825967</v>
      </c>
      <c r="DZ79" s="307"/>
      <c r="EA79" s="307"/>
      <c r="EB79" s="307"/>
      <c r="EC79" s="307"/>
      <c r="ED79" s="307"/>
      <c r="EE79" s="307"/>
      <c r="EF79" s="307"/>
      <c r="EG79" s="307"/>
      <c r="EH79" s="307">
        <v>234.18201618696301</v>
      </c>
      <c r="EI79" s="307">
        <v>12.47417311700617</v>
      </c>
      <c r="EJ79" s="307"/>
      <c r="EK79" s="307">
        <v>6932.415272635807</v>
      </c>
      <c r="EL79" s="307">
        <v>158141.11306080475</v>
      </c>
    </row>
    <row r="80" spans="1:142" x14ac:dyDescent="0.25">
      <c r="A80" s="305" t="s">
        <v>1631</v>
      </c>
      <c r="B80" s="307">
        <v>401.24121656648191</v>
      </c>
      <c r="C80" s="307">
        <v>42.495982540992664</v>
      </c>
      <c r="D80" s="307">
        <v>4.6056705435243472</v>
      </c>
      <c r="E80" s="307"/>
      <c r="F80" s="307"/>
      <c r="G80" s="307"/>
      <c r="H80" s="307"/>
      <c r="I80" s="307"/>
      <c r="J80" s="307"/>
      <c r="K80" s="307"/>
      <c r="L80" s="307">
        <v>157.48160443643067</v>
      </c>
      <c r="M80" s="307"/>
      <c r="N80" s="307"/>
      <c r="O80" s="307"/>
      <c r="P80" s="307"/>
      <c r="Q80" s="307"/>
      <c r="R80" s="307"/>
      <c r="S80" s="307"/>
      <c r="T80" s="307"/>
      <c r="U80" s="307"/>
      <c r="V80" s="307"/>
      <c r="W80" s="307"/>
      <c r="X80" s="307"/>
      <c r="Y80" s="307"/>
      <c r="Z80" s="307"/>
      <c r="AA80" s="307"/>
      <c r="AB80" s="307">
        <v>263.76234889937763</v>
      </c>
      <c r="AC80" s="307"/>
      <c r="AD80" s="307">
        <v>8.7838366541284921E-2</v>
      </c>
      <c r="AE80" s="307"/>
      <c r="AF80" s="307"/>
      <c r="AG80" s="307"/>
      <c r="AH80" s="307"/>
      <c r="AI80" s="307"/>
      <c r="AJ80" s="307"/>
      <c r="AK80" s="307"/>
      <c r="AL80" s="307"/>
      <c r="AM80" s="307"/>
      <c r="AN80" s="307">
        <v>3090.327544073506</v>
      </c>
      <c r="AO80" s="307">
        <v>246.04024623297406</v>
      </c>
      <c r="AP80" s="307">
        <v>3.7542822185627358</v>
      </c>
      <c r="AQ80" s="307">
        <v>528.39813798432363</v>
      </c>
      <c r="AR80" s="307">
        <v>6915.4578141463753</v>
      </c>
      <c r="AS80" s="307"/>
      <c r="AT80" s="307"/>
      <c r="AU80" s="307"/>
      <c r="AV80" s="307">
        <v>553.29947567114095</v>
      </c>
      <c r="AW80" s="307">
        <v>9.1532157278417277</v>
      </c>
      <c r="AX80" s="307">
        <v>337.59207380812137</v>
      </c>
      <c r="AY80" s="307">
        <v>100.14129324153174</v>
      </c>
      <c r="AZ80" s="307">
        <v>138.87277125097918</v>
      </c>
      <c r="BA80" s="307"/>
      <c r="BB80" s="307"/>
      <c r="BC80" s="307"/>
      <c r="BD80" s="307"/>
      <c r="BE80" s="307"/>
      <c r="BF80" s="307"/>
      <c r="BG80" s="307"/>
      <c r="BH80" s="307"/>
      <c r="BI80" s="307"/>
      <c r="BJ80" s="307"/>
      <c r="BK80" s="307"/>
      <c r="BL80" s="307"/>
      <c r="BM80" s="307"/>
      <c r="BN80" s="307"/>
      <c r="BO80" s="307"/>
      <c r="BP80" s="307"/>
      <c r="BQ80" s="307"/>
      <c r="BR80" s="307"/>
      <c r="BS80" s="307"/>
      <c r="BT80" s="307"/>
      <c r="BU80" s="307"/>
      <c r="BV80" s="307"/>
      <c r="BW80" s="307"/>
      <c r="BX80" s="307"/>
      <c r="BY80" s="307"/>
      <c r="BZ80" s="307"/>
      <c r="CA80" s="307"/>
      <c r="CB80" s="307"/>
      <c r="CC80" s="307"/>
      <c r="CD80" s="307"/>
      <c r="CE80" s="307"/>
      <c r="CF80" s="307"/>
      <c r="CG80" s="307"/>
      <c r="CH80" s="307"/>
      <c r="CI80" s="307"/>
      <c r="CJ80" s="307"/>
      <c r="CK80" s="307"/>
      <c r="CL80" s="307"/>
      <c r="CM80" s="307"/>
      <c r="CN80" s="307"/>
      <c r="CO80" s="307"/>
      <c r="CP80" s="307"/>
      <c r="CQ80" s="307"/>
      <c r="CR80" s="307"/>
      <c r="CS80" s="307"/>
      <c r="CT80" s="307"/>
      <c r="CU80" s="307"/>
      <c r="CV80" s="307"/>
      <c r="CW80" s="307"/>
      <c r="CX80" s="307"/>
      <c r="CY80" s="307"/>
      <c r="CZ80" s="307"/>
      <c r="DA80" s="307"/>
      <c r="DB80" s="307"/>
      <c r="DC80" s="307"/>
      <c r="DD80" s="307"/>
      <c r="DE80" s="307"/>
      <c r="DF80" s="307"/>
      <c r="DG80" s="307"/>
      <c r="DH80" s="307"/>
      <c r="DI80" s="307"/>
      <c r="DJ80" s="307"/>
      <c r="DK80" s="307"/>
      <c r="DL80" s="307">
        <v>142.96454815919864</v>
      </c>
      <c r="DM80" s="307">
        <v>223.9678446608759</v>
      </c>
      <c r="DN80" s="307">
        <v>346.42140975261248</v>
      </c>
      <c r="DO80" s="307">
        <v>414.39572612183633</v>
      </c>
      <c r="DP80" s="307">
        <v>724.37678109486365</v>
      </c>
      <c r="DQ80" s="307">
        <v>185.52643928235614</v>
      </c>
      <c r="DR80" s="307">
        <v>286.30623346042614</v>
      </c>
      <c r="DS80" s="307">
        <v>489.01104675040784</v>
      </c>
      <c r="DT80" s="307">
        <v>29.98842427929516</v>
      </c>
      <c r="DU80" s="307">
        <v>8.669920682726918</v>
      </c>
      <c r="DV80" s="307">
        <v>8.0760904989785018</v>
      </c>
      <c r="DW80" s="307">
        <v>9.5903574675369683</v>
      </c>
      <c r="DX80" s="307">
        <v>13.004881024090375</v>
      </c>
      <c r="DY80" s="307">
        <v>12.411050840341959</v>
      </c>
      <c r="DZ80" s="307"/>
      <c r="EA80" s="307"/>
      <c r="EB80" s="307"/>
      <c r="EC80" s="307"/>
      <c r="ED80" s="307"/>
      <c r="EE80" s="307"/>
      <c r="EF80" s="307"/>
      <c r="EG80" s="307"/>
      <c r="EH80" s="307">
        <v>265.55232003340478</v>
      </c>
      <c r="EI80" s="307">
        <v>14.145175046553073</v>
      </c>
      <c r="EJ80" s="307"/>
      <c r="EK80" s="307">
        <v>12045.401497645895</v>
      </c>
      <c r="EL80" s="307">
        <v>28012.521262510105</v>
      </c>
    </row>
    <row r="81" spans="1:142" x14ac:dyDescent="0.25">
      <c r="A81" s="305" t="s">
        <v>1630</v>
      </c>
      <c r="B81" s="307">
        <v>14340.305681357957</v>
      </c>
      <c r="C81" s="307">
        <v>1520.0946732699558</v>
      </c>
      <c r="D81" s="307">
        <v>159.08483750064056</v>
      </c>
      <c r="E81" s="307">
        <v>250.50338179061006</v>
      </c>
      <c r="F81" s="307">
        <v>371.37901005427631</v>
      </c>
      <c r="G81" s="307">
        <v>2597.4414893387434</v>
      </c>
      <c r="H81" s="307">
        <v>576.23717033451487</v>
      </c>
      <c r="I81" s="307">
        <v>38.0259652171993</v>
      </c>
      <c r="J81" s="307">
        <v>45.610224676406773</v>
      </c>
      <c r="K81" s="307">
        <v>0.40333312522118758</v>
      </c>
      <c r="L81" s="307">
        <v>2384.5939633696712</v>
      </c>
      <c r="M81" s="307">
        <v>2134.4153583605557</v>
      </c>
      <c r="N81" s="307">
        <v>2538.797012959265</v>
      </c>
      <c r="O81" s="307">
        <v>421.60919033733092</v>
      </c>
      <c r="P81" s="307">
        <v>257.4234407613975</v>
      </c>
      <c r="Q81" s="307">
        <v>664.14922768945144</v>
      </c>
      <c r="R81" s="307">
        <v>447.90547621492107</v>
      </c>
      <c r="S81" s="307">
        <v>4549.8327158482862</v>
      </c>
      <c r="T81" s="307">
        <v>228.83051188795403</v>
      </c>
      <c r="U81" s="307">
        <v>11066.671793464173</v>
      </c>
      <c r="V81" s="307">
        <v>48318.453188177307</v>
      </c>
      <c r="W81" s="307">
        <v>29661.681871466466</v>
      </c>
      <c r="X81" s="307">
        <v>5370.4947855462024</v>
      </c>
      <c r="Y81" s="307">
        <v>11973.094741545234</v>
      </c>
      <c r="Z81" s="307">
        <v>106.06232154818838</v>
      </c>
      <c r="AA81" s="307">
        <v>407.85980946246661</v>
      </c>
      <c r="AB81" s="307">
        <v>1856.7158003967022</v>
      </c>
      <c r="AC81" s="307">
        <v>7303.1456484106366</v>
      </c>
      <c r="AD81" s="307">
        <v>270.4411432782868</v>
      </c>
      <c r="AE81" s="307">
        <v>976.04972652529943</v>
      </c>
      <c r="AF81" s="307">
        <v>1318.6779367809349</v>
      </c>
      <c r="AG81" s="307">
        <v>351.17769436752809</v>
      </c>
      <c r="AH81" s="307">
        <v>1621.2933302745914</v>
      </c>
      <c r="AI81" s="307">
        <v>13.380039293720136</v>
      </c>
      <c r="AJ81" s="307">
        <v>667.47514397809232</v>
      </c>
      <c r="AK81" s="307">
        <v>1140.4388575997548</v>
      </c>
      <c r="AL81" s="307">
        <v>185.95897999268368</v>
      </c>
      <c r="AM81" s="307">
        <v>464.09501710127688</v>
      </c>
      <c r="AN81" s="307"/>
      <c r="AO81" s="307">
        <v>223.83580878111616</v>
      </c>
      <c r="AP81" s="307">
        <v>225.47295446020186</v>
      </c>
      <c r="AQ81" s="307">
        <v>2.2464978215449447</v>
      </c>
      <c r="AR81" s="307">
        <v>29.404340339597134</v>
      </c>
      <c r="AS81" s="307">
        <v>26.010604119629011</v>
      </c>
      <c r="AT81" s="307">
        <v>30.68696584466834</v>
      </c>
      <c r="AU81" s="307">
        <v>95.010178420516752</v>
      </c>
      <c r="AV81" s="307">
        <v>154.91066053770294</v>
      </c>
      <c r="AW81" s="307">
        <v>1.6188425303859661</v>
      </c>
      <c r="AX81" s="307">
        <v>351.7142207582433</v>
      </c>
      <c r="AY81" s="307">
        <v>405.05981559244674</v>
      </c>
      <c r="AZ81" s="307">
        <v>3426.2299790274137</v>
      </c>
      <c r="BA81" s="307"/>
      <c r="BB81" s="307"/>
      <c r="BC81" s="307"/>
      <c r="BD81" s="307"/>
      <c r="BE81" s="307"/>
      <c r="BF81" s="307"/>
      <c r="BG81" s="307"/>
      <c r="BH81" s="307"/>
      <c r="BI81" s="307"/>
      <c r="BJ81" s="307"/>
      <c r="BK81" s="307"/>
      <c r="BL81" s="307"/>
      <c r="BM81" s="307"/>
      <c r="BN81" s="307"/>
      <c r="BO81" s="307"/>
      <c r="BP81" s="307"/>
      <c r="BQ81" s="307"/>
      <c r="BR81" s="307"/>
      <c r="BS81" s="307"/>
      <c r="BT81" s="307"/>
      <c r="BU81" s="307"/>
      <c r="BV81" s="307"/>
      <c r="BW81" s="307"/>
      <c r="BX81" s="307"/>
      <c r="BY81" s="307"/>
      <c r="BZ81" s="307"/>
      <c r="CA81" s="307"/>
      <c r="CB81" s="307"/>
      <c r="CC81" s="307"/>
      <c r="CD81" s="307"/>
      <c r="CE81" s="307"/>
      <c r="CF81" s="307"/>
      <c r="CG81" s="307"/>
      <c r="CH81" s="307"/>
      <c r="CI81" s="307"/>
      <c r="CJ81" s="307"/>
      <c r="CK81" s="307"/>
      <c r="CL81" s="307"/>
      <c r="CM81" s="307"/>
      <c r="CN81" s="307"/>
      <c r="CO81" s="307"/>
      <c r="CP81" s="307"/>
      <c r="CQ81" s="307"/>
      <c r="CR81" s="307"/>
      <c r="CS81" s="307"/>
      <c r="CT81" s="307"/>
      <c r="CU81" s="307"/>
      <c r="CV81" s="307"/>
      <c r="CW81" s="307"/>
      <c r="CX81" s="307"/>
      <c r="CY81" s="307"/>
      <c r="CZ81" s="307"/>
      <c r="DA81" s="307"/>
      <c r="DB81" s="307"/>
      <c r="DC81" s="307"/>
      <c r="DD81" s="307"/>
      <c r="DE81" s="307"/>
      <c r="DF81" s="307"/>
      <c r="DG81" s="307"/>
      <c r="DH81" s="307"/>
      <c r="DI81" s="307"/>
      <c r="DJ81" s="307"/>
      <c r="DK81" s="307"/>
      <c r="DL81" s="307">
        <v>63.813490434126592</v>
      </c>
      <c r="DM81" s="307">
        <v>76.639575324927847</v>
      </c>
      <c r="DN81" s="307">
        <v>89.105412916857688</v>
      </c>
      <c r="DO81" s="307">
        <v>146.61973760221639</v>
      </c>
      <c r="DP81" s="307">
        <v>150.09337583137827</v>
      </c>
      <c r="DQ81" s="307">
        <v>270.15662853937937</v>
      </c>
      <c r="DR81" s="307">
        <v>323.91896714990833</v>
      </c>
      <c r="DS81" s="307">
        <v>595.98978033463197</v>
      </c>
      <c r="DT81" s="307">
        <v>1031.4056010535085</v>
      </c>
      <c r="DU81" s="307">
        <v>343.52541422950662</v>
      </c>
      <c r="DV81" s="307">
        <v>351.7942718836216</v>
      </c>
      <c r="DW81" s="307">
        <v>290.8999254220804</v>
      </c>
      <c r="DX81" s="307">
        <v>501.10341474959671</v>
      </c>
      <c r="DY81" s="307">
        <v>371.39230274529399</v>
      </c>
      <c r="DZ81" s="307"/>
      <c r="EA81" s="307"/>
      <c r="EB81" s="307"/>
      <c r="EC81" s="307"/>
      <c r="ED81" s="307"/>
      <c r="EE81" s="307"/>
      <c r="EF81" s="307"/>
      <c r="EG81" s="307"/>
      <c r="EH81" s="307"/>
      <c r="EI81" s="307"/>
      <c r="EJ81" s="307">
        <v>3484.1830361492166</v>
      </c>
      <c r="EK81" s="307">
        <v>39268.027590883277</v>
      </c>
      <c r="EL81" s="307">
        <v>208930.67988678691</v>
      </c>
    </row>
    <row r="82" spans="1:142" x14ac:dyDescent="0.25">
      <c r="A82" s="305" t="s">
        <v>1629</v>
      </c>
      <c r="B82" s="307">
        <v>3927.9049649847839</v>
      </c>
      <c r="C82" s="307">
        <v>416.39250266174179</v>
      </c>
      <c r="D82" s="307">
        <v>44.498534251618018</v>
      </c>
      <c r="E82" s="307">
        <v>1700.7078154170219</v>
      </c>
      <c r="F82" s="307">
        <v>1266.7562210538081</v>
      </c>
      <c r="G82" s="307">
        <v>8918.9639648872217</v>
      </c>
      <c r="H82" s="307">
        <v>1678.0194626868965</v>
      </c>
      <c r="I82" s="307">
        <v>110.73272084283218</v>
      </c>
      <c r="J82" s="307">
        <v>132.81830580297867</v>
      </c>
      <c r="K82" s="307">
        <v>7.596048880105627E-2</v>
      </c>
      <c r="L82" s="307">
        <v>2388.9222576060838</v>
      </c>
      <c r="M82" s="307">
        <v>334.69379681465369</v>
      </c>
      <c r="N82" s="307">
        <v>557.79908278619394</v>
      </c>
      <c r="O82" s="307">
        <v>266.90328992938993</v>
      </c>
      <c r="P82" s="307">
        <v>39.965953148013881</v>
      </c>
      <c r="Q82" s="307">
        <v>44.275778142522164</v>
      </c>
      <c r="R82" s="307">
        <v>647.37467484470835</v>
      </c>
      <c r="S82" s="307">
        <v>2520.0033550931439</v>
      </c>
      <c r="T82" s="307">
        <v>2058.5882164877494</v>
      </c>
      <c r="U82" s="307">
        <v>3122.6753272004498</v>
      </c>
      <c r="V82" s="307">
        <v>9099.9054944275103</v>
      </c>
      <c r="W82" s="307">
        <v>12213.079357919189</v>
      </c>
      <c r="X82" s="307">
        <v>1074.0218291826393</v>
      </c>
      <c r="Y82" s="307">
        <v>724.85816112805719</v>
      </c>
      <c r="Z82" s="307">
        <v>34.246032581767487</v>
      </c>
      <c r="AA82" s="307">
        <v>752.88565677580732</v>
      </c>
      <c r="AB82" s="307">
        <v>920.37030323823865</v>
      </c>
      <c r="AC82" s="307">
        <v>75.094104962990556</v>
      </c>
      <c r="AD82" s="307">
        <v>914.08872097380697</v>
      </c>
      <c r="AE82" s="307">
        <v>306.62203769326663</v>
      </c>
      <c r="AF82" s="307">
        <v>319.75947861175314</v>
      </c>
      <c r="AG82" s="307">
        <v>73.286500758557636</v>
      </c>
      <c r="AH82" s="307">
        <v>1929.166822095621</v>
      </c>
      <c r="AI82" s="307">
        <v>33.665609842420793</v>
      </c>
      <c r="AJ82" s="307">
        <v>347.77729356453671</v>
      </c>
      <c r="AK82" s="307">
        <v>514.13515977080863</v>
      </c>
      <c r="AL82" s="307">
        <v>368.74045524232594</v>
      </c>
      <c r="AM82" s="307">
        <v>405.91485160589332</v>
      </c>
      <c r="AN82" s="307">
        <v>4918.4536296776223</v>
      </c>
      <c r="AO82" s="307">
        <v>2647.3476380465363</v>
      </c>
      <c r="AP82" s="307">
        <v>392.71229930829179</v>
      </c>
      <c r="AQ82" s="307">
        <v>30.096678356234168</v>
      </c>
      <c r="AR82" s="307">
        <v>393.93307840938701</v>
      </c>
      <c r="AS82" s="307">
        <v>348.47226663172211</v>
      </c>
      <c r="AT82" s="307">
        <v>411.11349240265702</v>
      </c>
      <c r="AU82" s="307">
        <v>1286.2490203970003</v>
      </c>
      <c r="AV82" s="307">
        <v>2075.332480142366</v>
      </c>
      <c r="AW82" s="307">
        <v>171.20723885895961</v>
      </c>
      <c r="AX82" s="307">
        <v>25022.224732401057</v>
      </c>
      <c r="AY82" s="307">
        <v>12226.334227803163</v>
      </c>
      <c r="AZ82" s="307">
        <v>7600.8827051472936</v>
      </c>
      <c r="BA82" s="307"/>
      <c r="BB82" s="307"/>
      <c r="BC82" s="307"/>
      <c r="BD82" s="307"/>
      <c r="BE82" s="307"/>
      <c r="BF82" s="307"/>
      <c r="BG82" s="307"/>
      <c r="BH82" s="307"/>
      <c r="BI82" s="307"/>
      <c r="BJ82" s="307"/>
      <c r="BK82" s="307"/>
      <c r="BL82" s="307"/>
      <c r="BM82" s="307"/>
      <c r="BN82" s="307"/>
      <c r="BO82" s="307"/>
      <c r="BP82" s="307"/>
      <c r="BQ82" s="307"/>
      <c r="BR82" s="307"/>
      <c r="BS82" s="307"/>
      <c r="BT82" s="307"/>
      <c r="BU82" s="307"/>
      <c r="BV82" s="307"/>
      <c r="BW82" s="307"/>
      <c r="BX82" s="307"/>
      <c r="BY82" s="307"/>
      <c r="BZ82" s="307"/>
      <c r="CA82" s="307"/>
      <c r="CB82" s="307"/>
      <c r="CC82" s="307"/>
      <c r="CD82" s="307"/>
      <c r="CE82" s="307"/>
      <c r="CF82" s="307"/>
      <c r="CG82" s="307"/>
      <c r="CH82" s="307"/>
      <c r="CI82" s="307"/>
      <c r="CJ82" s="307"/>
      <c r="CK82" s="307"/>
      <c r="CL82" s="307"/>
      <c r="CM82" s="307"/>
      <c r="CN82" s="307"/>
      <c r="CO82" s="307"/>
      <c r="CP82" s="307"/>
      <c r="CQ82" s="307"/>
      <c r="CR82" s="307"/>
      <c r="CS82" s="307"/>
      <c r="CT82" s="307"/>
      <c r="CU82" s="307"/>
      <c r="CV82" s="307"/>
      <c r="CW82" s="307"/>
      <c r="CX82" s="307"/>
      <c r="CY82" s="307"/>
      <c r="CZ82" s="307"/>
      <c r="DA82" s="307"/>
      <c r="DB82" s="307"/>
      <c r="DC82" s="307"/>
      <c r="DD82" s="307"/>
      <c r="DE82" s="307"/>
      <c r="DF82" s="307"/>
      <c r="DG82" s="307"/>
      <c r="DH82" s="307"/>
      <c r="DI82" s="307"/>
      <c r="DJ82" s="307"/>
      <c r="DK82" s="307"/>
      <c r="DL82" s="307">
        <v>2112.9132176777725</v>
      </c>
      <c r="DM82" s="307">
        <v>2806.2475703382538</v>
      </c>
      <c r="DN82" s="307">
        <v>3485.4524967766256</v>
      </c>
      <c r="DO82" s="307">
        <v>3720.3179272288271</v>
      </c>
      <c r="DP82" s="307">
        <v>4067.1813264837542</v>
      </c>
      <c r="DQ82" s="307">
        <v>4560.3107268848735</v>
      </c>
      <c r="DR82" s="307">
        <v>5355.3185784912093</v>
      </c>
      <c r="DS82" s="307">
        <v>6661.4104776038903</v>
      </c>
      <c r="DT82" s="307">
        <v>12311.925613791542</v>
      </c>
      <c r="DU82" s="307">
        <v>3243.5949658244313</v>
      </c>
      <c r="DV82" s="307">
        <v>3855.0588909944117</v>
      </c>
      <c r="DW82" s="307">
        <v>3946.0967541767873</v>
      </c>
      <c r="DX82" s="307">
        <v>5424.2347245026513</v>
      </c>
      <c r="DY82" s="307">
        <v>10046.968946465637</v>
      </c>
      <c r="DZ82" s="307"/>
      <c r="EA82" s="307"/>
      <c r="EB82" s="307"/>
      <c r="EC82" s="307"/>
      <c r="ED82" s="307"/>
      <c r="EE82" s="307"/>
      <c r="EF82" s="307"/>
      <c r="EG82" s="307"/>
      <c r="EH82" s="307"/>
      <c r="EI82" s="307"/>
      <c r="EJ82" s="307">
        <v>4293.5527219361929</v>
      </c>
      <c r="EK82" s="307">
        <v>13182.890712732333</v>
      </c>
      <c r="EL82" s="307">
        <v>206883.52519499723</v>
      </c>
    </row>
    <row r="83" spans="1:142" x14ac:dyDescent="0.25">
      <c r="A83" s="305" t="s">
        <v>1628</v>
      </c>
      <c r="B83" s="307">
        <v>432.24678391817605</v>
      </c>
      <c r="C83" s="307">
        <v>44.904669513168969</v>
      </c>
      <c r="D83" s="307">
        <v>6.0280131312759906</v>
      </c>
      <c r="E83" s="307">
        <v>832.95843799033037</v>
      </c>
      <c r="F83" s="307">
        <v>390.60157780444706</v>
      </c>
      <c r="G83" s="307">
        <v>2715.7243300058353</v>
      </c>
      <c r="H83" s="307">
        <v>450.22046575248464</v>
      </c>
      <c r="I83" s="307">
        <v>29.710106623001732</v>
      </c>
      <c r="J83" s="307">
        <v>35.635772307028766</v>
      </c>
      <c r="K83" s="307">
        <v>3.8729185617367959E-4</v>
      </c>
      <c r="L83" s="307"/>
      <c r="M83" s="307"/>
      <c r="N83" s="307">
        <v>15.086227588529569</v>
      </c>
      <c r="O83" s="307">
        <v>90.527561415043692</v>
      </c>
      <c r="P83" s="307">
        <v>0.98442316891709747</v>
      </c>
      <c r="Q83" s="307">
        <v>407.96705730326977</v>
      </c>
      <c r="R83" s="307">
        <v>108.88020290988277</v>
      </c>
      <c r="S83" s="307">
        <v>1.3098355788196354</v>
      </c>
      <c r="T83" s="307">
        <v>36.698255562754831</v>
      </c>
      <c r="U83" s="307"/>
      <c r="V83" s="307">
        <v>46.396743169626482</v>
      </c>
      <c r="W83" s="307">
        <v>66.84461785950694</v>
      </c>
      <c r="X83" s="307">
        <v>691.02558804539308</v>
      </c>
      <c r="Y83" s="307">
        <v>252.00445096749399</v>
      </c>
      <c r="Z83" s="307"/>
      <c r="AA83" s="307">
        <v>1.389252663239853</v>
      </c>
      <c r="AB83" s="307"/>
      <c r="AC83" s="307"/>
      <c r="AD83" s="307">
        <v>25.905480859363109</v>
      </c>
      <c r="AE83" s="307">
        <v>420.79139053936831</v>
      </c>
      <c r="AF83" s="307">
        <v>5.5592680444533817</v>
      </c>
      <c r="AG83" s="307">
        <v>63.423578945224413</v>
      </c>
      <c r="AH83" s="307">
        <v>2553.9296989964027</v>
      </c>
      <c r="AI83" s="307">
        <v>53.272633793181562</v>
      </c>
      <c r="AJ83" s="307">
        <v>66.851957335595387</v>
      </c>
      <c r="AK83" s="307">
        <v>753.55867477474658</v>
      </c>
      <c r="AL83" s="307">
        <v>8.9717370043377649</v>
      </c>
      <c r="AM83" s="307">
        <v>56.234633331108981</v>
      </c>
      <c r="AN83" s="307"/>
      <c r="AO83" s="307">
        <v>113.39796130335162</v>
      </c>
      <c r="AP83" s="307"/>
      <c r="AQ83" s="307">
        <v>62.545774070926441</v>
      </c>
      <c r="AR83" s="307">
        <v>818.70294953802033</v>
      </c>
      <c r="AS83" s="307">
        <v>724.23820705500952</v>
      </c>
      <c r="AT83" s="307">
        <v>854.59000698708553</v>
      </c>
      <c r="AU83" s="307">
        <v>2673.7520894877352</v>
      </c>
      <c r="AV83" s="307">
        <v>4314.2927640390844</v>
      </c>
      <c r="AW83" s="307">
        <v>49.197234003857588</v>
      </c>
      <c r="AX83" s="307">
        <v>424.0784426376544</v>
      </c>
      <c r="AY83" s="307">
        <v>553.63474667187813</v>
      </c>
      <c r="AZ83" s="307">
        <v>699.70757311011812</v>
      </c>
      <c r="BA83" s="307"/>
      <c r="BB83" s="307"/>
      <c r="BC83" s="307"/>
      <c r="BD83" s="307"/>
      <c r="BE83" s="307"/>
      <c r="BF83" s="307"/>
      <c r="BG83" s="307"/>
      <c r="BH83" s="307"/>
      <c r="BI83" s="307"/>
      <c r="BJ83" s="307"/>
      <c r="BK83" s="307"/>
      <c r="BL83" s="307"/>
      <c r="BM83" s="307"/>
      <c r="BN83" s="307"/>
      <c r="BO83" s="307"/>
      <c r="BP83" s="307"/>
      <c r="BQ83" s="307"/>
      <c r="BR83" s="307"/>
      <c r="BS83" s="307"/>
      <c r="BT83" s="307"/>
      <c r="BU83" s="307"/>
      <c r="BV83" s="307"/>
      <c r="BW83" s="307"/>
      <c r="BX83" s="307"/>
      <c r="BY83" s="307"/>
      <c r="BZ83" s="307"/>
      <c r="CA83" s="307"/>
      <c r="CB83" s="307"/>
      <c r="CC83" s="307"/>
      <c r="CD83" s="307"/>
      <c r="CE83" s="307"/>
      <c r="CF83" s="307"/>
      <c r="CG83" s="307"/>
      <c r="CH83" s="307"/>
      <c r="CI83" s="307"/>
      <c r="CJ83" s="307"/>
      <c r="CK83" s="307"/>
      <c r="CL83" s="307"/>
      <c r="CM83" s="307"/>
      <c r="CN83" s="307"/>
      <c r="CO83" s="307"/>
      <c r="CP83" s="307"/>
      <c r="CQ83" s="307"/>
      <c r="CR83" s="307"/>
      <c r="CS83" s="307"/>
      <c r="CT83" s="307"/>
      <c r="CU83" s="307"/>
      <c r="CV83" s="307"/>
      <c r="CW83" s="307"/>
      <c r="CX83" s="307"/>
      <c r="CY83" s="307"/>
      <c r="CZ83" s="307"/>
      <c r="DA83" s="307"/>
      <c r="DB83" s="307"/>
      <c r="DC83" s="307"/>
      <c r="DD83" s="307"/>
      <c r="DE83" s="307"/>
      <c r="DF83" s="307"/>
      <c r="DG83" s="307"/>
      <c r="DH83" s="307"/>
      <c r="DI83" s="307"/>
      <c r="DJ83" s="307"/>
      <c r="DK83" s="307"/>
      <c r="DL83" s="307">
        <v>6.2650627575099147</v>
      </c>
      <c r="DM83" s="307">
        <v>12.552741052699581</v>
      </c>
      <c r="DN83" s="307">
        <v>44.224706869401196</v>
      </c>
      <c r="DO83" s="307">
        <v>80.567196161835398</v>
      </c>
      <c r="DP83" s="307">
        <v>146.75329160073215</v>
      </c>
      <c r="DQ83" s="307">
        <v>242.90864432942368</v>
      </c>
      <c r="DR83" s="307">
        <v>622.29126998966433</v>
      </c>
      <c r="DS83" s="307">
        <v>982.48201174649807</v>
      </c>
      <c r="DT83" s="307">
        <v>2839.9743979180334</v>
      </c>
      <c r="DU83" s="307">
        <v>854.91152947606008</v>
      </c>
      <c r="DV83" s="307">
        <v>554.87107014011758</v>
      </c>
      <c r="DW83" s="307">
        <v>698.18539462237936</v>
      </c>
      <c r="DX83" s="307">
        <v>852.08819457571587</v>
      </c>
      <c r="DY83" s="307">
        <v>1324.8762478577348</v>
      </c>
      <c r="DZ83" s="307"/>
      <c r="EA83" s="307"/>
      <c r="EB83" s="307"/>
      <c r="EC83" s="307"/>
      <c r="ED83" s="307"/>
      <c r="EE83" s="307"/>
      <c r="EF83" s="307"/>
      <c r="EG83" s="307"/>
      <c r="EH83" s="307">
        <v>2.6071971813960095</v>
      </c>
      <c r="EI83" s="307">
        <v>0.13887756848476099</v>
      </c>
      <c r="EJ83" s="307">
        <v>419.08833584131958</v>
      </c>
      <c r="EK83" s="307">
        <v>3797.4468600677192</v>
      </c>
      <c r="EL83" s="307">
        <v>35436.014592855317</v>
      </c>
    </row>
    <row r="84" spans="1:142" x14ac:dyDescent="0.25">
      <c r="A84" s="305" t="s">
        <v>1627</v>
      </c>
      <c r="B84" s="307">
        <v>484.38408741090819</v>
      </c>
      <c r="C84" s="307">
        <v>51.610563380364759</v>
      </c>
      <c r="D84" s="307">
        <v>6.875014169944512</v>
      </c>
      <c r="E84" s="307">
        <v>255.17119650614262</v>
      </c>
      <c r="F84" s="307">
        <v>122.17730358587094</v>
      </c>
      <c r="G84" s="307">
        <v>1153.7553298366995</v>
      </c>
      <c r="H84" s="307">
        <v>237.00749379391701</v>
      </c>
      <c r="I84" s="307">
        <v>15.640155094457375</v>
      </c>
      <c r="J84" s="307">
        <v>18.759576088535351</v>
      </c>
      <c r="K84" s="307">
        <v>4.7119155612875101E-3</v>
      </c>
      <c r="L84" s="307">
        <v>8254.4282836124203</v>
      </c>
      <c r="M84" s="307">
        <v>3756.2325260270964</v>
      </c>
      <c r="N84" s="307">
        <v>516.54796619757792</v>
      </c>
      <c r="O84" s="307">
        <v>458.3442966356547</v>
      </c>
      <c r="P84" s="307">
        <v>41.421111764040617</v>
      </c>
      <c r="Q84" s="307">
        <v>101.96086492533595</v>
      </c>
      <c r="R84" s="307">
        <v>722.73022954024214</v>
      </c>
      <c r="S84" s="307">
        <v>591.47391162715394</v>
      </c>
      <c r="T84" s="307">
        <v>411.1183084664948</v>
      </c>
      <c r="U84" s="307">
        <v>283.27311104889804</v>
      </c>
      <c r="V84" s="307">
        <v>564.47749326281928</v>
      </c>
      <c r="W84" s="307">
        <v>5430.8154464039626</v>
      </c>
      <c r="X84" s="307">
        <v>327.95970134449749</v>
      </c>
      <c r="Y84" s="307">
        <v>1979.5457335840504</v>
      </c>
      <c r="Z84" s="307">
        <v>2758.2208945293669</v>
      </c>
      <c r="AA84" s="307">
        <v>245.93145931922177</v>
      </c>
      <c r="AB84" s="307">
        <v>218.99305111715393</v>
      </c>
      <c r="AC84" s="307">
        <v>71.149823237891113</v>
      </c>
      <c r="AD84" s="307">
        <v>400.23244766101163</v>
      </c>
      <c r="AE84" s="307">
        <v>659.86233853128999</v>
      </c>
      <c r="AF84" s="307">
        <v>1512.2388322688691</v>
      </c>
      <c r="AG84" s="307">
        <v>493.5729614559516</v>
      </c>
      <c r="AH84" s="307">
        <v>4156.5132876155903</v>
      </c>
      <c r="AI84" s="307">
        <v>22.974393002111483</v>
      </c>
      <c r="AJ84" s="307">
        <v>839.83395637141257</v>
      </c>
      <c r="AK84" s="307">
        <v>1154.2293364659033</v>
      </c>
      <c r="AL84" s="307">
        <v>13.290334224449923</v>
      </c>
      <c r="AM84" s="307">
        <v>12.628276382599458</v>
      </c>
      <c r="AN84" s="307">
        <v>11312.547052416179</v>
      </c>
      <c r="AO84" s="307">
        <v>12667.477764387148</v>
      </c>
      <c r="AP84" s="307"/>
      <c r="AQ84" s="307">
        <v>2.5104039774355766</v>
      </c>
      <c r="AR84" s="307">
        <v>34.104578855363769</v>
      </c>
      <c r="AS84" s="307">
        <v>92.794882116395954</v>
      </c>
      <c r="AT84" s="307">
        <v>120.73233594480054</v>
      </c>
      <c r="AU84" s="307">
        <v>377.7347416443917</v>
      </c>
      <c r="AV84" s="307">
        <v>368.70029475074824</v>
      </c>
      <c r="AW84" s="307"/>
      <c r="AX84" s="307">
        <v>1148.3314459734438</v>
      </c>
      <c r="AY84" s="307">
        <v>77.341183532835018</v>
      </c>
      <c r="AZ84" s="307">
        <v>3951.8128018498433</v>
      </c>
      <c r="BA84" s="307"/>
      <c r="BB84" s="307"/>
      <c r="BC84" s="307"/>
      <c r="BD84" s="307"/>
      <c r="BE84" s="307"/>
      <c r="BF84" s="307"/>
      <c r="BG84" s="307"/>
      <c r="BH84" s="307"/>
      <c r="BI84" s="307"/>
      <c r="BJ84" s="307"/>
      <c r="BK84" s="307"/>
      <c r="BL84" s="307"/>
      <c r="BM84" s="307"/>
      <c r="BN84" s="307"/>
      <c r="BO84" s="307"/>
      <c r="BP84" s="307"/>
      <c r="BQ84" s="307"/>
      <c r="BR84" s="307"/>
      <c r="BS84" s="307"/>
      <c r="BT84" s="307"/>
      <c r="BU84" s="307"/>
      <c r="BV84" s="307"/>
      <c r="BW84" s="307"/>
      <c r="BX84" s="307"/>
      <c r="BY84" s="307"/>
      <c r="BZ84" s="307"/>
      <c r="CA84" s="307"/>
      <c r="CB84" s="307"/>
      <c r="CC84" s="307"/>
      <c r="CD84" s="307"/>
      <c r="CE84" s="307"/>
      <c r="CF84" s="307"/>
      <c r="CG84" s="307"/>
      <c r="CH84" s="307"/>
      <c r="CI84" s="307"/>
      <c r="CJ84" s="307"/>
      <c r="CK84" s="307"/>
      <c r="CL84" s="307"/>
      <c r="CM84" s="307"/>
      <c r="CN84" s="307"/>
      <c r="CO84" s="307"/>
      <c r="CP84" s="307"/>
      <c r="CQ84" s="307"/>
      <c r="CR84" s="307"/>
      <c r="CS84" s="307"/>
      <c r="CT84" s="307"/>
      <c r="CU84" s="307"/>
      <c r="CV84" s="307"/>
      <c r="CW84" s="307"/>
      <c r="CX84" s="307"/>
      <c r="CY84" s="307"/>
      <c r="CZ84" s="307"/>
      <c r="DA84" s="307"/>
      <c r="DB84" s="307"/>
      <c r="DC84" s="307"/>
      <c r="DD84" s="307"/>
      <c r="DE84" s="307"/>
      <c r="DF84" s="307"/>
      <c r="DG84" s="307"/>
      <c r="DH84" s="307"/>
      <c r="DI84" s="307"/>
      <c r="DJ84" s="307"/>
      <c r="DK84" s="307"/>
      <c r="DL84" s="307">
        <v>64.052666624885902</v>
      </c>
      <c r="DM84" s="307">
        <v>102.84587426237344</v>
      </c>
      <c r="DN84" s="307">
        <v>149.45250206312608</v>
      </c>
      <c r="DO84" s="307">
        <v>161.28274923401312</v>
      </c>
      <c r="DP84" s="307">
        <v>220.13248805595225</v>
      </c>
      <c r="DQ84" s="307">
        <v>262.9827091436905</v>
      </c>
      <c r="DR84" s="307">
        <v>384.44647172051555</v>
      </c>
      <c r="DS84" s="307">
        <v>622.58900299790184</v>
      </c>
      <c r="DT84" s="307">
        <v>1080.6132166613638</v>
      </c>
      <c r="DU84" s="307">
        <v>237.17068986057114</v>
      </c>
      <c r="DV84" s="307">
        <v>417.43422379043227</v>
      </c>
      <c r="DW84" s="307">
        <v>328.64454167487929</v>
      </c>
      <c r="DX84" s="307">
        <v>574.28400772260693</v>
      </c>
      <c r="DY84" s="307">
        <v>413.69641268484781</v>
      </c>
      <c r="DZ84" s="307"/>
      <c r="EA84" s="307"/>
      <c r="EB84" s="307"/>
      <c r="EC84" s="307"/>
      <c r="ED84" s="307"/>
      <c r="EE84" s="307"/>
      <c r="EF84" s="307"/>
      <c r="EG84" s="307"/>
      <c r="EH84" s="307">
        <v>9.0427736632679014</v>
      </c>
      <c r="EI84" s="307">
        <v>0.48168141162236494</v>
      </c>
      <c r="EJ84" s="307">
        <v>815.55863786607949</v>
      </c>
      <c r="EK84" s="307">
        <v>3725.7091555941861</v>
      </c>
      <c r="EL84" s="307">
        <v>78069.893098886416</v>
      </c>
    </row>
    <row r="85" spans="1:142" x14ac:dyDescent="0.25">
      <c r="A85" s="305" t="s">
        <v>1626</v>
      </c>
      <c r="B85" s="307">
        <v>35.403241041053732</v>
      </c>
      <c r="C85" s="307">
        <v>3.9784998468058608</v>
      </c>
      <c r="D85" s="307"/>
      <c r="E85" s="307">
        <v>30.456165488605507</v>
      </c>
      <c r="F85" s="307">
        <v>13.008886383115954</v>
      </c>
      <c r="G85" s="307">
        <v>112.07317697428921</v>
      </c>
      <c r="H85" s="307">
        <v>20.034622493042967</v>
      </c>
      <c r="I85" s="307">
        <v>1.3220873232074088</v>
      </c>
      <c r="J85" s="307">
        <v>1.585776968681518</v>
      </c>
      <c r="K85" s="307">
        <v>7.8278891717857078E-5</v>
      </c>
      <c r="L85" s="307">
        <v>324.58688309779762</v>
      </c>
      <c r="M85" s="307">
        <v>3262.5204245808864</v>
      </c>
      <c r="N85" s="307">
        <v>1.0256970070455074</v>
      </c>
      <c r="O85" s="307"/>
      <c r="P85" s="307">
        <v>1.1327055088019976E-2</v>
      </c>
      <c r="Q85" s="307"/>
      <c r="R85" s="307">
        <v>129.2675212006861</v>
      </c>
      <c r="S85" s="307"/>
      <c r="T85" s="307">
        <v>25.296850246193088</v>
      </c>
      <c r="U85" s="307">
        <v>6.3808588205527075</v>
      </c>
      <c r="V85" s="307">
        <v>9.3776452480005439</v>
      </c>
      <c r="W85" s="307">
        <v>1319.8332186102555</v>
      </c>
      <c r="X85" s="307"/>
      <c r="Y85" s="307">
        <v>6.0344145064787824</v>
      </c>
      <c r="Z85" s="307">
        <v>2586.9588134907426</v>
      </c>
      <c r="AA85" s="307">
        <v>23.183153843580843</v>
      </c>
      <c r="AB85" s="307">
        <v>0.7450152379103776</v>
      </c>
      <c r="AC85" s="307">
        <v>0.89409366159482118</v>
      </c>
      <c r="AD85" s="307">
        <v>5.038949835195071</v>
      </c>
      <c r="AE85" s="307">
        <v>134.95058421086716</v>
      </c>
      <c r="AF85" s="307">
        <v>79.136889657958974</v>
      </c>
      <c r="AG85" s="307">
        <v>264.62595755535926</v>
      </c>
      <c r="AH85" s="307">
        <v>1275.6251321816776</v>
      </c>
      <c r="AI85" s="307">
        <v>107.72307135261511</v>
      </c>
      <c r="AJ85" s="307">
        <v>210.64454193364188</v>
      </c>
      <c r="AK85" s="307">
        <v>25.981050140387087</v>
      </c>
      <c r="AL85" s="307">
        <v>134.51740936335852</v>
      </c>
      <c r="AM85" s="307">
        <v>31.151244989715067</v>
      </c>
      <c r="AN85" s="307">
        <v>1461.3812400425779</v>
      </c>
      <c r="AO85" s="307">
        <v>57.373033371300011</v>
      </c>
      <c r="AP85" s="307">
        <v>64.371775349187118</v>
      </c>
      <c r="AQ85" s="307">
        <v>1.1284309293528358</v>
      </c>
      <c r="AR85" s="307">
        <v>14.770036530174776</v>
      </c>
      <c r="AS85" s="307">
        <v>13.06532129789659</v>
      </c>
      <c r="AT85" s="307">
        <v>15.414451572654226</v>
      </c>
      <c r="AU85" s="307">
        <v>48.227128522127188</v>
      </c>
      <c r="AV85" s="307">
        <v>77.813798603973268</v>
      </c>
      <c r="AW85" s="307"/>
      <c r="AX85" s="307">
        <v>91.027427631078567</v>
      </c>
      <c r="AY85" s="307">
        <v>409.99582860613742</v>
      </c>
      <c r="AZ85" s="307">
        <v>906.35869694120242</v>
      </c>
      <c r="BA85" s="307"/>
      <c r="BB85" s="307"/>
      <c r="BC85" s="307"/>
      <c r="BD85" s="307"/>
      <c r="BE85" s="307"/>
      <c r="BF85" s="307"/>
      <c r="BG85" s="307"/>
      <c r="BH85" s="307"/>
      <c r="BI85" s="307"/>
      <c r="BJ85" s="307"/>
      <c r="BK85" s="307"/>
      <c r="BL85" s="307"/>
      <c r="BM85" s="307"/>
      <c r="BN85" s="307"/>
      <c r="BO85" s="307"/>
      <c r="BP85" s="307"/>
      <c r="BQ85" s="307"/>
      <c r="BR85" s="307"/>
      <c r="BS85" s="307"/>
      <c r="BT85" s="307"/>
      <c r="BU85" s="307"/>
      <c r="BV85" s="307"/>
      <c r="BW85" s="307"/>
      <c r="BX85" s="307"/>
      <c r="BY85" s="307"/>
      <c r="BZ85" s="307"/>
      <c r="CA85" s="307"/>
      <c r="CB85" s="307"/>
      <c r="CC85" s="307"/>
      <c r="CD85" s="307"/>
      <c r="CE85" s="307"/>
      <c r="CF85" s="307"/>
      <c r="CG85" s="307"/>
      <c r="CH85" s="307"/>
      <c r="CI85" s="307"/>
      <c r="CJ85" s="307"/>
      <c r="CK85" s="307"/>
      <c r="CL85" s="307"/>
      <c r="CM85" s="307"/>
      <c r="CN85" s="307"/>
      <c r="CO85" s="307"/>
      <c r="CP85" s="307"/>
      <c r="CQ85" s="307"/>
      <c r="CR85" s="307"/>
      <c r="CS85" s="307"/>
      <c r="CT85" s="307"/>
      <c r="CU85" s="307"/>
      <c r="CV85" s="307"/>
      <c r="CW85" s="307"/>
      <c r="CX85" s="307"/>
      <c r="CY85" s="307"/>
      <c r="CZ85" s="307"/>
      <c r="DA85" s="307"/>
      <c r="DB85" s="307"/>
      <c r="DC85" s="307"/>
      <c r="DD85" s="307"/>
      <c r="DE85" s="307"/>
      <c r="DF85" s="307"/>
      <c r="DG85" s="307"/>
      <c r="DH85" s="307"/>
      <c r="DI85" s="307"/>
      <c r="DJ85" s="307"/>
      <c r="DK85" s="307"/>
      <c r="DL85" s="307">
        <v>66.249129930823685</v>
      </c>
      <c r="DM85" s="307">
        <v>128.19801773694982</v>
      </c>
      <c r="DN85" s="307">
        <v>138.23140993698328</v>
      </c>
      <c r="DO85" s="307">
        <v>149.37183013300893</v>
      </c>
      <c r="DP85" s="307">
        <v>276.98104890398889</v>
      </c>
      <c r="DQ85" s="307">
        <v>276.48941719252667</v>
      </c>
      <c r="DR85" s="307">
        <v>282.73003617306887</v>
      </c>
      <c r="DS85" s="307">
        <v>399.33567762147641</v>
      </c>
      <c r="DT85" s="307">
        <v>833.21768020253273</v>
      </c>
      <c r="DU85" s="307">
        <v>199.90881778873617</v>
      </c>
      <c r="DV85" s="307">
        <v>502.48865095850704</v>
      </c>
      <c r="DW85" s="307">
        <v>208.5361329371195</v>
      </c>
      <c r="DX85" s="307">
        <v>471.72223025898251</v>
      </c>
      <c r="DY85" s="307">
        <v>1345.9332866139582</v>
      </c>
      <c r="DZ85" s="307"/>
      <c r="EA85" s="307"/>
      <c r="EB85" s="307"/>
      <c r="EC85" s="307"/>
      <c r="ED85" s="307"/>
      <c r="EE85" s="307"/>
      <c r="EF85" s="307"/>
      <c r="EG85" s="307"/>
      <c r="EH85" s="307">
        <v>8.7735597530213427E-2</v>
      </c>
      <c r="EI85" s="307">
        <v>4.673411946552318E-3</v>
      </c>
      <c r="EJ85" s="307">
        <v>634.70993975255544</v>
      </c>
      <c r="EK85" s="307">
        <v>896.12599570709085</v>
      </c>
      <c r="EL85" s="307">
        <v>20154.622162880733</v>
      </c>
    </row>
    <row r="86" spans="1:142" x14ac:dyDescent="0.25">
      <c r="A86" s="305" t="s">
        <v>1625</v>
      </c>
      <c r="B86" s="307">
        <v>506.90175909044262</v>
      </c>
      <c r="C86" s="307">
        <v>56.885885678444239</v>
      </c>
      <c r="D86" s="307">
        <v>7.5910659358774675</v>
      </c>
      <c r="E86" s="307">
        <v>138.08436495305216</v>
      </c>
      <c r="F86" s="307">
        <v>69.078520790903525</v>
      </c>
      <c r="G86" s="307">
        <v>493.60037436373477</v>
      </c>
      <c r="H86" s="307">
        <v>213.64787774208827</v>
      </c>
      <c r="I86" s="307">
        <v>14.098651017310956</v>
      </c>
      <c r="J86" s="307">
        <v>16.910619805725613</v>
      </c>
      <c r="K86" s="307"/>
      <c r="L86" s="307"/>
      <c r="M86" s="307"/>
      <c r="N86" s="307">
        <v>0.11427456329725132</v>
      </c>
      <c r="O86" s="307"/>
      <c r="P86" s="307"/>
      <c r="Q86" s="307"/>
      <c r="R86" s="307">
        <v>51.007733415289735</v>
      </c>
      <c r="S86" s="307">
        <v>34.730093330018519</v>
      </c>
      <c r="T86" s="307">
        <v>0.98666255397209812</v>
      </c>
      <c r="U86" s="307">
        <v>98.234441721612313</v>
      </c>
      <c r="V86" s="307"/>
      <c r="W86" s="307">
        <v>257.38963557273223</v>
      </c>
      <c r="X86" s="307"/>
      <c r="Y86" s="307">
        <v>285.01236207123287</v>
      </c>
      <c r="Z86" s="307">
        <v>137.51445950970475</v>
      </c>
      <c r="AA86" s="307">
        <v>5041.4929779200875</v>
      </c>
      <c r="AB86" s="307">
        <v>272.26809296601567</v>
      </c>
      <c r="AC86" s="307">
        <v>16.793651818201699</v>
      </c>
      <c r="AD86" s="307">
        <v>94.068926722072291</v>
      </c>
      <c r="AE86" s="307">
        <v>75.138403425486842</v>
      </c>
      <c r="AF86" s="307">
        <v>39.440635990331302</v>
      </c>
      <c r="AG86" s="307"/>
      <c r="AH86" s="307">
        <v>1206.1694734223822</v>
      </c>
      <c r="AI86" s="307">
        <v>1.3424196662065804</v>
      </c>
      <c r="AJ86" s="307">
        <v>24.696154735882715</v>
      </c>
      <c r="AK86" s="307">
        <v>515.64369248183755</v>
      </c>
      <c r="AL86" s="307">
        <v>139.58137934052937</v>
      </c>
      <c r="AM86" s="307">
        <v>57.461245562783631</v>
      </c>
      <c r="AN86" s="307">
        <v>48695.670860780876</v>
      </c>
      <c r="AO86" s="307">
        <v>1058.2158833073941</v>
      </c>
      <c r="AP86" s="307">
        <v>179.93475870708761</v>
      </c>
      <c r="AQ86" s="307">
        <v>16.648190953543409</v>
      </c>
      <c r="AR86" s="307">
        <v>217.90892923493905</v>
      </c>
      <c r="AS86" s="307">
        <v>192.76009176900561</v>
      </c>
      <c r="AT86" s="307">
        <v>227.41957869378507</v>
      </c>
      <c r="AU86" s="307">
        <v>711.52666044703381</v>
      </c>
      <c r="AV86" s="307">
        <v>1148.0424723192316</v>
      </c>
      <c r="AW86" s="307">
        <v>7.348824087546399</v>
      </c>
      <c r="AX86" s="307">
        <v>696.41254475464189</v>
      </c>
      <c r="AY86" s="307">
        <v>1392.8608188832627</v>
      </c>
      <c r="AZ86" s="307">
        <v>5319.4444913288298</v>
      </c>
      <c r="BA86" s="307"/>
      <c r="BB86" s="307"/>
      <c r="BC86" s="307"/>
      <c r="BD86" s="307"/>
      <c r="BE86" s="307"/>
      <c r="BF86" s="307"/>
      <c r="BG86" s="307"/>
      <c r="BH86" s="307"/>
      <c r="BI86" s="307"/>
      <c r="BJ86" s="307"/>
      <c r="BK86" s="307"/>
      <c r="BL86" s="307"/>
      <c r="BM86" s="307"/>
      <c r="BN86" s="307"/>
      <c r="BO86" s="307"/>
      <c r="BP86" s="307"/>
      <c r="BQ86" s="307"/>
      <c r="BR86" s="307"/>
      <c r="BS86" s="307"/>
      <c r="BT86" s="307"/>
      <c r="BU86" s="307"/>
      <c r="BV86" s="307"/>
      <c r="BW86" s="307"/>
      <c r="BX86" s="307"/>
      <c r="BY86" s="307"/>
      <c r="BZ86" s="307"/>
      <c r="CA86" s="307"/>
      <c r="CB86" s="307"/>
      <c r="CC86" s="307"/>
      <c r="CD86" s="307"/>
      <c r="CE86" s="307"/>
      <c r="CF86" s="307"/>
      <c r="CG86" s="307"/>
      <c r="CH86" s="307"/>
      <c r="CI86" s="307"/>
      <c r="CJ86" s="307"/>
      <c r="CK86" s="307"/>
      <c r="CL86" s="307"/>
      <c r="CM86" s="307"/>
      <c r="CN86" s="307"/>
      <c r="CO86" s="307"/>
      <c r="CP86" s="307"/>
      <c r="CQ86" s="307"/>
      <c r="CR86" s="307"/>
      <c r="CS86" s="307"/>
      <c r="CT86" s="307"/>
      <c r="CU86" s="307"/>
      <c r="CV86" s="307"/>
      <c r="CW86" s="307"/>
      <c r="CX86" s="307"/>
      <c r="CY86" s="307"/>
      <c r="CZ86" s="307"/>
      <c r="DA86" s="307"/>
      <c r="DB86" s="307"/>
      <c r="DC86" s="307"/>
      <c r="DD86" s="307"/>
      <c r="DE86" s="307"/>
      <c r="DF86" s="307"/>
      <c r="DG86" s="307"/>
      <c r="DH86" s="307"/>
      <c r="DI86" s="307"/>
      <c r="DJ86" s="307"/>
      <c r="DK86" s="307"/>
      <c r="DL86" s="307">
        <v>40.590040356607737</v>
      </c>
      <c r="DM86" s="307">
        <v>6.2516432631061472</v>
      </c>
      <c r="DN86" s="307">
        <v>15.328976695426336</v>
      </c>
      <c r="DO86" s="307">
        <v>17.017023504441845</v>
      </c>
      <c r="DP86" s="307">
        <v>6.1288949219729174</v>
      </c>
      <c r="DQ86" s="307">
        <v>181.90068790654584</v>
      </c>
      <c r="DR86" s="307">
        <v>83.446876242235902</v>
      </c>
      <c r="DS86" s="307">
        <v>422.91621383889293</v>
      </c>
      <c r="DT86" s="307">
        <v>634.82531955313198</v>
      </c>
      <c r="DU86" s="307">
        <v>212.92068667429186</v>
      </c>
      <c r="DV86" s="307">
        <v>249.3025391843517</v>
      </c>
      <c r="DW86" s="307">
        <v>233.7460338422822</v>
      </c>
      <c r="DX86" s="307">
        <v>567.40332578228197</v>
      </c>
      <c r="DY86" s="307">
        <v>613.25946811773929</v>
      </c>
      <c r="DZ86" s="307"/>
      <c r="EA86" s="307"/>
      <c r="EB86" s="307"/>
      <c r="EC86" s="307"/>
      <c r="ED86" s="307"/>
      <c r="EE86" s="307"/>
      <c r="EF86" s="307"/>
      <c r="EG86" s="307"/>
      <c r="EH86" s="307">
        <v>13.695802948845223</v>
      </c>
      <c r="EI86" s="307">
        <v>0.72953431583705797</v>
      </c>
      <c r="EJ86" s="307">
        <v>1749.7542434355141</v>
      </c>
      <c r="EK86" s="307">
        <v>3394.044242001612</v>
      </c>
      <c r="EL86" s="307">
        <v>78173.341494019536</v>
      </c>
    </row>
    <row r="87" spans="1:142" x14ac:dyDescent="0.25">
      <c r="A87" s="305" t="s">
        <v>1624</v>
      </c>
      <c r="B87" s="307">
        <v>160.03652131689856</v>
      </c>
      <c r="C87" s="307">
        <v>16.350034544820165</v>
      </c>
      <c r="D87" s="307"/>
      <c r="E87" s="307">
        <v>122.25023653167042</v>
      </c>
      <c r="F87" s="307">
        <v>156.82225666015532</v>
      </c>
      <c r="G87" s="307">
        <v>1097.8186193493957</v>
      </c>
      <c r="H87" s="307">
        <v>245.76072918250674</v>
      </c>
      <c r="I87" s="307">
        <v>16.217782227103552</v>
      </c>
      <c r="J87" s="307">
        <v>19.452410659563267</v>
      </c>
      <c r="K87" s="307">
        <v>1.4487465509584762E-3</v>
      </c>
      <c r="L87" s="307"/>
      <c r="M87" s="307"/>
      <c r="N87" s="307">
        <v>140.96467459708023</v>
      </c>
      <c r="O87" s="307">
        <v>2.576767795573407</v>
      </c>
      <c r="P87" s="307">
        <v>2.7408529579376868</v>
      </c>
      <c r="Q87" s="307">
        <v>26.110584374789159</v>
      </c>
      <c r="R87" s="307">
        <v>393.93635067406444</v>
      </c>
      <c r="S87" s="307"/>
      <c r="T87" s="307">
        <v>2.2057833080772147</v>
      </c>
      <c r="U87" s="307">
        <v>125.4445635469859</v>
      </c>
      <c r="V87" s="307">
        <v>173.5567649337799</v>
      </c>
      <c r="W87" s="307">
        <v>179.75119466272852</v>
      </c>
      <c r="X87" s="307">
        <v>410.99004385833263</v>
      </c>
      <c r="Y87" s="307">
        <v>121.32663156415538</v>
      </c>
      <c r="Z87" s="307"/>
      <c r="AA87" s="307">
        <v>122.74009669730849</v>
      </c>
      <c r="AB87" s="307">
        <v>19797.440843785847</v>
      </c>
      <c r="AC87" s="307">
        <v>16285.940257899176</v>
      </c>
      <c r="AD87" s="307">
        <v>27599.507243409807</v>
      </c>
      <c r="AE87" s="307">
        <v>15398.129405640264</v>
      </c>
      <c r="AF87" s="307">
        <v>4228.5593353895456</v>
      </c>
      <c r="AG87" s="307">
        <v>364.94844162745812</v>
      </c>
      <c r="AH87" s="307">
        <v>17784.955891672809</v>
      </c>
      <c r="AI87" s="307">
        <v>1539.1798240696419</v>
      </c>
      <c r="AJ87" s="307">
        <v>545.14719240736406</v>
      </c>
      <c r="AK87" s="307">
        <v>361.81569544179837</v>
      </c>
      <c r="AL87" s="307">
        <v>930.73888495866345</v>
      </c>
      <c r="AM87" s="307">
        <v>152.39077847319734</v>
      </c>
      <c r="AN87" s="307">
        <v>16406.705907166568</v>
      </c>
      <c r="AO87" s="307"/>
      <c r="AP87" s="307"/>
      <c r="AQ87" s="307">
        <v>15.231111926663919</v>
      </c>
      <c r="AR87" s="307">
        <v>199.35063205943871</v>
      </c>
      <c r="AS87" s="307">
        <v>176.34553251076395</v>
      </c>
      <c r="AT87" s="307">
        <v>208.01393847615492</v>
      </c>
      <c r="AU87" s="307">
        <v>650.81231712974773</v>
      </c>
      <c r="AV87" s="307">
        <v>1050.025332897259</v>
      </c>
      <c r="AW87" s="307"/>
      <c r="AX87" s="307">
        <v>4.8775598743189077</v>
      </c>
      <c r="AY87" s="307">
        <v>280.84614965208391</v>
      </c>
      <c r="AZ87" s="307">
        <v>1543.3303163938267</v>
      </c>
      <c r="BA87" s="307"/>
      <c r="BB87" s="307"/>
      <c r="BC87" s="307"/>
      <c r="BD87" s="307"/>
      <c r="BE87" s="307"/>
      <c r="BF87" s="307"/>
      <c r="BG87" s="307"/>
      <c r="BH87" s="307"/>
      <c r="BI87" s="307"/>
      <c r="BJ87" s="307"/>
      <c r="BK87" s="307"/>
      <c r="BL87" s="307"/>
      <c r="BM87" s="307"/>
      <c r="BN87" s="307"/>
      <c r="BO87" s="307"/>
      <c r="BP87" s="307"/>
      <c r="BQ87" s="307"/>
      <c r="BR87" s="307"/>
      <c r="BS87" s="307"/>
      <c r="BT87" s="307"/>
      <c r="BU87" s="307"/>
      <c r="BV87" s="307"/>
      <c r="BW87" s="307"/>
      <c r="BX87" s="307"/>
      <c r="BY87" s="307"/>
      <c r="BZ87" s="307"/>
      <c r="CA87" s="307"/>
      <c r="CB87" s="307"/>
      <c r="CC87" s="307"/>
      <c r="CD87" s="307"/>
      <c r="CE87" s="307"/>
      <c r="CF87" s="307"/>
      <c r="CG87" s="307"/>
      <c r="CH87" s="307"/>
      <c r="CI87" s="307"/>
      <c r="CJ87" s="307"/>
      <c r="CK87" s="307"/>
      <c r="CL87" s="307"/>
      <c r="CM87" s="307"/>
      <c r="CN87" s="307"/>
      <c r="CO87" s="307"/>
      <c r="CP87" s="307"/>
      <c r="CQ87" s="307"/>
      <c r="CR87" s="307"/>
      <c r="CS87" s="307"/>
      <c r="CT87" s="307"/>
      <c r="CU87" s="307"/>
      <c r="CV87" s="307"/>
      <c r="CW87" s="307"/>
      <c r="CX87" s="307"/>
      <c r="CY87" s="307"/>
      <c r="CZ87" s="307"/>
      <c r="DA87" s="307"/>
      <c r="DB87" s="307"/>
      <c r="DC87" s="307"/>
      <c r="DD87" s="307"/>
      <c r="DE87" s="307"/>
      <c r="DF87" s="307"/>
      <c r="DG87" s="307"/>
      <c r="DH87" s="307"/>
      <c r="DI87" s="307"/>
      <c r="DJ87" s="307"/>
      <c r="DK87" s="307"/>
      <c r="DL87" s="307"/>
      <c r="DM87" s="307"/>
      <c r="DN87" s="307"/>
      <c r="DO87" s="307"/>
      <c r="DP87" s="307"/>
      <c r="DQ87" s="307"/>
      <c r="DR87" s="307"/>
      <c r="DS87" s="307"/>
      <c r="DT87" s="307"/>
      <c r="DU87" s="307"/>
      <c r="DV87" s="307"/>
      <c r="DW87" s="307"/>
      <c r="DX87" s="307"/>
      <c r="DY87" s="307"/>
      <c r="DZ87" s="307"/>
      <c r="EA87" s="307"/>
      <c r="EB87" s="307"/>
      <c r="EC87" s="307"/>
      <c r="ED87" s="307"/>
      <c r="EE87" s="307"/>
      <c r="EF87" s="307"/>
      <c r="EG87" s="307"/>
      <c r="EH87" s="307"/>
      <c r="EI87" s="307"/>
      <c r="EJ87" s="307">
        <v>9705.3618353581223</v>
      </c>
      <c r="EK87" s="307">
        <v>69556.185133179315</v>
      </c>
      <c r="EL87" s="307">
        <v>208322.89390958933</v>
      </c>
    </row>
    <row r="88" spans="1:142" x14ac:dyDescent="0.25">
      <c r="A88" s="305" t="s">
        <v>1623</v>
      </c>
      <c r="B88" s="307">
        <v>50.239019869701629</v>
      </c>
      <c r="C88" s="307">
        <v>5.0179351827354894</v>
      </c>
      <c r="D88" s="307"/>
      <c r="E88" s="307">
        <v>41.394136314321933</v>
      </c>
      <c r="F88" s="307">
        <v>54.698484198590521</v>
      </c>
      <c r="G88" s="307">
        <v>377.65766260958878</v>
      </c>
      <c r="H88" s="307">
        <v>112.17602232361995</v>
      </c>
      <c r="I88" s="307">
        <v>7.4025101862233118</v>
      </c>
      <c r="J88" s="307">
        <v>8.878937085082157</v>
      </c>
      <c r="K88" s="307">
        <v>4.4859334166790351E-3</v>
      </c>
      <c r="L88" s="307">
        <v>2.4370794340845587</v>
      </c>
      <c r="M88" s="307"/>
      <c r="N88" s="307">
        <v>97.621261818120715</v>
      </c>
      <c r="O88" s="307"/>
      <c r="P88" s="307"/>
      <c r="Q88" s="307"/>
      <c r="R88" s="307">
        <v>152.631417137081</v>
      </c>
      <c r="S88" s="307">
        <v>123.98963460007597</v>
      </c>
      <c r="T88" s="307">
        <v>153.31273822118663</v>
      </c>
      <c r="U88" s="307">
        <v>280.4696099476854</v>
      </c>
      <c r="V88" s="307">
        <v>537.40531150328616</v>
      </c>
      <c r="W88" s="307">
        <v>212.53617120960001</v>
      </c>
      <c r="X88" s="307"/>
      <c r="Y88" s="307">
        <v>164.17524813581883</v>
      </c>
      <c r="Z88" s="307">
        <v>0.69528458629276679</v>
      </c>
      <c r="AA88" s="307">
        <v>89.360507726084606</v>
      </c>
      <c r="AB88" s="307">
        <v>19639.386495989813</v>
      </c>
      <c r="AC88" s="307">
        <v>9639.0489040265747</v>
      </c>
      <c r="AD88" s="307">
        <v>12797.345069578754</v>
      </c>
      <c r="AE88" s="307">
        <v>1537.3086077697074</v>
      </c>
      <c r="AF88" s="307">
        <v>8673.6500881317043</v>
      </c>
      <c r="AG88" s="307">
        <v>155.12736876339807</v>
      </c>
      <c r="AH88" s="307">
        <v>15093.40487107706</v>
      </c>
      <c r="AI88" s="307">
        <v>12.961445548466457</v>
      </c>
      <c r="AJ88" s="307">
        <v>409.77843715049283</v>
      </c>
      <c r="AK88" s="307">
        <v>796.46821482705616</v>
      </c>
      <c r="AL88" s="307"/>
      <c r="AM88" s="307">
        <v>69.087448150953222</v>
      </c>
      <c r="AN88" s="307"/>
      <c r="AO88" s="307"/>
      <c r="AP88" s="307"/>
      <c r="AQ88" s="307">
        <v>0.3720844499793427</v>
      </c>
      <c r="AR88" s="307">
        <v>4.8702571991157333</v>
      </c>
      <c r="AS88" s="307">
        <v>4.3081383337277588</v>
      </c>
      <c r="AT88" s="307">
        <v>5.0829035189471412</v>
      </c>
      <c r="AU88" s="307">
        <v>15.902858438941305</v>
      </c>
      <c r="AV88" s="307">
        <v>25.659271998375527</v>
      </c>
      <c r="AW88" s="307"/>
      <c r="AX88" s="307">
        <v>0.13048688012349549</v>
      </c>
      <c r="AY88" s="307">
        <v>81.564959395776498</v>
      </c>
      <c r="AZ88" s="307">
        <v>168.83598956819714</v>
      </c>
      <c r="BA88" s="307"/>
      <c r="BB88" s="307"/>
      <c r="BC88" s="307"/>
      <c r="BD88" s="307"/>
      <c r="BE88" s="307"/>
      <c r="BF88" s="307"/>
      <c r="BG88" s="307"/>
      <c r="BH88" s="307"/>
      <c r="BI88" s="307"/>
      <c r="BJ88" s="307"/>
      <c r="BK88" s="307"/>
      <c r="BL88" s="307"/>
      <c r="BM88" s="307"/>
      <c r="BN88" s="307"/>
      <c r="BO88" s="307"/>
      <c r="BP88" s="307"/>
      <c r="BQ88" s="307"/>
      <c r="BR88" s="307"/>
      <c r="BS88" s="307"/>
      <c r="BT88" s="307"/>
      <c r="BU88" s="307"/>
      <c r="BV88" s="307"/>
      <c r="BW88" s="307"/>
      <c r="BX88" s="307"/>
      <c r="BY88" s="307"/>
      <c r="BZ88" s="307"/>
      <c r="CA88" s="307"/>
      <c r="CB88" s="307"/>
      <c r="CC88" s="307"/>
      <c r="CD88" s="307"/>
      <c r="CE88" s="307"/>
      <c r="CF88" s="307"/>
      <c r="CG88" s="307"/>
      <c r="CH88" s="307"/>
      <c r="CI88" s="307"/>
      <c r="CJ88" s="307"/>
      <c r="CK88" s="307"/>
      <c r="CL88" s="307"/>
      <c r="CM88" s="307"/>
      <c r="CN88" s="307"/>
      <c r="CO88" s="307"/>
      <c r="CP88" s="307"/>
      <c r="CQ88" s="307"/>
      <c r="CR88" s="307"/>
      <c r="CS88" s="307"/>
      <c r="CT88" s="307"/>
      <c r="CU88" s="307"/>
      <c r="CV88" s="307"/>
      <c r="CW88" s="307"/>
      <c r="CX88" s="307"/>
      <c r="CY88" s="307"/>
      <c r="CZ88" s="307"/>
      <c r="DA88" s="307"/>
      <c r="DB88" s="307"/>
      <c r="DC88" s="307"/>
      <c r="DD88" s="307"/>
      <c r="DE88" s="307"/>
      <c r="DF88" s="307"/>
      <c r="DG88" s="307"/>
      <c r="DH88" s="307"/>
      <c r="DI88" s="307"/>
      <c r="DJ88" s="307"/>
      <c r="DK88" s="307"/>
      <c r="DL88" s="307"/>
      <c r="DM88" s="307"/>
      <c r="DN88" s="307"/>
      <c r="DO88" s="307"/>
      <c r="DP88" s="307"/>
      <c r="DQ88" s="307"/>
      <c r="DR88" s="307"/>
      <c r="DS88" s="307"/>
      <c r="DT88" s="307"/>
      <c r="DU88" s="307"/>
      <c r="DV88" s="307"/>
      <c r="DW88" s="307"/>
      <c r="DX88" s="307"/>
      <c r="DY88" s="307"/>
      <c r="DZ88" s="307"/>
      <c r="EA88" s="307"/>
      <c r="EB88" s="307"/>
      <c r="EC88" s="307"/>
      <c r="ED88" s="307"/>
      <c r="EE88" s="307"/>
      <c r="EF88" s="307"/>
      <c r="EG88" s="307"/>
      <c r="EH88" s="307">
        <v>247.8103708593197</v>
      </c>
      <c r="EI88" s="307">
        <v>13.200114665597216</v>
      </c>
      <c r="EJ88" s="307">
        <v>-6958.3562415100823</v>
      </c>
      <c r="EK88" s="307">
        <v>56749.155386442791</v>
      </c>
      <c r="EL88" s="307">
        <v>121654.2069892774</v>
      </c>
    </row>
    <row r="89" spans="1:142" x14ac:dyDescent="0.25">
      <c r="A89" s="305" t="s">
        <v>1622</v>
      </c>
      <c r="B89" s="307">
        <v>4518.7848248471419</v>
      </c>
      <c r="C89" s="307">
        <v>470.50086942461263</v>
      </c>
      <c r="D89" s="307">
        <v>43.75306339556073</v>
      </c>
      <c r="E89" s="307">
        <v>1467.470574014086</v>
      </c>
      <c r="F89" s="307">
        <v>954.53967015139915</v>
      </c>
      <c r="G89" s="307">
        <v>6710.2502477788594</v>
      </c>
      <c r="H89" s="307">
        <v>1643.4661488117465</v>
      </c>
      <c r="I89" s="307">
        <v>108.45254320210022</v>
      </c>
      <c r="J89" s="307">
        <v>130.08334788930384</v>
      </c>
      <c r="K89" s="307">
        <v>8.1078324359643208E-3</v>
      </c>
      <c r="L89" s="307"/>
      <c r="M89" s="307">
        <v>36.746772348233833</v>
      </c>
      <c r="N89" s="307">
        <v>34.393385768043757</v>
      </c>
      <c r="O89" s="307">
        <v>64.795312474715587</v>
      </c>
      <c r="P89" s="307">
        <v>96.59082182852346</v>
      </c>
      <c r="Q89" s="307">
        <v>100.06018184601878</v>
      </c>
      <c r="R89" s="307">
        <v>499.23720380890063</v>
      </c>
      <c r="S89" s="307">
        <v>2092.5290861872286</v>
      </c>
      <c r="T89" s="307">
        <v>341.96482889097558</v>
      </c>
      <c r="U89" s="307"/>
      <c r="V89" s="307">
        <v>971.30113426683693</v>
      </c>
      <c r="W89" s="307">
        <v>75.947261651563281</v>
      </c>
      <c r="X89" s="307">
        <v>219.63906040057861</v>
      </c>
      <c r="Y89" s="307">
        <v>1619.9363932722804</v>
      </c>
      <c r="Z89" s="307"/>
      <c r="AA89" s="307">
        <v>138.74428060443489</v>
      </c>
      <c r="AB89" s="307">
        <v>1561.635373592163</v>
      </c>
      <c r="AC89" s="307">
        <v>1.7127106530016389</v>
      </c>
      <c r="AD89" s="307">
        <v>4666.5399160628767</v>
      </c>
      <c r="AE89" s="307">
        <v>12460.129631715641</v>
      </c>
      <c r="AF89" s="307">
        <v>1866.17431181897</v>
      </c>
      <c r="AG89" s="307">
        <v>161.59785946708635</v>
      </c>
      <c r="AH89" s="307">
        <v>5601.768370020558</v>
      </c>
      <c r="AI89" s="307">
        <v>307.02852413575033</v>
      </c>
      <c r="AJ89" s="307">
        <v>1776.8048216508755</v>
      </c>
      <c r="AK89" s="307">
        <v>1226.5421250594957</v>
      </c>
      <c r="AL89" s="307">
        <v>1075.2227787528366</v>
      </c>
      <c r="AM89" s="307">
        <v>542.04754593253256</v>
      </c>
      <c r="AN89" s="307">
        <v>33972.597364492634</v>
      </c>
      <c r="AO89" s="307">
        <v>4968.9335863095048</v>
      </c>
      <c r="AP89" s="307">
        <v>205.01819560776636</v>
      </c>
      <c r="AQ89" s="307">
        <v>11.388682124100932</v>
      </c>
      <c r="AR89" s="307">
        <v>149.06671520499651</v>
      </c>
      <c r="AS89" s="307">
        <v>131.86290929036514</v>
      </c>
      <c r="AT89" s="307">
        <v>155.57172806982615</v>
      </c>
      <c r="AU89" s="307">
        <v>486.73659835832996</v>
      </c>
      <c r="AV89" s="307">
        <v>785.34408230161966</v>
      </c>
      <c r="AW89" s="307">
        <v>87.199395936727726</v>
      </c>
      <c r="AX89" s="307">
        <v>4148.9138240733992</v>
      </c>
      <c r="AY89" s="307">
        <v>3223.8833111555082</v>
      </c>
      <c r="AZ89" s="307">
        <v>7582.3962639829451</v>
      </c>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M89" s="307"/>
      <c r="CN89" s="307"/>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v>137.78810339773548</v>
      </c>
      <c r="DM89" s="307">
        <v>193.06189737543747</v>
      </c>
      <c r="DN89" s="307">
        <v>249.1177503481866</v>
      </c>
      <c r="DO89" s="307">
        <v>276.61646287827756</v>
      </c>
      <c r="DP89" s="307">
        <v>301.29827995352196</v>
      </c>
      <c r="DQ89" s="307">
        <v>466.29523686772922</v>
      </c>
      <c r="DR89" s="307">
        <v>401.25014105418722</v>
      </c>
      <c r="DS89" s="307">
        <v>692.5449701190463</v>
      </c>
      <c r="DT89" s="307">
        <v>1399.1619747839368</v>
      </c>
      <c r="DU89" s="307">
        <v>237.77253763416809</v>
      </c>
      <c r="DV89" s="307">
        <v>521.6652525169078</v>
      </c>
      <c r="DW89" s="307">
        <v>277.97189285224317</v>
      </c>
      <c r="DX89" s="307">
        <v>855.20694640892725</v>
      </c>
      <c r="DY89" s="307">
        <v>1442.2833602275439</v>
      </c>
      <c r="DZ89" s="307"/>
      <c r="EA89" s="307"/>
      <c r="EB89" s="307"/>
      <c r="EC89" s="307"/>
      <c r="ED89" s="307"/>
      <c r="EE89" s="307"/>
      <c r="EF89" s="307"/>
      <c r="EG89" s="307"/>
      <c r="EH89" s="307">
        <v>814.3273879279169</v>
      </c>
      <c r="EI89" s="307">
        <v>43.376775793160924</v>
      </c>
      <c r="EJ89" s="307">
        <v>5361.7253204164581</v>
      </c>
      <c r="EK89" s="307">
        <v>15223.124761063049</v>
      </c>
      <c r="EL89" s="307">
        <v>138389.90079808357</v>
      </c>
    </row>
    <row r="90" spans="1:142" x14ac:dyDescent="0.25">
      <c r="A90" s="305" t="s">
        <v>1621</v>
      </c>
      <c r="B90" s="307">
        <v>3707.7735318119849</v>
      </c>
      <c r="C90" s="307">
        <v>392.56717599775789</v>
      </c>
      <c r="D90" s="307">
        <v>37.254310478135089</v>
      </c>
      <c r="E90" s="307">
        <v>2667.4662820243807</v>
      </c>
      <c r="F90" s="307">
        <v>1788.9213915428616</v>
      </c>
      <c r="G90" s="307">
        <v>12603.808030595728</v>
      </c>
      <c r="H90" s="307">
        <v>2284.8949561468457</v>
      </c>
      <c r="I90" s="307">
        <v>150.78051295607281</v>
      </c>
      <c r="J90" s="307">
        <v>180.85360972348937</v>
      </c>
      <c r="K90" s="307">
        <v>1.879550172518185E-5</v>
      </c>
      <c r="L90" s="307">
        <v>19.667231235183742</v>
      </c>
      <c r="M90" s="307"/>
      <c r="N90" s="307">
        <v>2.6695325040263024E-2</v>
      </c>
      <c r="O90" s="307"/>
      <c r="P90" s="307"/>
      <c r="Q90" s="307"/>
      <c r="R90" s="307">
        <v>40.165212568704852</v>
      </c>
      <c r="S90" s="307"/>
      <c r="T90" s="307">
        <v>0.41618930272233462</v>
      </c>
      <c r="U90" s="307"/>
      <c r="V90" s="307">
        <v>2.2516612533584133</v>
      </c>
      <c r="W90" s="307">
        <v>328.65295163891847</v>
      </c>
      <c r="X90" s="307">
        <v>0.85929314084637365</v>
      </c>
      <c r="Y90" s="307">
        <v>17.825705302116354</v>
      </c>
      <c r="Z90" s="307"/>
      <c r="AA90" s="307"/>
      <c r="AB90" s="307">
        <v>495.43806745302959</v>
      </c>
      <c r="AC90" s="307">
        <v>10.94343311723698</v>
      </c>
      <c r="AD90" s="307">
        <v>1676.9395022293484</v>
      </c>
      <c r="AE90" s="307">
        <v>9247.0002502149091</v>
      </c>
      <c r="AF90" s="307">
        <v>6108.2567899499927</v>
      </c>
      <c r="AG90" s="307">
        <v>331.87918766876635</v>
      </c>
      <c r="AH90" s="307">
        <v>4112.5231759183107</v>
      </c>
      <c r="AI90" s="307">
        <v>2424.3838568113479</v>
      </c>
      <c r="AJ90" s="307">
        <v>4.8287073066653914</v>
      </c>
      <c r="AK90" s="307">
        <v>31.486385985912079</v>
      </c>
      <c r="AL90" s="307">
        <v>489.53653180356565</v>
      </c>
      <c r="AM90" s="307">
        <v>520.42261982649291</v>
      </c>
      <c r="AN90" s="307">
        <v>2408.5001936042854</v>
      </c>
      <c r="AO90" s="307">
        <v>4937.0120512665044</v>
      </c>
      <c r="AP90" s="307">
        <v>21.38215912296468</v>
      </c>
      <c r="AQ90" s="307">
        <v>11.15283085054531</v>
      </c>
      <c r="AR90" s="307">
        <v>145.98068998384784</v>
      </c>
      <c r="AS90" s="307">
        <v>129.132417298246</v>
      </c>
      <c r="AT90" s="307">
        <v>152.35469772746413</v>
      </c>
      <c r="AU90" s="307">
        <v>476.67148932416137</v>
      </c>
      <c r="AV90" s="307">
        <v>769.10971984775165</v>
      </c>
      <c r="AW90" s="307">
        <v>42.06974776715284</v>
      </c>
      <c r="AX90" s="307">
        <v>9563.5234800465314</v>
      </c>
      <c r="AY90" s="307">
        <v>5221.134084970241</v>
      </c>
      <c r="AZ90" s="307">
        <v>1982.6711940680682</v>
      </c>
      <c r="BA90" s="307"/>
      <c r="BB90" s="307"/>
      <c r="BC90" s="307"/>
      <c r="BD90" s="307"/>
      <c r="BE90" s="307"/>
      <c r="BF90" s="307"/>
      <c r="BG90" s="307"/>
      <c r="BH90" s="307"/>
      <c r="BI90" s="307"/>
      <c r="BJ90" s="307"/>
      <c r="BK90" s="307"/>
      <c r="BL90" s="307"/>
      <c r="BM90" s="307"/>
      <c r="BN90" s="307"/>
      <c r="BO90" s="307"/>
      <c r="BP90" s="307"/>
      <c r="BQ90" s="307"/>
      <c r="BR90" s="307"/>
      <c r="BS90" s="307"/>
      <c r="BT90" s="307"/>
      <c r="BU90" s="307"/>
      <c r="BV90" s="307"/>
      <c r="BW90" s="307"/>
      <c r="BX90" s="307"/>
      <c r="BY90" s="307"/>
      <c r="BZ90" s="307"/>
      <c r="CA90" s="307"/>
      <c r="CB90" s="307"/>
      <c r="CC90" s="307"/>
      <c r="CD90" s="307"/>
      <c r="CE90" s="307"/>
      <c r="CF90" s="307"/>
      <c r="CG90" s="307"/>
      <c r="CH90" s="307"/>
      <c r="CI90" s="307"/>
      <c r="CJ90" s="307"/>
      <c r="CK90" s="307"/>
      <c r="CL90" s="307"/>
      <c r="CM90" s="307"/>
      <c r="CN90" s="307"/>
      <c r="CO90" s="307"/>
      <c r="CP90" s="307"/>
      <c r="CQ90" s="307"/>
      <c r="CR90" s="307"/>
      <c r="CS90" s="307"/>
      <c r="CT90" s="307"/>
      <c r="CU90" s="307"/>
      <c r="CV90" s="307"/>
      <c r="CW90" s="307"/>
      <c r="CX90" s="307"/>
      <c r="CY90" s="307"/>
      <c r="CZ90" s="307"/>
      <c r="DA90" s="307"/>
      <c r="DB90" s="307"/>
      <c r="DC90" s="307"/>
      <c r="DD90" s="307"/>
      <c r="DE90" s="307"/>
      <c r="DF90" s="307"/>
      <c r="DG90" s="307"/>
      <c r="DH90" s="307"/>
      <c r="DI90" s="307"/>
      <c r="DJ90" s="307"/>
      <c r="DK90" s="307"/>
      <c r="DL90" s="307">
        <v>17.550656009312469</v>
      </c>
      <c r="DM90" s="307">
        <v>38.451760358388455</v>
      </c>
      <c r="DN90" s="307">
        <v>73.813582972250259</v>
      </c>
      <c r="DO90" s="307">
        <v>103.84730204578619</v>
      </c>
      <c r="DP90" s="307">
        <v>154.84918507558123</v>
      </c>
      <c r="DQ90" s="307">
        <v>203.60402969391902</v>
      </c>
      <c r="DR90" s="307">
        <v>261.97888964711206</v>
      </c>
      <c r="DS90" s="307">
        <v>575.26998374683149</v>
      </c>
      <c r="DT90" s="307">
        <v>1814.8673565101567</v>
      </c>
      <c r="DU90" s="307">
        <v>673.72092302243527</v>
      </c>
      <c r="DV90" s="307">
        <v>448.29788812380798</v>
      </c>
      <c r="DW90" s="307">
        <v>715.74492221851688</v>
      </c>
      <c r="DX90" s="307">
        <v>1079.7006137934434</v>
      </c>
      <c r="DY90" s="307">
        <v>1408.6082581853334</v>
      </c>
      <c r="DZ90" s="307"/>
      <c r="EA90" s="307"/>
      <c r="EB90" s="307"/>
      <c r="EC90" s="307"/>
      <c r="ED90" s="307"/>
      <c r="EE90" s="307"/>
      <c r="EF90" s="307"/>
      <c r="EG90" s="307"/>
      <c r="EH90" s="307">
        <v>103005.35201953603</v>
      </c>
      <c r="EI90" s="307">
        <v>3566.4108589304224</v>
      </c>
      <c r="EJ90" s="307">
        <v>24413.291076436635</v>
      </c>
      <c r="EK90" s="307">
        <v>33481.786620066021</v>
      </c>
      <c r="EL90" s="307">
        <v>247575.66395037493</v>
      </c>
    </row>
    <row r="91" spans="1:142" x14ac:dyDescent="0.25">
      <c r="A91" s="305" t="s">
        <v>1620</v>
      </c>
      <c r="B91" s="307">
        <v>255.06976721117152</v>
      </c>
      <c r="C91" s="307">
        <v>26.338876494857708</v>
      </c>
      <c r="D91" s="307">
        <v>3.3021885194288929</v>
      </c>
      <c r="E91" s="307">
        <v>848.98480545283121</v>
      </c>
      <c r="F91" s="307">
        <v>300.31787040947808</v>
      </c>
      <c r="G91" s="307">
        <v>2130.4893524629897</v>
      </c>
      <c r="H91" s="307">
        <v>425.31544478136084</v>
      </c>
      <c r="I91" s="307">
        <v>28.066621075840999</v>
      </c>
      <c r="J91" s="307">
        <v>33.664494401779862</v>
      </c>
      <c r="K91" s="307">
        <v>2.1908649263521453E-5</v>
      </c>
      <c r="L91" s="307"/>
      <c r="M91" s="307"/>
      <c r="N91" s="307">
        <v>7.9546714759323667</v>
      </c>
      <c r="O91" s="307"/>
      <c r="P91" s="307"/>
      <c r="Q91" s="307"/>
      <c r="R91" s="307"/>
      <c r="S91" s="307"/>
      <c r="T91" s="307">
        <v>0.11862663678454252</v>
      </c>
      <c r="U91" s="307"/>
      <c r="V91" s="307">
        <v>2.6246097274433522</v>
      </c>
      <c r="W91" s="307"/>
      <c r="X91" s="307"/>
      <c r="Y91" s="307">
        <v>35.826705321689936</v>
      </c>
      <c r="Z91" s="307">
        <v>49.238023805840655</v>
      </c>
      <c r="AA91" s="307"/>
      <c r="AB91" s="307">
        <v>80.00884316566912</v>
      </c>
      <c r="AC91" s="307"/>
      <c r="AD91" s="307">
        <v>560.1995664867153</v>
      </c>
      <c r="AE91" s="307">
        <v>3276.4440442386772</v>
      </c>
      <c r="AF91" s="307">
        <v>2408.8702856397572</v>
      </c>
      <c r="AG91" s="307">
        <v>5164.4423461763581</v>
      </c>
      <c r="AH91" s="307">
        <v>1642.625220280006</v>
      </c>
      <c r="AI91" s="307">
        <v>745.60793784119767</v>
      </c>
      <c r="AJ91" s="307">
        <v>2.9301443517747745</v>
      </c>
      <c r="AK91" s="307">
        <v>85.330620553893482</v>
      </c>
      <c r="AL91" s="307">
        <v>4248.9393225864987</v>
      </c>
      <c r="AM91" s="307">
        <v>334.07868096336904</v>
      </c>
      <c r="AN91" s="307">
        <v>14723.141421035372</v>
      </c>
      <c r="AO91" s="307">
        <v>1150.5079623131753</v>
      </c>
      <c r="AP91" s="307">
        <v>78.098718392242858</v>
      </c>
      <c r="AQ91" s="307">
        <v>15.852235509620645</v>
      </c>
      <c r="AR91" s="307">
        <v>207.49573391225942</v>
      </c>
      <c r="AS91" s="307">
        <v>183.54902247335622</v>
      </c>
      <c r="AT91" s="307">
        <v>216.5713538323038</v>
      </c>
      <c r="AU91" s="307">
        <v>677.58586585141359</v>
      </c>
      <c r="AV91" s="307">
        <v>1093.3073742313454</v>
      </c>
      <c r="AW91" s="307">
        <v>14.188015956908028</v>
      </c>
      <c r="AX91" s="307">
        <v>1876.053165788004</v>
      </c>
      <c r="AY91" s="307">
        <v>2154.4726797276717</v>
      </c>
      <c r="AZ91" s="307">
        <v>5794.2826655716317</v>
      </c>
      <c r="BA91" s="307"/>
      <c r="BB91" s="307"/>
      <c r="BC91" s="307"/>
      <c r="BD91" s="307"/>
      <c r="BE91" s="307"/>
      <c r="BF91" s="307"/>
      <c r="BG91" s="307"/>
      <c r="BH91" s="307"/>
      <c r="BI91" s="307"/>
      <c r="BJ91" s="307"/>
      <c r="BK91" s="307"/>
      <c r="BL91" s="307"/>
      <c r="BM91" s="307"/>
      <c r="BN91" s="307"/>
      <c r="BO91" s="307"/>
      <c r="BP91" s="307"/>
      <c r="BQ91" s="307"/>
      <c r="BR91" s="307"/>
      <c r="BS91" s="307"/>
      <c r="BT91" s="307"/>
      <c r="BU91" s="307"/>
      <c r="BV91" s="307"/>
      <c r="BW91" s="307"/>
      <c r="BX91" s="307"/>
      <c r="BY91" s="307"/>
      <c r="BZ91" s="307"/>
      <c r="CA91" s="307"/>
      <c r="CB91" s="307"/>
      <c r="CC91" s="307"/>
      <c r="CD91" s="307"/>
      <c r="CE91" s="307"/>
      <c r="CF91" s="307"/>
      <c r="CG91" s="307"/>
      <c r="CH91" s="307"/>
      <c r="CI91" s="307"/>
      <c r="CJ91" s="307"/>
      <c r="CK91" s="307"/>
      <c r="CL91" s="307"/>
      <c r="CM91" s="307"/>
      <c r="CN91" s="307"/>
      <c r="CO91" s="307"/>
      <c r="CP91" s="307"/>
      <c r="CQ91" s="307"/>
      <c r="CR91" s="307"/>
      <c r="CS91" s="307"/>
      <c r="CT91" s="307"/>
      <c r="CU91" s="307"/>
      <c r="CV91" s="307"/>
      <c r="CW91" s="307"/>
      <c r="CX91" s="307"/>
      <c r="CY91" s="307"/>
      <c r="CZ91" s="307"/>
      <c r="DA91" s="307"/>
      <c r="DB91" s="307"/>
      <c r="DC91" s="307"/>
      <c r="DD91" s="307"/>
      <c r="DE91" s="307"/>
      <c r="DF91" s="307"/>
      <c r="DG91" s="307"/>
      <c r="DH91" s="307"/>
      <c r="DI91" s="307"/>
      <c r="DJ91" s="307"/>
      <c r="DK91" s="307"/>
      <c r="DL91" s="307">
        <v>344.03412144659291</v>
      </c>
      <c r="DM91" s="307">
        <v>736.12792071395097</v>
      </c>
      <c r="DN91" s="307">
        <v>1056.0901217327778</v>
      </c>
      <c r="DO91" s="307">
        <v>1216.1468731273253</v>
      </c>
      <c r="DP91" s="307">
        <v>1463.6050629326985</v>
      </c>
      <c r="DQ91" s="307">
        <v>1525.7807773314289</v>
      </c>
      <c r="DR91" s="307">
        <v>2181.7645283332031</v>
      </c>
      <c r="DS91" s="307">
        <v>2389.3826922463122</v>
      </c>
      <c r="DT91" s="307">
        <v>3942.8462694942314</v>
      </c>
      <c r="DU91" s="307">
        <v>986.37726590318618</v>
      </c>
      <c r="DV91" s="307">
        <v>939.56000969210595</v>
      </c>
      <c r="DW91" s="307">
        <v>1254.5800362342966</v>
      </c>
      <c r="DX91" s="307">
        <v>1368.3349176806737</v>
      </c>
      <c r="DY91" s="307">
        <v>2508.800922311219</v>
      </c>
      <c r="DZ91" s="307"/>
      <c r="EA91" s="307"/>
      <c r="EB91" s="307"/>
      <c r="EC91" s="307"/>
      <c r="ED91" s="307"/>
      <c r="EE91" s="307"/>
      <c r="EF91" s="307"/>
      <c r="EG91" s="307"/>
      <c r="EH91" s="307">
        <v>40820.308459297346</v>
      </c>
      <c r="EI91" s="307">
        <v>1413.3439525211886</v>
      </c>
      <c r="EJ91" s="307">
        <v>4939.2528036107033</v>
      </c>
      <c r="EK91" s="307">
        <v>12778.862924135319</v>
      </c>
      <c r="EL91" s="307">
        <v>132747.09496530987</v>
      </c>
    </row>
    <row r="92" spans="1:142" x14ac:dyDescent="0.25">
      <c r="A92" s="305" t="s">
        <v>1619</v>
      </c>
      <c r="B92" s="307"/>
      <c r="C92" s="307"/>
      <c r="D92" s="307"/>
      <c r="E92" s="307">
        <v>372.45467642534646</v>
      </c>
      <c r="F92" s="307">
        <v>97.775609549932668</v>
      </c>
      <c r="G92" s="307">
        <v>685.41429638888962</v>
      </c>
      <c r="H92" s="307">
        <v>120.23768519244598</v>
      </c>
      <c r="I92" s="307">
        <v>7.9345003590627465</v>
      </c>
      <c r="J92" s="307">
        <v>9.5170324278368561</v>
      </c>
      <c r="K92" s="307">
        <v>3.2245974720746928E-4</v>
      </c>
      <c r="L92" s="307"/>
      <c r="M92" s="307"/>
      <c r="N92" s="307"/>
      <c r="O92" s="307"/>
      <c r="P92" s="307"/>
      <c r="Q92" s="307">
        <v>167.03341640889195</v>
      </c>
      <c r="R92" s="307"/>
      <c r="S92" s="307"/>
      <c r="T92" s="307">
        <v>649.2702526634007</v>
      </c>
      <c r="U92" s="307"/>
      <c r="V92" s="307">
        <v>38.629993983189742</v>
      </c>
      <c r="W92" s="307">
        <v>100.2283751254202</v>
      </c>
      <c r="X92" s="307"/>
      <c r="Y92" s="307">
        <v>0.89718037562906816</v>
      </c>
      <c r="Z92" s="307"/>
      <c r="AA92" s="307"/>
      <c r="AB92" s="307">
        <v>26.237619036833312</v>
      </c>
      <c r="AC92" s="307"/>
      <c r="AD92" s="307">
        <v>176.02060198431235</v>
      </c>
      <c r="AE92" s="307">
        <v>9460.5138008332287</v>
      </c>
      <c r="AF92" s="307">
        <v>8424.6368298009311</v>
      </c>
      <c r="AG92" s="307">
        <v>7732.6410198646527</v>
      </c>
      <c r="AH92" s="307">
        <v>11883.090797118042</v>
      </c>
      <c r="AI92" s="307">
        <v>426.29875512845763</v>
      </c>
      <c r="AJ92" s="307"/>
      <c r="AK92" s="307">
        <v>52.62679671242288</v>
      </c>
      <c r="AL92" s="307">
        <v>6.629966471744102</v>
      </c>
      <c r="AM92" s="307">
        <v>30.250344337961494</v>
      </c>
      <c r="AN92" s="307"/>
      <c r="AO92" s="307">
        <v>2131.3847815497975</v>
      </c>
      <c r="AP92" s="307">
        <v>6.0731755962064575</v>
      </c>
      <c r="AQ92" s="307">
        <v>18.575554966424178</v>
      </c>
      <c r="AR92" s="307">
        <v>243.14656047200631</v>
      </c>
      <c r="AS92" s="307">
        <v>215.08556795714804</v>
      </c>
      <c r="AT92" s="307">
        <v>253.79782324099108</v>
      </c>
      <c r="AU92" s="307">
        <v>794.05616102446845</v>
      </c>
      <c r="AV92" s="307">
        <v>1281.2597113624686</v>
      </c>
      <c r="AW92" s="307">
        <v>726.13529729662218</v>
      </c>
      <c r="AX92" s="307">
        <v>2835.6918788081352</v>
      </c>
      <c r="AY92" s="307">
        <v>21686.662465562487</v>
      </c>
      <c r="AZ92" s="307">
        <v>15700.274106626934</v>
      </c>
      <c r="BA92" s="307"/>
      <c r="BB92" s="307"/>
      <c r="BC92" s="307"/>
      <c r="BD92" s="307"/>
      <c r="BE92" s="307"/>
      <c r="BF92" s="307"/>
      <c r="BG92" s="307"/>
      <c r="BH92" s="307"/>
      <c r="BI92" s="307"/>
      <c r="BJ92" s="307"/>
      <c r="BK92" s="307"/>
      <c r="BL92" s="307"/>
      <c r="BM92" s="307"/>
      <c r="BN92" s="307"/>
      <c r="BO92" s="307"/>
      <c r="BP92" s="307"/>
      <c r="BQ92" s="307"/>
      <c r="BR92" s="307"/>
      <c r="BS92" s="307"/>
      <c r="BT92" s="307"/>
      <c r="BU92" s="307"/>
      <c r="BV92" s="307"/>
      <c r="BW92" s="307"/>
      <c r="BX92" s="307"/>
      <c r="BY92" s="307"/>
      <c r="BZ92" s="307"/>
      <c r="CA92" s="307"/>
      <c r="CB92" s="307"/>
      <c r="CC92" s="307"/>
      <c r="CD92" s="307"/>
      <c r="CE92" s="307"/>
      <c r="CF92" s="307"/>
      <c r="CG92" s="307"/>
      <c r="CH92" s="307"/>
      <c r="CI92" s="307"/>
      <c r="CJ92" s="307"/>
      <c r="CK92" s="307"/>
      <c r="CL92" s="307"/>
      <c r="CM92" s="307"/>
      <c r="CN92" s="307"/>
      <c r="CO92" s="307"/>
      <c r="CP92" s="307"/>
      <c r="CQ92" s="307"/>
      <c r="CR92" s="307"/>
      <c r="CS92" s="307"/>
      <c r="CT92" s="307"/>
      <c r="CU92" s="307"/>
      <c r="CV92" s="307"/>
      <c r="CW92" s="307"/>
      <c r="CX92" s="307"/>
      <c r="CY92" s="307"/>
      <c r="CZ92" s="307"/>
      <c r="DA92" s="307"/>
      <c r="DB92" s="307"/>
      <c r="DC92" s="307"/>
      <c r="DD92" s="307"/>
      <c r="DE92" s="307"/>
      <c r="DF92" s="307"/>
      <c r="DG92" s="307"/>
      <c r="DH92" s="307"/>
      <c r="DI92" s="307"/>
      <c r="DJ92" s="307"/>
      <c r="DK92" s="307"/>
      <c r="DL92" s="307">
        <v>325.70460070959001</v>
      </c>
      <c r="DM92" s="307">
        <v>555.4723723217345</v>
      </c>
      <c r="DN92" s="307">
        <v>775.51830330236294</v>
      </c>
      <c r="DO92" s="307">
        <v>953.89907878750773</v>
      </c>
      <c r="DP92" s="307">
        <v>1207.1660561941342</v>
      </c>
      <c r="DQ92" s="307">
        <v>1541.7237420126544</v>
      </c>
      <c r="DR92" s="307">
        <v>1799.5619458673841</v>
      </c>
      <c r="DS92" s="307">
        <v>2822.4700438447885</v>
      </c>
      <c r="DT92" s="307">
        <v>4678.8709241920351</v>
      </c>
      <c r="DU92" s="307">
        <v>1628.6892246692337</v>
      </c>
      <c r="DV92" s="307">
        <v>1227.3727586965904</v>
      </c>
      <c r="DW92" s="307">
        <v>1548.566171236258</v>
      </c>
      <c r="DX92" s="307">
        <v>3166.8246917566212</v>
      </c>
      <c r="DY92" s="307">
        <v>3922.6703509889085</v>
      </c>
      <c r="DZ92" s="307"/>
      <c r="EA92" s="307"/>
      <c r="EB92" s="307"/>
      <c r="EC92" s="307"/>
      <c r="ED92" s="307"/>
      <c r="EE92" s="307"/>
      <c r="EF92" s="307"/>
      <c r="EG92" s="307"/>
      <c r="EH92" s="307">
        <v>25499.969296511576</v>
      </c>
      <c r="EI92" s="307">
        <v>1358.3068275792548</v>
      </c>
      <c r="EJ92" s="307">
        <v>-15339.808255033297</v>
      </c>
      <c r="EK92" s="307">
        <v>8532.2197909469487</v>
      </c>
      <c r="EL92" s="307">
        <v>132565.68088169632</v>
      </c>
    </row>
    <row r="93" spans="1:142" x14ac:dyDescent="0.25">
      <c r="A93" s="305" t="s">
        <v>1618</v>
      </c>
      <c r="B93" s="307">
        <v>740.90905306293507</v>
      </c>
      <c r="C93" s="307">
        <v>78.068305895543915</v>
      </c>
      <c r="D93" s="307">
        <v>7.4622363335278834</v>
      </c>
      <c r="E93" s="307">
        <v>1374.3825200588551</v>
      </c>
      <c r="F93" s="307">
        <v>422.94140754763214</v>
      </c>
      <c r="G93" s="307">
        <v>4320.3533922930264</v>
      </c>
      <c r="H93" s="307">
        <v>742.86224711452019</v>
      </c>
      <c r="I93" s="307">
        <v>49.021575532083098</v>
      </c>
      <c r="J93" s="307">
        <v>58.798903886822444</v>
      </c>
      <c r="K93" s="307"/>
      <c r="L93" s="307">
        <v>582.19183422969616</v>
      </c>
      <c r="M93" s="307">
        <v>158.80731094805321</v>
      </c>
      <c r="N93" s="307">
        <v>36.15277520628031</v>
      </c>
      <c r="O93" s="307">
        <v>1126.0775283463211</v>
      </c>
      <c r="P93" s="307">
        <v>4.6510789726296817</v>
      </c>
      <c r="Q93" s="307">
        <v>13.061085242717484</v>
      </c>
      <c r="R93" s="307">
        <v>161.84655247231368</v>
      </c>
      <c r="S93" s="307"/>
      <c r="T93" s="307">
        <v>102.19805260182767</v>
      </c>
      <c r="U93" s="307"/>
      <c r="V93" s="307"/>
      <c r="W93" s="307"/>
      <c r="X93" s="307"/>
      <c r="Y93" s="307">
        <v>64.962079305188269</v>
      </c>
      <c r="Z93" s="307">
        <v>104.07247693953121</v>
      </c>
      <c r="AA93" s="307"/>
      <c r="AB93" s="307"/>
      <c r="AC93" s="307">
        <v>29.07933234550115</v>
      </c>
      <c r="AD93" s="307">
        <v>557.3507616726672</v>
      </c>
      <c r="AE93" s="307">
        <v>1080.3701805904398</v>
      </c>
      <c r="AF93" s="307">
        <v>1482.4499420839941</v>
      </c>
      <c r="AG93" s="307">
        <v>37.25366217003473</v>
      </c>
      <c r="AH93" s="307">
        <v>59899.874098440989</v>
      </c>
      <c r="AI93" s="307">
        <v>2041.7654984829176</v>
      </c>
      <c r="AJ93" s="307">
        <v>43.070163673539874</v>
      </c>
      <c r="AK93" s="307">
        <v>78.860722599622889</v>
      </c>
      <c r="AL93" s="307">
        <v>331.19827455623334</v>
      </c>
      <c r="AM93" s="307">
        <v>16.459376571942265</v>
      </c>
      <c r="AN93" s="307"/>
      <c r="AO93" s="307">
        <v>9844.5546710520211</v>
      </c>
      <c r="AP93" s="307"/>
      <c r="AQ93" s="307">
        <v>94.993017022942396</v>
      </c>
      <c r="AR93" s="307">
        <v>1270.8463828665074</v>
      </c>
      <c r="AS93" s="307"/>
      <c r="AT93" s="307">
        <v>9020.8298729006146</v>
      </c>
      <c r="AU93" s="307">
        <v>30358.078622593261</v>
      </c>
      <c r="AV93" s="307"/>
      <c r="AW93" s="307"/>
      <c r="AX93" s="307"/>
      <c r="AY93" s="307">
        <v>15592.993610886249</v>
      </c>
      <c r="AZ93" s="307">
        <v>12351.844764001791</v>
      </c>
      <c r="BA93" s="307"/>
      <c r="BB93" s="307"/>
      <c r="BC93" s="307"/>
      <c r="BD93" s="307"/>
      <c r="BE93" s="307"/>
      <c r="BF93" s="307"/>
      <c r="BG93" s="307"/>
      <c r="BH93" s="307"/>
      <c r="BI93" s="307"/>
      <c r="BJ93" s="307"/>
      <c r="BK93" s="307"/>
      <c r="BL93" s="307"/>
      <c r="BM93" s="307"/>
      <c r="BN93" s="307"/>
      <c r="BO93" s="307"/>
      <c r="BP93" s="307"/>
      <c r="BQ93" s="307"/>
      <c r="BR93" s="307"/>
      <c r="BS93" s="307"/>
      <c r="BT93" s="307"/>
      <c r="BU93" s="307"/>
      <c r="BV93" s="307"/>
      <c r="BW93" s="307"/>
      <c r="BX93" s="307"/>
      <c r="BY93" s="307"/>
      <c r="BZ93" s="307"/>
      <c r="CA93" s="307"/>
      <c r="CB93" s="307"/>
      <c r="CC93" s="307"/>
      <c r="CD93" s="307"/>
      <c r="CE93" s="307"/>
      <c r="CF93" s="307"/>
      <c r="CG93" s="307"/>
      <c r="CH93" s="307"/>
      <c r="CI93" s="307"/>
      <c r="CJ93" s="307"/>
      <c r="CK93" s="307"/>
      <c r="CL93" s="307"/>
      <c r="CM93" s="307"/>
      <c r="CN93" s="307"/>
      <c r="CO93" s="307"/>
      <c r="CP93" s="307"/>
      <c r="CQ93" s="307"/>
      <c r="CR93" s="307"/>
      <c r="CS93" s="307"/>
      <c r="CT93" s="307"/>
      <c r="CU93" s="307"/>
      <c r="CV93" s="307"/>
      <c r="CW93" s="307"/>
      <c r="CX93" s="307"/>
      <c r="CY93" s="307"/>
      <c r="CZ93" s="307"/>
      <c r="DA93" s="307"/>
      <c r="DB93" s="307"/>
      <c r="DC93" s="307"/>
      <c r="DD93" s="307"/>
      <c r="DE93" s="307"/>
      <c r="DF93" s="307"/>
      <c r="DG93" s="307"/>
      <c r="DH93" s="307"/>
      <c r="DI93" s="307"/>
      <c r="DJ93" s="307"/>
      <c r="DK93" s="307"/>
      <c r="DL93" s="307">
        <v>6.7000818752369877</v>
      </c>
      <c r="DM93" s="307">
        <v>5.7135350072177538</v>
      </c>
      <c r="DN93" s="307">
        <v>41.907213910785202</v>
      </c>
      <c r="DO93" s="307">
        <v>18.897762532640158</v>
      </c>
      <c r="DP93" s="307">
        <v>108.50458204897502</v>
      </c>
      <c r="DQ93" s="307">
        <v>168.71840122448529</v>
      </c>
      <c r="DR93" s="307">
        <v>478.28909962360495</v>
      </c>
      <c r="DS93" s="307">
        <v>2666.0692125938349</v>
      </c>
      <c r="DT93" s="307">
        <v>9946.4889854462308</v>
      </c>
      <c r="DU93" s="307">
        <v>5127.0561780650678</v>
      </c>
      <c r="DV93" s="307">
        <v>7870.031233329878</v>
      </c>
      <c r="DW93" s="307">
        <v>11023.170782839894</v>
      </c>
      <c r="DX93" s="307">
        <v>18688.119769047171</v>
      </c>
      <c r="DY93" s="307">
        <v>49476.092118327906</v>
      </c>
      <c r="DZ93" s="307"/>
      <c r="EA93" s="307"/>
      <c r="EB93" s="307"/>
      <c r="EC93" s="307"/>
      <c r="ED93" s="307"/>
      <c r="EE93" s="307"/>
      <c r="EF93" s="307"/>
      <c r="EG93" s="307"/>
      <c r="EH93" s="307">
        <v>83877.866226771323</v>
      </c>
      <c r="EI93" s="307">
        <v>4467.9221787999923</v>
      </c>
      <c r="EJ93" s="307">
        <v>6203.4698385754973</v>
      </c>
      <c r="EK93" s="307">
        <v>51704.864743426791</v>
      </c>
      <c r="EL93" s="307">
        <v>406160.57531394734</v>
      </c>
    </row>
    <row r="94" spans="1:142" x14ac:dyDescent="0.25">
      <c r="A94" s="305" t="s">
        <v>1617</v>
      </c>
      <c r="B94" s="307">
        <v>71.314220834463768</v>
      </c>
      <c r="C94" s="307">
        <v>7.5426291883945558</v>
      </c>
      <c r="D94" s="307">
        <v>0.75356168402195345</v>
      </c>
      <c r="E94" s="307">
        <v>11.455687868346697</v>
      </c>
      <c r="F94" s="307">
        <v>26.975158213037613</v>
      </c>
      <c r="G94" s="307">
        <v>189.06794765194715</v>
      </c>
      <c r="H94" s="307">
        <v>44.899970330631803</v>
      </c>
      <c r="I94" s="307">
        <v>2.9629548351674933</v>
      </c>
      <c r="J94" s="307">
        <v>3.5539146729380144</v>
      </c>
      <c r="K94" s="307"/>
      <c r="L94" s="307"/>
      <c r="M94" s="307"/>
      <c r="N94" s="307"/>
      <c r="O94" s="307"/>
      <c r="P94" s="307"/>
      <c r="Q94" s="307"/>
      <c r="R94" s="307"/>
      <c r="S94" s="307"/>
      <c r="T94" s="307"/>
      <c r="U94" s="307"/>
      <c r="V94" s="307"/>
      <c r="W94" s="307"/>
      <c r="X94" s="307"/>
      <c r="Y94" s="307"/>
      <c r="Z94" s="307"/>
      <c r="AA94" s="307"/>
      <c r="AB94" s="307"/>
      <c r="AC94" s="307"/>
      <c r="AD94" s="307">
        <v>774.6662408531862</v>
      </c>
      <c r="AE94" s="307">
        <v>219.33296274627122</v>
      </c>
      <c r="AF94" s="307">
        <v>1443.3585776722973</v>
      </c>
      <c r="AG94" s="307"/>
      <c r="AH94" s="307">
        <v>433.35998935899886</v>
      </c>
      <c r="AI94" s="307">
        <v>4517.970368871127</v>
      </c>
      <c r="AJ94" s="307">
        <v>56.430804156057356</v>
      </c>
      <c r="AK94" s="307">
        <v>0.91589110208084734</v>
      </c>
      <c r="AL94" s="307"/>
      <c r="AM94" s="307"/>
      <c r="AN94" s="307"/>
      <c r="AO94" s="307">
        <v>4.0104523793251259</v>
      </c>
      <c r="AP94" s="307"/>
      <c r="AQ94" s="307">
        <v>12.488629782406926</v>
      </c>
      <c r="AR94" s="307">
        <v>163.4646685034441</v>
      </c>
      <c r="AS94" s="307">
        <v>144.59948233647884</v>
      </c>
      <c r="AT94" s="307">
        <v>170.600806639567</v>
      </c>
      <c r="AU94" s="307">
        <v>533.75801201912316</v>
      </c>
      <c r="AV94" s="307">
        <v>861.216587600965</v>
      </c>
      <c r="AW94" s="307"/>
      <c r="AX94" s="307">
        <v>0.57412708822122527</v>
      </c>
      <c r="AY94" s="307">
        <v>694.48983203933039</v>
      </c>
      <c r="AZ94" s="307">
        <v>89.229981567050743</v>
      </c>
      <c r="BA94" s="307"/>
      <c r="BB94" s="307"/>
      <c r="BC94" s="307"/>
      <c r="BD94" s="307"/>
      <c r="BE94" s="307"/>
      <c r="BF94" s="307"/>
      <c r="BG94" s="307"/>
      <c r="BH94" s="307"/>
      <c r="BI94" s="307"/>
      <c r="BJ94" s="307"/>
      <c r="BK94" s="307"/>
      <c r="BL94" s="307"/>
      <c r="BM94" s="307"/>
      <c r="BN94" s="307"/>
      <c r="BO94" s="307"/>
      <c r="BP94" s="307"/>
      <c r="BQ94" s="307"/>
      <c r="BR94" s="307"/>
      <c r="BS94" s="307"/>
      <c r="BT94" s="307"/>
      <c r="BU94" s="307"/>
      <c r="BV94" s="307"/>
      <c r="BW94" s="307"/>
      <c r="BX94" s="307"/>
      <c r="BY94" s="307"/>
      <c r="BZ94" s="307"/>
      <c r="CA94" s="307"/>
      <c r="CB94" s="307"/>
      <c r="CC94" s="307"/>
      <c r="CD94" s="307"/>
      <c r="CE94" s="307"/>
      <c r="CF94" s="307"/>
      <c r="CG94" s="307"/>
      <c r="CH94" s="307"/>
      <c r="CI94" s="307"/>
      <c r="CJ94" s="307"/>
      <c r="CK94" s="307"/>
      <c r="CL94" s="307"/>
      <c r="CM94" s="307"/>
      <c r="CN94" s="307"/>
      <c r="CO94" s="307"/>
      <c r="CP94" s="307"/>
      <c r="CQ94" s="307"/>
      <c r="CR94" s="307"/>
      <c r="CS94" s="307"/>
      <c r="CT94" s="307"/>
      <c r="CU94" s="307"/>
      <c r="CV94" s="307"/>
      <c r="CW94" s="307"/>
      <c r="CX94" s="307"/>
      <c r="CY94" s="307"/>
      <c r="CZ94" s="307"/>
      <c r="DA94" s="307"/>
      <c r="DB94" s="307"/>
      <c r="DC94" s="307"/>
      <c r="DD94" s="307"/>
      <c r="DE94" s="307"/>
      <c r="DF94" s="307"/>
      <c r="DG94" s="307"/>
      <c r="DH94" s="307"/>
      <c r="DI94" s="307"/>
      <c r="DJ94" s="307"/>
      <c r="DK94" s="307"/>
      <c r="DL94" s="307">
        <v>116.75385846236196</v>
      </c>
      <c r="DM94" s="307">
        <v>103.4185610177751</v>
      </c>
      <c r="DN94" s="307">
        <v>115.27913462780805</v>
      </c>
      <c r="DO94" s="307">
        <v>72.979275676688417</v>
      </c>
      <c r="DP94" s="307">
        <v>159.99130777367336</v>
      </c>
      <c r="DQ94" s="307">
        <v>156.65696926573671</v>
      </c>
      <c r="DR94" s="307">
        <v>167.61450980214804</v>
      </c>
      <c r="DS94" s="307">
        <v>253.08612868400724</v>
      </c>
      <c r="DT94" s="307">
        <v>355.98360055050483</v>
      </c>
      <c r="DU94" s="307">
        <v>40.613361824799888</v>
      </c>
      <c r="DV94" s="307">
        <v>148.55185257628571</v>
      </c>
      <c r="DW94" s="307">
        <v>115.68236551492319</v>
      </c>
      <c r="DX94" s="307">
        <v>152.77409223836523</v>
      </c>
      <c r="DY94" s="307">
        <v>1346.5062943709843</v>
      </c>
      <c r="DZ94" s="307"/>
      <c r="EA94" s="307"/>
      <c r="EB94" s="307"/>
      <c r="EC94" s="307"/>
      <c r="ED94" s="307"/>
      <c r="EE94" s="307"/>
      <c r="EF94" s="307"/>
      <c r="EG94" s="307"/>
      <c r="EH94" s="307">
        <v>14107.59500935205</v>
      </c>
      <c r="EI94" s="307">
        <v>751.46924292757296</v>
      </c>
      <c r="EJ94" s="307">
        <v>3739.154556096034</v>
      </c>
      <c r="EK94" s="307">
        <v>11898.229539787812</v>
      </c>
      <c r="EL94" s="307">
        <v>44281.333120544412</v>
      </c>
    </row>
    <row r="95" spans="1:142" x14ac:dyDescent="0.25">
      <c r="A95" s="305" t="s">
        <v>1616</v>
      </c>
      <c r="B95" s="307"/>
      <c r="C95" s="307"/>
      <c r="D95" s="307"/>
      <c r="E95" s="307">
        <v>4.0269320434358171</v>
      </c>
      <c r="F95" s="307">
        <v>4.0823158174540106</v>
      </c>
      <c r="G95" s="307">
        <v>30.840848658374792</v>
      </c>
      <c r="H95" s="307">
        <v>5.2311784923457623</v>
      </c>
      <c r="I95" s="307">
        <v>0.34520614364294555</v>
      </c>
      <c r="J95" s="307">
        <v>0.41405733375333759</v>
      </c>
      <c r="K95" s="307"/>
      <c r="L95" s="307"/>
      <c r="M95" s="307"/>
      <c r="N95" s="307"/>
      <c r="O95" s="307">
        <v>16.275136184861946</v>
      </c>
      <c r="P95" s="307"/>
      <c r="Q95" s="307"/>
      <c r="R95" s="307">
        <v>402.75349601913092</v>
      </c>
      <c r="S95" s="307">
        <v>2.1433959259203301</v>
      </c>
      <c r="T95" s="307"/>
      <c r="U95" s="307"/>
      <c r="V95" s="307"/>
      <c r="W95" s="307"/>
      <c r="X95" s="307"/>
      <c r="Y95" s="307">
        <v>120.0467777820098</v>
      </c>
      <c r="Z95" s="307"/>
      <c r="AA95" s="307"/>
      <c r="AB95" s="307">
        <v>5.3550343130223563</v>
      </c>
      <c r="AC95" s="307"/>
      <c r="AD95" s="307">
        <v>16.282831287632117</v>
      </c>
      <c r="AE95" s="307">
        <v>5.8628892450465937</v>
      </c>
      <c r="AF95" s="307">
        <v>18.189877126571634</v>
      </c>
      <c r="AG95" s="307">
        <v>7.8542020556095284</v>
      </c>
      <c r="AH95" s="307"/>
      <c r="AI95" s="307"/>
      <c r="AJ95" s="307">
        <v>242.64818071991075</v>
      </c>
      <c r="AK95" s="307">
        <v>15.286726609759885</v>
      </c>
      <c r="AL95" s="307"/>
      <c r="AM95" s="307">
        <v>10.681354706912931</v>
      </c>
      <c r="AN95" s="307">
        <v>256.87073813340703</v>
      </c>
      <c r="AO95" s="307">
        <v>1377.5284206500958</v>
      </c>
      <c r="AP95" s="307">
        <v>23.613879001022081</v>
      </c>
      <c r="AQ95" s="307">
        <v>1.5583659121736859</v>
      </c>
      <c r="AR95" s="307">
        <v>20.39742909494171</v>
      </c>
      <c r="AS95" s="307">
        <v>18.043226735405483</v>
      </c>
      <c r="AT95" s="307">
        <v>21.287265075330478</v>
      </c>
      <c r="AU95" s="307">
        <v>66.601374939204362</v>
      </c>
      <c r="AV95" s="307">
        <v>107.46023692080951</v>
      </c>
      <c r="AW95" s="307">
        <v>75.181805220517575</v>
      </c>
      <c r="AX95" s="307">
        <v>1690.3041371384456</v>
      </c>
      <c r="AY95" s="307">
        <v>190.11270036424358</v>
      </c>
      <c r="AZ95" s="307">
        <v>1043.9720881386888</v>
      </c>
      <c r="BA95" s="307"/>
      <c r="BB95" s="307"/>
      <c r="BC95" s="307"/>
      <c r="BD95" s="307"/>
      <c r="BE95" s="307"/>
      <c r="BF95" s="307"/>
      <c r="BG95" s="307"/>
      <c r="BH95" s="307"/>
      <c r="BI95" s="307"/>
      <c r="BJ95" s="307"/>
      <c r="BK95" s="307"/>
      <c r="BL95" s="307"/>
      <c r="BM95" s="307"/>
      <c r="BN95" s="307"/>
      <c r="BO95" s="307"/>
      <c r="BP95" s="307"/>
      <c r="BQ95" s="307"/>
      <c r="BR95" s="307"/>
      <c r="BS95" s="307"/>
      <c r="BT95" s="307"/>
      <c r="BU95" s="307"/>
      <c r="BV95" s="307"/>
      <c r="BW95" s="307"/>
      <c r="BX95" s="307"/>
      <c r="BY95" s="307"/>
      <c r="BZ95" s="307"/>
      <c r="CA95" s="307"/>
      <c r="CB95" s="307"/>
      <c r="CC95" s="307"/>
      <c r="CD95" s="307"/>
      <c r="CE95" s="307"/>
      <c r="CF95" s="307"/>
      <c r="CG95" s="307"/>
      <c r="CH95" s="307"/>
      <c r="CI95" s="307"/>
      <c r="CJ95" s="307"/>
      <c r="CK95" s="307"/>
      <c r="CL95" s="307"/>
      <c r="CM95" s="307"/>
      <c r="CN95" s="307"/>
      <c r="CO95" s="307"/>
      <c r="CP95" s="307"/>
      <c r="CQ95" s="307"/>
      <c r="CR95" s="307"/>
      <c r="CS95" s="307"/>
      <c r="CT95" s="307"/>
      <c r="CU95" s="307"/>
      <c r="CV95" s="307"/>
      <c r="CW95" s="307"/>
      <c r="CX95" s="307"/>
      <c r="CY95" s="307"/>
      <c r="CZ95" s="307"/>
      <c r="DA95" s="307"/>
      <c r="DB95" s="307"/>
      <c r="DC95" s="307"/>
      <c r="DD95" s="307"/>
      <c r="DE95" s="307"/>
      <c r="DF95" s="307"/>
      <c r="DG95" s="307"/>
      <c r="DH95" s="307"/>
      <c r="DI95" s="307"/>
      <c r="DJ95" s="307"/>
      <c r="DK95" s="307"/>
      <c r="DL95" s="307">
        <v>238.39969736144033</v>
      </c>
      <c r="DM95" s="307">
        <v>420.20147667044682</v>
      </c>
      <c r="DN95" s="307">
        <v>750.0769638642472</v>
      </c>
      <c r="DO95" s="307">
        <v>914.54056044923607</v>
      </c>
      <c r="DP95" s="307">
        <v>1298.801300133789</v>
      </c>
      <c r="DQ95" s="307">
        <v>1306.4865149274799</v>
      </c>
      <c r="DR95" s="307">
        <v>1613.8951066751224</v>
      </c>
      <c r="DS95" s="307">
        <v>2121.1192830587329</v>
      </c>
      <c r="DT95" s="307">
        <v>3012.6041991268949</v>
      </c>
      <c r="DU95" s="307">
        <v>637.87282787635786</v>
      </c>
      <c r="DV95" s="307">
        <v>959.11480625264414</v>
      </c>
      <c r="DW95" s="307">
        <v>908.39238861428328</v>
      </c>
      <c r="DX95" s="307">
        <v>1660.0063954372686</v>
      </c>
      <c r="DY95" s="307">
        <v>1690.747254612033</v>
      </c>
      <c r="DZ95" s="307"/>
      <c r="EA95" s="307"/>
      <c r="EB95" s="307"/>
      <c r="EC95" s="307"/>
      <c r="ED95" s="307"/>
      <c r="EE95" s="307"/>
      <c r="EF95" s="307"/>
      <c r="EG95" s="307"/>
      <c r="EH95" s="307">
        <v>5665.1383095833507</v>
      </c>
      <c r="EI95" s="307">
        <v>301.76491413032988</v>
      </c>
      <c r="EJ95" s="307">
        <v>-528.65465315569531</v>
      </c>
      <c r="EK95" s="307">
        <v>5220.4142318530085</v>
      </c>
      <c r="EL95" s="307">
        <v>33992.173685260655</v>
      </c>
    </row>
    <row r="96" spans="1:142" x14ac:dyDescent="0.25">
      <c r="A96" s="305" t="s">
        <v>1615</v>
      </c>
      <c r="B96" s="307"/>
      <c r="C96" s="307"/>
      <c r="D96" s="307"/>
      <c r="E96" s="307">
        <v>6.5869667381608998</v>
      </c>
      <c r="F96" s="307">
        <v>2.1075631728626942</v>
      </c>
      <c r="G96" s="307">
        <v>14.88082408968066</v>
      </c>
      <c r="H96" s="307">
        <v>3.8131584825768616</v>
      </c>
      <c r="I96" s="307">
        <v>0.25163082024361932</v>
      </c>
      <c r="J96" s="307">
        <v>0.30181845960425319</v>
      </c>
      <c r="K96" s="307">
        <v>2.8787262103216851E-4</v>
      </c>
      <c r="L96" s="307">
        <v>8857.7032659302167</v>
      </c>
      <c r="M96" s="307">
        <v>1.5049499995078208</v>
      </c>
      <c r="N96" s="307">
        <v>1.0528799930000745</v>
      </c>
      <c r="O96" s="307">
        <v>4961.2720140291449</v>
      </c>
      <c r="P96" s="307">
        <v>1111.9337237303625</v>
      </c>
      <c r="Q96" s="307">
        <v>0.65627721561267638</v>
      </c>
      <c r="R96" s="307">
        <v>1178.3896143355876</v>
      </c>
      <c r="S96" s="307">
        <v>8.1868702925225403</v>
      </c>
      <c r="T96" s="307">
        <v>114.9471824957977</v>
      </c>
      <c r="U96" s="307">
        <v>0.27977837366923342</v>
      </c>
      <c r="V96" s="307">
        <v>34.486529604710128</v>
      </c>
      <c r="W96" s="307">
        <v>11.584594139666653</v>
      </c>
      <c r="X96" s="307">
        <v>0.42948260148994177</v>
      </c>
      <c r="Y96" s="307">
        <v>54.235655894540152</v>
      </c>
      <c r="Z96" s="307">
        <v>0.75708676402790476</v>
      </c>
      <c r="AA96" s="307">
        <v>10.793564216026068</v>
      </c>
      <c r="AB96" s="307">
        <v>7108.3241489968241</v>
      </c>
      <c r="AC96" s="307">
        <v>680.97500767804013</v>
      </c>
      <c r="AD96" s="307">
        <v>1141.9912237506358</v>
      </c>
      <c r="AE96" s="307">
        <v>203.874744569364</v>
      </c>
      <c r="AF96" s="307">
        <v>91.540199012494611</v>
      </c>
      <c r="AG96" s="307">
        <v>13.776145405355704</v>
      </c>
      <c r="AH96" s="307">
        <v>5.3387099246083878</v>
      </c>
      <c r="AI96" s="307">
        <v>36.766732490394553</v>
      </c>
      <c r="AJ96" s="307">
        <v>41.522198024981918</v>
      </c>
      <c r="AK96" s="307">
        <v>10079.710529993126</v>
      </c>
      <c r="AL96" s="307">
        <v>8.2583644242039629</v>
      </c>
      <c r="AM96" s="307">
        <v>0.89186401373209745</v>
      </c>
      <c r="AN96" s="307">
        <v>11.074512543782047</v>
      </c>
      <c r="AO96" s="307">
        <v>446.16359086128364</v>
      </c>
      <c r="AP96" s="307">
        <v>11.597146963252424</v>
      </c>
      <c r="AQ96" s="307">
        <v>4.9243700942941233</v>
      </c>
      <c r="AR96" s="307">
        <v>65.067977525098712</v>
      </c>
      <c r="AS96" s="307">
        <v>60.025360627306121</v>
      </c>
      <c r="AT96" s="307">
        <v>71.230644410478945</v>
      </c>
      <c r="AU96" s="307">
        <v>222.85901165581271</v>
      </c>
      <c r="AV96" s="307">
        <v>345.77740989400405</v>
      </c>
      <c r="AW96" s="307">
        <v>220.79692197492059</v>
      </c>
      <c r="AX96" s="307">
        <v>2357.9217693749633</v>
      </c>
      <c r="AY96" s="307">
        <v>2950.1597373482209</v>
      </c>
      <c r="AZ96" s="307">
        <v>1302.3484377270756</v>
      </c>
      <c r="BA96" s="307"/>
      <c r="BB96" s="307"/>
      <c r="BC96" s="307"/>
      <c r="BD96" s="307"/>
      <c r="BE96" s="307"/>
      <c r="BF96" s="307"/>
      <c r="BG96" s="307"/>
      <c r="BH96" s="307"/>
      <c r="BI96" s="307"/>
      <c r="BJ96" s="307"/>
      <c r="BK96" s="307"/>
      <c r="BL96" s="307"/>
      <c r="BM96" s="307"/>
      <c r="BN96" s="307"/>
      <c r="BO96" s="307"/>
      <c r="BP96" s="307"/>
      <c r="BQ96" s="307"/>
      <c r="BR96" s="307"/>
      <c r="BS96" s="307"/>
      <c r="BT96" s="307"/>
      <c r="BU96" s="307"/>
      <c r="BV96" s="307"/>
      <c r="BW96" s="307"/>
      <c r="BX96" s="307"/>
      <c r="BY96" s="307"/>
      <c r="BZ96" s="307"/>
      <c r="CA96" s="307"/>
      <c r="CB96" s="307"/>
      <c r="CC96" s="307"/>
      <c r="CD96" s="307"/>
      <c r="CE96" s="307"/>
      <c r="CF96" s="307"/>
      <c r="CG96" s="307"/>
      <c r="CH96" s="307"/>
      <c r="CI96" s="307"/>
      <c r="CJ96" s="307"/>
      <c r="CK96" s="307"/>
      <c r="CL96" s="307"/>
      <c r="CM96" s="307"/>
      <c r="CN96" s="307"/>
      <c r="CO96" s="307"/>
      <c r="CP96" s="307"/>
      <c r="CQ96" s="307"/>
      <c r="CR96" s="307"/>
      <c r="CS96" s="307"/>
      <c r="CT96" s="307"/>
      <c r="CU96" s="307"/>
      <c r="CV96" s="307"/>
      <c r="CW96" s="307"/>
      <c r="CX96" s="307"/>
      <c r="CY96" s="307"/>
      <c r="CZ96" s="307"/>
      <c r="DA96" s="307"/>
      <c r="DB96" s="307"/>
      <c r="DC96" s="307"/>
      <c r="DD96" s="307"/>
      <c r="DE96" s="307"/>
      <c r="DF96" s="307"/>
      <c r="DG96" s="307"/>
      <c r="DH96" s="307"/>
      <c r="DI96" s="307"/>
      <c r="DJ96" s="307"/>
      <c r="DK96" s="307"/>
      <c r="DL96" s="307">
        <v>637.90194570564449</v>
      </c>
      <c r="DM96" s="307">
        <v>506.35551329025071</v>
      </c>
      <c r="DN96" s="307">
        <v>611.98239489469699</v>
      </c>
      <c r="DO96" s="307">
        <v>596.079910289547</v>
      </c>
      <c r="DP96" s="307">
        <v>609.97891213589912</v>
      </c>
      <c r="DQ96" s="307">
        <v>984.64524135041404</v>
      </c>
      <c r="DR96" s="307">
        <v>852.80338719068641</v>
      </c>
      <c r="DS96" s="307">
        <v>1684.5428805440322</v>
      </c>
      <c r="DT96" s="307">
        <v>3126.7345250545586</v>
      </c>
      <c r="DU96" s="307">
        <v>928.56759620214484</v>
      </c>
      <c r="DV96" s="307">
        <v>1351.1959169372731</v>
      </c>
      <c r="DW96" s="307">
        <v>1526.5252436911103</v>
      </c>
      <c r="DX96" s="307">
        <v>1922.1203919857453</v>
      </c>
      <c r="DY96" s="307">
        <v>2700.1184643159413</v>
      </c>
      <c r="DZ96" s="307"/>
      <c r="EA96" s="307"/>
      <c r="EB96" s="307"/>
      <c r="EC96" s="307"/>
      <c r="ED96" s="307"/>
      <c r="EE96" s="307"/>
      <c r="EF96" s="307"/>
      <c r="EG96" s="307"/>
      <c r="EH96" s="307">
        <v>1014.7422253833794</v>
      </c>
      <c r="EI96" s="307">
        <v>54.052272649589767</v>
      </c>
      <c r="EJ96" s="307">
        <v>168.15208258657276</v>
      </c>
      <c r="EK96" s="307">
        <v>16627.777071366345</v>
      </c>
      <c r="EL96" s="307">
        <v>79763.348454109713</v>
      </c>
    </row>
    <row r="97" spans="1:142" x14ac:dyDescent="0.25">
      <c r="A97" s="305" t="s">
        <v>1614</v>
      </c>
      <c r="B97" s="307">
        <v>2928.276240743352</v>
      </c>
      <c r="C97" s="307">
        <v>310.98349830120657</v>
      </c>
      <c r="D97" s="307">
        <v>32.072980804026095</v>
      </c>
      <c r="E97" s="307">
        <v>2299.4065402485053</v>
      </c>
      <c r="F97" s="307">
        <v>12716.842367257534</v>
      </c>
      <c r="G97" s="307">
        <v>14100.088877420878</v>
      </c>
      <c r="H97" s="307">
        <v>1519.5785182943339</v>
      </c>
      <c r="I97" s="307">
        <v>100.27718248012253</v>
      </c>
      <c r="J97" s="307">
        <v>120.27741562143811</v>
      </c>
      <c r="K97" s="307">
        <v>9.6030335046987242E-2</v>
      </c>
      <c r="L97" s="307">
        <v>2748.3118520135472</v>
      </c>
      <c r="M97" s="307">
        <v>298.98299149021295</v>
      </c>
      <c r="N97" s="307">
        <v>913.34747602861694</v>
      </c>
      <c r="O97" s="307">
        <v>330.52449700265288</v>
      </c>
      <c r="P97" s="307">
        <v>44.615021051718159</v>
      </c>
      <c r="Q97" s="307">
        <v>84.592605041785745</v>
      </c>
      <c r="R97" s="307">
        <v>784.21739543960587</v>
      </c>
      <c r="S97" s="307">
        <v>2311.8690435368367</v>
      </c>
      <c r="T97" s="307">
        <v>350.02369387170279</v>
      </c>
      <c r="U97" s="307">
        <v>8234.3412687073032</v>
      </c>
      <c r="V97" s="307">
        <v>3526.2753519479688</v>
      </c>
      <c r="W97" s="307">
        <v>1553.6440829499759</v>
      </c>
      <c r="X97" s="307">
        <v>93.383347325114443</v>
      </c>
      <c r="Y97" s="307">
        <v>135.22627630013321</v>
      </c>
      <c r="Z97" s="307">
        <v>184.21530410448563</v>
      </c>
      <c r="AA97" s="307">
        <v>296.13709178738429</v>
      </c>
      <c r="AB97" s="307">
        <v>7087.8058565212632</v>
      </c>
      <c r="AC97" s="307">
        <v>12745.476812735662</v>
      </c>
      <c r="AD97" s="307">
        <v>897.81539692223498</v>
      </c>
      <c r="AE97" s="307">
        <v>894.295772147197</v>
      </c>
      <c r="AF97" s="307">
        <v>488.7998887399205</v>
      </c>
      <c r="AG97" s="307">
        <v>161.08795654264171</v>
      </c>
      <c r="AH97" s="307">
        <v>1878.910129076532</v>
      </c>
      <c r="AI97" s="307">
        <v>268.17866488510259</v>
      </c>
      <c r="AJ97" s="307">
        <v>270.02116275636928</v>
      </c>
      <c r="AK97" s="307">
        <v>457.68770119588282</v>
      </c>
      <c r="AL97" s="307"/>
      <c r="AM97" s="307">
        <v>426.38778983994456</v>
      </c>
      <c r="AN97" s="307">
        <v>954.47580263474447</v>
      </c>
      <c r="AO97" s="307">
        <v>4365.4058988409988</v>
      </c>
      <c r="AP97" s="307">
        <v>1065.9680405813053</v>
      </c>
      <c r="AQ97" s="307">
        <v>4.8560585192898778</v>
      </c>
      <c r="AR97" s="307">
        <v>35.318420018151045</v>
      </c>
      <c r="AS97" s="307">
        <v>279.1238290757326</v>
      </c>
      <c r="AT97" s="307">
        <v>653.92231871115587</v>
      </c>
      <c r="AU97" s="307">
        <v>2045.9239538510544</v>
      </c>
      <c r="AV97" s="307">
        <v>518.62145555445147</v>
      </c>
      <c r="AW97" s="307">
        <v>700.3691352359607</v>
      </c>
      <c r="AX97" s="307">
        <v>15677.435628841777</v>
      </c>
      <c r="AY97" s="307">
        <v>1697.9866178429345</v>
      </c>
      <c r="AZ97" s="307">
        <v>4421.3276406831565</v>
      </c>
      <c r="BA97" s="307"/>
      <c r="BB97" s="307"/>
      <c r="BC97" s="307"/>
      <c r="BD97" s="307"/>
      <c r="BE97" s="307"/>
      <c r="BF97" s="307"/>
      <c r="BG97" s="307"/>
      <c r="BH97" s="307"/>
      <c r="BI97" s="307"/>
      <c r="BJ97" s="307"/>
      <c r="BK97" s="307"/>
      <c r="BL97" s="307"/>
      <c r="BM97" s="307"/>
      <c r="BN97" s="307"/>
      <c r="BO97" s="307"/>
      <c r="BP97" s="307"/>
      <c r="BQ97" s="307"/>
      <c r="BR97" s="307"/>
      <c r="BS97" s="307"/>
      <c r="BT97" s="307"/>
      <c r="BU97" s="307"/>
      <c r="BV97" s="307"/>
      <c r="BW97" s="307"/>
      <c r="BX97" s="307"/>
      <c r="BY97" s="307"/>
      <c r="BZ97" s="307"/>
      <c r="CA97" s="307"/>
      <c r="CB97" s="307"/>
      <c r="CC97" s="307"/>
      <c r="CD97" s="307"/>
      <c r="CE97" s="307"/>
      <c r="CF97" s="307"/>
      <c r="CG97" s="307"/>
      <c r="CH97" s="307"/>
      <c r="CI97" s="307"/>
      <c r="CJ97" s="307"/>
      <c r="CK97" s="307"/>
      <c r="CL97" s="307"/>
      <c r="CM97" s="307"/>
      <c r="CN97" s="307"/>
      <c r="CO97" s="307"/>
      <c r="CP97" s="307"/>
      <c r="CQ97" s="307"/>
      <c r="CR97" s="307"/>
      <c r="CS97" s="307"/>
      <c r="CT97" s="307"/>
      <c r="CU97" s="307"/>
      <c r="CV97" s="307"/>
      <c r="CW97" s="307"/>
      <c r="CX97" s="307"/>
      <c r="CY97" s="307"/>
      <c r="CZ97" s="307"/>
      <c r="DA97" s="307"/>
      <c r="DB97" s="307"/>
      <c r="DC97" s="307"/>
      <c r="DD97" s="307"/>
      <c r="DE97" s="307"/>
      <c r="DF97" s="307"/>
      <c r="DG97" s="307"/>
      <c r="DH97" s="307"/>
      <c r="DI97" s="307"/>
      <c r="DJ97" s="307"/>
      <c r="DK97" s="307"/>
      <c r="DL97" s="307">
        <v>627.55493545423042</v>
      </c>
      <c r="DM97" s="307">
        <v>949.52004321866048</v>
      </c>
      <c r="DN97" s="307">
        <v>1149.6780820424701</v>
      </c>
      <c r="DO97" s="307">
        <v>1368.0698172441012</v>
      </c>
      <c r="DP97" s="307">
        <v>1654.6003972614956</v>
      </c>
      <c r="DQ97" s="307">
        <v>1963.2305231755574</v>
      </c>
      <c r="DR97" s="307">
        <v>2486.1871254188277</v>
      </c>
      <c r="DS97" s="307">
        <v>4063.6299912018089</v>
      </c>
      <c r="DT97" s="307">
        <v>6164.0294592280607</v>
      </c>
      <c r="DU97" s="307">
        <v>1577.4428657829803</v>
      </c>
      <c r="DV97" s="307">
        <v>1403.3224075319108</v>
      </c>
      <c r="DW97" s="307">
        <v>1531.8479942452002</v>
      </c>
      <c r="DX97" s="307">
        <v>1842.89812326879</v>
      </c>
      <c r="DY97" s="307">
        <v>2800.4810427963644</v>
      </c>
      <c r="DZ97" s="307"/>
      <c r="EA97" s="307"/>
      <c r="EB97" s="307"/>
      <c r="EC97" s="307"/>
      <c r="ED97" s="307"/>
      <c r="EE97" s="307"/>
      <c r="EF97" s="307"/>
      <c r="EG97" s="307"/>
      <c r="EH97" s="307"/>
      <c r="EI97" s="307"/>
      <c r="EJ97" s="307"/>
      <c r="EK97" s="307">
        <v>3257.6276363081734</v>
      </c>
      <c r="EL97" s="307">
        <v>146854.92932603759</v>
      </c>
    </row>
    <row r="98" spans="1:142" x14ac:dyDescent="0.25">
      <c r="A98" s="305" t="s">
        <v>1613</v>
      </c>
      <c r="B98" s="307">
        <v>688.07872182221138</v>
      </c>
      <c r="C98" s="307">
        <v>74.233989460114685</v>
      </c>
      <c r="D98" s="307">
        <v>8.7899771628640497</v>
      </c>
      <c r="E98" s="307">
        <v>526.06549084781727</v>
      </c>
      <c r="F98" s="307">
        <v>272.32956912457763</v>
      </c>
      <c r="G98" s="307">
        <v>4972.9348543427614</v>
      </c>
      <c r="H98" s="307">
        <v>412.05031905765043</v>
      </c>
      <c r="I98" s="307">
        <v>27.191253717850596</v>
      </c>
      <c r="J98" s="307">
        <v>32.614535468606583</v>
      </c>
      <c r="K98" s="307">
        <v>9.2196776200260185E-4</v>
      </c>
      <c r="L98" s="307">
        <v>350.84141760224259</v>
      </c>
      <c r="M98" s="307">
        <v>1370.3679516961179</v>
      </c>
      <c r="N98" s="307">
        <v>31.699206132065928</v>
      </c>
      <c r="O98" s="307">
        <v>15.499654121229318</v>
      </c>
      <c r="P98" s="307">
        <v>2.0905562214358424</v>
      </c>
      <c r="Q98" s="307">
        <v>4.4269156932230898</v>
      </c>
      <c r="R98" s="307">
        <v>30.125405234060562</v>
      </c>
      <c r="S98" s="307">
        <v>74.262373601102809</v>
      </c>
      <c r="T98" s="307">
        <v>16.53448314872594</v>
      </c>
      <c r="U98" s="307">
        <v>66.96982738961951</v>
      </c>
      <c r="V98" s="307">
        <v>110.44978298001485</v>
      </c>
      <c r="W98" s="307">
        <v>61.54692698332444</v>
      </c>
      <c r="X98" s="307">
        <v>17.517104883341243</v>
      </c>
      <c r="Y98" s="307">
        <v>25.403842441542768</v>
      </c>
      <c r="Z98" s="307">
        <v>16.861913509530655</v>
      </c>
      <c r="AA98" s="307">
        <v>34.585549665035629</v>
      </c>
      <c r="AB98" s="307">
        <v>395.52622952583744</v>
      </c>
      <c r="AC98" s="307">
        <v>199.19744305807887</v>
      </c>
      <c r="AD98" s="307">
        <v>40.856127668021252</v>
      </c>
      <c r="AE98" s="307">
        <v>23.806819236026524</v>
      </c>
      <c r="AF98" s="307">
        <v>22.968670316702028</v>
      </c>
      <c r="AG98" s="307">
        <v>7.8677376787724729</v>
      </c>
      <c r="AH98" s="307">
        <v>55.73401574844906</v>
      </c>
      <c r="AI98" s="307">
        <v>5.274760149974278</v>
      </c>
      <c r="AJ98" s="307">
        <v>10.928786335513854</v>
      </c>
      <c r="AK98" s="307">
        <v>24.686894070870576</v>
      </c>
      <c r="AL98" s="307">
        <v>26.804245918359381</v>
      </c>
      <c r="AM98" s="307">
        <v>17457.282324530894</v>
      </c>
      <c r="AN98" s="307">
        <v>112.45428834340542</v>
      </c>
      <c r="AO98" s="307">
        <v>3014.5570062200318</v>
      </c>
      <c r="AP98" s="307">
        <v>130.47392180591513</v>
      </c>
      <c r="AQ98" s="307">
        <v>0.82840443727295932</v>
      </c>
      <c r="AR98" s="307">
        <v>6.0250487043922583</v>
      </c>
      <c r="AS98" s="307">
        <v>47.616318659738781</v>
      </c>
      <c r="AT98" s="307">
        <v>111.57051997481084</v>
      </c>
      <c r="AU98" s="307">
        <v>349.07020731450189</v>
      </c>
      <c r="AV98" s="307">
        <v>81.990244718058221</v>
      </c>
      <c r="AW98" s="307">
        <v>84.067688312466942</v>
      </c>
      <c r="AX98" s="307">
        <v>2639.3613621446448</v>
      </c>
      <c r="AY98" s="307">
        <v>549.5233115490048</v>
      </c>
      <c r="AZ98" s="307">
        <v>668.01803739640593</v>
      </c>
      <c r="BA98" s="307"/>
      <c r="BB98" s="307"/>
      <c r="BC98" s="307"/>
      <c r="BD98" s="307"/>
      <c r="BE98" s="307"/>
      <c r="BF98" s="307"/>
      <c r="BG98" s="307"/>
      <c r="BH98" s="307"/>
      <c r="BI98" s="307"/>
      <c r="BJ98" s="307"/>
      <c r="BK98" s="307"/>
      <c r="BL98" s="307"/>
      <c r="BM98" s="307"/>
      <c r="BN98" s="307"/>
      <c r="BO98" s="307"/>
      <c r="BP98" s="307"/>
      <c r="BQ98" s="307"/>
      <c r="BR98" s="307"/>
      <c r="BS98" s="307"/>
      <c r="BT98" s="307"/>
      <c r="BU98" s="307"/>
      <c r="BV98" s="307"/>
      <c r="BW98" s="307"/>
      <c r="BX98" s="307"/>
      <c r="BY98" s="307"/>
      <c r="BZ98" s="307"/>
      <c r="CA98" s="307"/>
      <c r="CB98" s="307"/>
      <c r="CC98" s="307"/>
      <c r="CD98" s="307"/>
      <c r="CE98" s="307"/>
      <c r="CF98" s="307"/>
      <c r="CG98" s="307"/>
      <c r="CH98" s="307"/>
      <c r="CI98" s="307"/>
      <c r="CJ98" s="307"/>
      <c r="CK98" s="307"/>
      <c r="CL98" s="307"/>
      <c r="CM98" s="307"/>
      <c r="CN98" s="307"/>
      <c r="CO98" s="307"/>
      <c r="CP98" s="307"/>
      <c r="CQ98" s="307"/>
      <c r="CR98" s="307"/>
      <c r="CS98" s="307"/>
      <c r="CT98" s="307"/>
      <c r="CU98" s="307"/>
      <c r="CV98" s="307"/>
      <c r="CW98" s="307"/>
      <c r="CX98" s="307"/>
      <c r="CY98" s="307"/>
      <c r="CZ98" s="307"/>
      <c r="DA98" s="307"/>
      <c r="DB98" s="307"/>
      <c r="DC98" s="307"/>
      <c r="DD98" s="307"/>
      <c r="DE98" s="307"/>
      <c r="DF98" s="307"/>
      <c r="DG98" s="307"/>
      <c r="DH98" s="307"/>
      <c r="DI98" s="307"/>
      <c r="DJ98" s="307"/>
      <c r="DK98" s="307"/>
      <c r="DL98" s="307">
        <v>228.75735037727151</v>
      </c>
      <c r="DM98" s="307">
        <v>472.43714325282644</v>
      </c>
      <c r="DN98" s="307">
        <v>506.98765396818311</v>
      </c>
      <c r="DO98" s="307">
        <v>754.68474183825208</v>
      </c>
      <c r="DP98" s="307">
        <v>923.95181507765358</v>
      </c>
      <c r="DQ98" s="307">
        <v>1179.039229125488</v>
      </c>
      <c r="DR98" s="307">
        <v>1521.4631444631166</v>
      </c>
      <c r="DS98" s="307">
        <v>1890.3981396334843</v>
      </c>
      <c r="DT98" s="307">
        <v>3118.3094599134124</v>
      </c>
      <c r="DU98" s="307">
        <v>1138.4239286711443</v>
      </c>
      <c r="DV98" s="307">
        <v>839.07838631325342</v>
      </c>
      <c r="DW98" s="307">
        <v>837.14328529283057</v>
      </c>
      <c r="DX98" s="307">
        <v>1146.4544722643864</v>
      </c>
      <c r="DY98" s="307">
        <v>1465.5568838668623</v>
      </c>
      <c r="DZ98" s="307"/>
      <c r="EA98" s="307"/>
      <c r="EB98" s="307"/>
      <c r="EC98" s="307"/>
      <c r="ED98" s="307"/>
      <c r="EE98" s="307"/>
      <c r="EF98" s="307"/>
      <c r="EG98" s="307"/>
      <c r="EH98" s="307"/>
      <c r="EI98" s="307"/>
      <c r="EJ98" s="307">
        <v>600.15141664519479</v>
      </c>
      <c r="EK98" s="307">
        <v>614.67492791063557</v>
      </c>
      <c r="EL98" s="307">
        <v>52547.474936706989</v>
      </c>
    </row>
    <row r="99" spans="1:142" x14ac:dyDescent="0.25">
      <c r="A99" s="305" t="s">
        <v>1612</v>
      </c>
      <c r="B99" s="307">
        <v>35.233769525579959</v>
      </c>
      <c r="C99" s="307">
        <v>3.7321720861640522</v>
      </c>
      <c r="D99" s="307">
        <v>0.40792640581142797</v>
      </c>
      <c r="E99" s="307">
        <v>40.447913695322363</v>
      </c>
      <c r="F99" s="307">
        <v>58.923730117492497</v>
      </c>
      <c r="G99" s="307">
        <v>196.50887723177107</v>
      </c>
      <c r="H99" s="307">
        <v>14.486975722720253</v>
      </c>
      <c r="I99" s="307">
        <v>0.95599739706963982</v>
      </c>
      <c r="J99" s="307">
        <v>1.1466705926161316</v>
      </c>
      <c r="K99" s="307">
        <v>3.3827633711735723E-4</v>
      </c>
      <c r="L99" s="307">
        <v>67.119864242424512</v>
      </c>
      <c r="M99" s="307">
        <v>32.385527491582152</v>
      </c>
      <c r="N99" s="307">
        <v>2.3031543089948494</v>
      </c>
      <c r="O99" s="307">
        <v>11.945934478810283</v>
      </c>
      <c r="P99" s="307">
        <v>0.45467936941203146</v>
      </c>
      <c r="Q99" s="307">
        <v>8.77740721302842</v>
      </c>
      <c r="R99" s="307">
        <v>35.513118887509563</v>
      </c>
      <c r="S99" s="307">
        <v>5.9376783362136472</v>
      </c>
      <c r="T99" s="307">
        <v>167.27015893374099</v>
      </c>
      <c r="U99" s="307">
        <v>284.73498240681488</v>
      </c>
      <c r="V99" s="307">
        <v>40.524787917455406</v>
      </c>
      <c r="W99" s="307">
        <v>11.34937211931013</v>
      </c>
      <c r="X99" s="307">
        <v>0.87315352658356338</v>
      </c>
      <c r="Y99" s="307">
        <v>9.1742071443542628</v>
      </c>
      <c r="Z99" s="307">
        <v>0.77674155704081382</v>
      </c>
      <c r="AA99" s="307">
        <v>4.1523033080832841</v>
      </c>
      <c r="AB99" s="307">
        <v>54.171655012329637</v>
      </c>
      <c r="AC99" s="307">
        <v>24.012894082366003</v>
      </c>
      <c r="AD99" s="307">
        <v>40.386092735213929</v>
      </c>
      <c r="AE99" s="307">
        <v>38.270381676404398</v>
      </c>
      <c r="AF99" s="307">
        <v>480.86332983783382</v>
      </c>
      <c r="AG99" s="307">
        <v>10.632431755378299</v>
      </c>
      <c r="AH99" s="307">
        <v>39.783950731377516</v>
      </c>
      <c r="AI99" s="307">
        <v>7.8311455848013471</v>
      </c>
      <c r="AJ99" s="307">
        <v>1.2364652525982129</v>
      </c>
      <c r="AK99" s="307">
        <v>25.252029838260167</v>
      </c>
      <c r="AL99" s="307">
        <v>4.552451162251268</v>
      </c>
      <c r="AM99" s="307">
        <v>4062.7041893959167</v>
      </c>
      <c r="AN99" s="307">
        <v>1418.4907439268331</v>
      </c>
      <c r="AO99" s="307">
        <v>59.643156530603058</v>
      </c>
      <c r="AP99" s="307">
        <v>61.806966506693385</v>
      </c>
      <c r="AQ99" s="307">
        <v>1.3574921318987045</v>
      </c>
      <c r="AR99" s="307">
        <v>13.951938526950988</v>
      </c>
      <c r="AS99" s="307">
        <v>131.22012058676086</v>
      </c>
      <c r="AT99" s="307">
        <v>208.59663173044768</v>
      </c>
      <c r="AU99" s="307">
        <v>652.63538701525738</v>
      </c>
      <c r="AV99" s="307">
        <v>492.73958639087061</v>
      </c>
      <c r="AW99" s="307">
        <v>11.605226620813877</v>
      </c>
      <c r="AX99" s="307">
        <v>90278.119832200566</v>
      </c>
      <c r="AY99" s="307">
        <v>191.47875321890683</v>
      </c>
      <c r="AZ99" s="307">
        <v>224.34170460196191</v>
      </c>
      <c r="BA99" s="307"/>
      <c r="BB99" s="307"/>
      <c r="BC99" s="307"/>
      <c r="BD99" s="307"/>
      <c r="BE99" s="307"/>
      <c r="BF99" s="307"/>
      <c r="BG99" s="307"/>
      <c r="BH99" s="307"/>
      <c r="BI99" s="307"/>
      <c r="BJ99" s="307"/>
      <c r="BK99" s="307"/>
      <c r="BL99" s="307"/>
      <c r="BM99" s="307"/>
      <c r="BN99" s="307"/>
      <c r="BO99" s="307"/>
      <c r="BP99" s="307"/>
      <c r="BQ99" s="307"/>
      <c r="BR99" s="307"/>
      <c r="BS99" s="307"/>
      <c r="BT99" s="307"/>
      <c r="BU99" s="307"/>
      <c r="BV99" s="307"/>
      <c r="BW99" s="307"/>
      <c r="BX99" s="307"/>
      <c r="BY99" s="307"/>
      <c r="BZ99" s="307"/>
      <c r="CA99" s="307"/>
      <c r="CB99" s="307"/>
      <c r="CC99" s="307"/>
      <c r="CD99" s="307"/>
      <c r="CE99" s="307"/>
      <c r="CF99" s="307"/>
      <c r="CG99" s="307"/>
      <c r="CH99" s="307"/>
      <c r="CI99" s="307"/>
      <c r="CJ99" s="307"/>
      <c r="CK99" s="307"/>
      <c r="CL99" s="307"/>
      <c r="CM99" s="307"/>
      <c r="CN99" s="307"/>
      <c r="CO99" s="307"/>
      <c r="CP99" s="307"/>
      <c r="CQ99" s="307"/>
      <c r="CR99" s="307"/>
      <c r="CS99" s="307"/>
      <c r="CT99" s="307"/>
      <c r="CU99" s="307"/>
      <c r="CV99" s="307"/>
      <c r="CW99" s="307"/>
      <c r="CX99" s="307"/>
      <c r="CY99" s="307"/>
      <c r="CZ99" s="307"/>
      <c r="DA99" s="307"/>
      <c r="DB99" s="307"/>
      <c r="DC99" s="307"/>
      <c r="DD99" s="307"/>
      <c r="DE99" s="307"/>
      <c r="DF99" s="307"/>
      <c r="DG99" s="307"/>
      <c r="DH99" s="307"/>
      <c r="DI99" s="307"/>
      <c r="DJ99" s="307"/>
      <c r="DK99" s="307"/>
      <c r="DL99" s="307">
        <v>10.027876534175835</v>
      </c>
      <c r="DM99" s="307">
        <v>20.61368883756986</v>
      </c>
      <c r="DN99" s="307">
        <v>50.36798872119892</v>
      </c>
      <c r="DO99" s="307">
        <v>44.124149804682979</v>
      </c>
      <c r="DP99" s="307">
        <v>66.874540165535251</v>
      </c>
      <c r="DQ99" s="307">
        <v>94.265956986105053</v>
      </c>
      <c r="DR99" s="307">
        <v>191.49314822308256</v>
      </c>
      <c r="DS99" s="307">
        <v>266.51108257851683</v>
      </c>
      <c r="DT99" s="307">
        <v>703.29313458219735</v>
      </c>
      <c r="DU99" s="307">
        <v>158.42603242167391</v>
      </c>
      <c r="DV99" s="307">
        <v>226.5344201917394</v>
      </c>
      <c r="DW99" s="307">
        <v>205.06547187291437</v>
      </c>
      <c r="DX99" s="307">
        <v>350.41271968656855</v>
      </c>
      <c r="DY99" s="307">
        <v>404.7020142858961</v>
      </c>
      <c r="DZ99" s="307"/>
      <c r="EA99" s="307"/>
      <c r="EB99" s="307"/>
      <c r="EC99" s="307"/>
      <c r="ED99" s="307"/>
      <c r="EE99" s="307"/>
      <c r="EF99" s="307"/>
      <c r="EG99" s="307"/>
      <c r="EH99" s="307">
        <v>262214.4875590154</v>
      </c>
      <c r="EI99" s="307">
        <v>13967.378728974796</v>
      </c>
      <c r="EJ99" s="307">
        <v>250.4566248036862</v>
      </c>
      <c r="EK99" s="307">
        <v>730.95663662462596</v>
      </c>
      <c r="EL99" s="307">
        <v>379526.81377365591</v>
      </c>
    </row>
    <row r="100" spans="1:142" x14ac:dyDescent="0.25">
      <c r="A100" s="305" t="s">
        <v>1611</v>
      </c>
      <c r="B100" s="307">
        <v>99.512831106020968</v>
      </c>
      <c r="C100" s="307">
        <v>10.437447458604989</v>
      </c>
      <c r="D100" s="307">
        <v>0.9533944655282518</v>
      </c>
      <c r="E100" s="307">
        <v>19.289348375119282</v>
      </c>
      <c r="F100" s="307">
        <v>21.127108776419192</v>
      </c>
      <c r="G100" s="307">
        <v>39.199880361905038</v>
      </c>
      <c r="H100" s="307">
        <v>6.8458536533812646</v>
      </c>
      <c r="I100" s="307">
        <v>0.45175876584704289</v>
      </c>
      <c r="J100" s="307">
        <v>0.54186182236605585</v>
      </c>
      <c r="K100" s="307">
        <v>5.2118632069377078E-4</v>
      </c>
      <c r="L100" s="307">
        <v>161.83538120219299</v>
      </c>
      <c r="M100" s="307">
        <v>107.79330288417442</v>
      </c>
      <c r="N100" s="307">
        <v>29.041153693313191</v>
      </c>
      <c r="O100" s="307">
        <v>18.624212675072663</v>
      </c>
      <c r="P100" s="307">
        <v>4.4860097622988748</v>
      </c>
      <c r="Q100" s="307">
        <v>7.3547552306125148</v>
      </c>
      <c r="R100" s="307">
        <v>29.39760909889355</v>
      </c>
      <c r="S100" s="307">
        <v>123.23327839267833</v>
      </c>
      <c r="T100" s="307">
        <v>61.243678381985177</v>
      </c>
      <c r="U100" s="307">
        <v>20.819981973209497</v>
      </c>
      <c r="V100" s="307">
        <v>62.437016114037341</v>
      </c>
      <c r="W100" s="307">
        <v>96.11106361542322</v>
      </c>
      <c r="X100" s="307">
        <v>7.550611559356148</v>
      </c>
      <c r="Y100" s="307">
        <v>28.066357173951936</v>
      </c>
      <c r="Z100" s="307">
        <v>4.9740278549112551</v>
      </c>
      <c r="AA100" s="307">
        <v>24.756908396825146</v>
      </c>
      <c r="AB100" s="307">
        <v>137.52355263064302</v>
      </c>
      <c r="AC100" s="307">
        <v>29.342863432730894</v>
      </c>
      <c r="AD100" s="307">
        <v>50.327192873413878</v>
      </c>
      <c r="AE100" s="307">
        <v>48.608835000525673</v>
      </c>
      <c r="AF100" s="307">
        <v>35.54913378923257</v>
      </c>
      <c r="AG100" s="307">
        <v>11.535290712979663</v>
      </c>
      <c r="AH100" s="307">
        <v>142.24090773976562</v>
      </c>
      <c r="AI100" s="307">
        <v>21.587594232129131</v>
      </c>
      <c r="AJ100" s="307">
        <v>20.718290350528431</v>
      </c>
      <c r="AK100" s="307">
        <v>13.131016371253365</v>
      </c>
      <c r="AL100" s="307">
        <v>35.923166192267566</v>
      </c>
      <c r="AM100" s="307">
        <v>6.2393101718557356</v>
      </c>
      <c r="AN100" s="307">
        <v>72.147597767951922</v>
      </c>
      <c r="AO100" s="307">
        <v>1428.9442172322017</v>
      </c>
      <c r="AP100" s="307">
        <v>82.214584839786838</v>
      </c>
      <c r="AQ100" s="307">
        <v>8.9697523535864541</v>
      </c>
      <c r="AR100" s="307">
        <v>103.54201549355656</v>
      </c>
      <c r="AS100" s="307">
        <v>171.29507776856741</v>
      </c>
      <c r="AT100" s="307">
        <v>364.52518303876184</v>
      </c>
      <c r="AU100" s="307">
        <v>1140.4883767094148</v>
      </c>
      <c r="AV100" s="307">
        <v>1070.4548689424341</v>
      </c>
      <c r="AW100" s="307">
        <v>73.87700701656496</v>
      </c>
      <c r="AX100" s="307">
        <v>44806.50613729949</v>
      </c>
      <c r="AY100" s="307">
        <v>208.56180510463932</v>
      </c>
      <c r="AZ100" s="307">
        <v>372.98460299460874</v>
      </c>
      <c r="BA100" s="307"/>
      <c r="BB100" s="307"/>
      <c r="BC100" s="307"/>
      <c r="BD100" s="307"/>
      <c r="BE100" s="307"/>
      <c r="BF100" s="307"/>
      <c r="BG100" s="307"/>
      <c r="BH100" s="307"/>
      <c r="BI100" s="307"/>
      <c r="BJ100" s="307"/>
      <c r="BK100" s="307"/>
      <c r="BL100" s="307"/>
      <c r="BM100" s="307"/>
      <c r="BN100" s="307"/>
      <c r="BO100" s="307"/>
      <c r="BP100" s="307"/>
      <c r="BQ100" s="307"/>
      <c r="BR100" s="307"/>
      <c r="BS100" s="307"/>
      <c r="BT100" s="307"/>
      <c r="BU100" s="307"/>
      <c r="BV100" s="307"/>
      <c r="BW100" s="307"/>
      <c r="BX100" s="307"/>
      <c r="BY100" s="307"/>
      <c r="BZ100" s="307"/>
      <c r="CA100" s="307"/>
      <c r="CB100" s="307"/>
      <c r="CC100" s="307"/>
      <c r="CD100" s="307"/>
      <c r="CE100" s="307"/>
      <c r="CF100" s="307"/>
      <c r="CG100" s="307"/>
      <c r="CH100" s="307"/>
      <c r="CI100" s="307"/>
      <c r="CJ100" s="307"/>
      <c r="CK100" s="307"/>
      <c r="CL100" s="307"/>
      <c r="CM100" s="307"/>
      <c r="CN100" s="307"/>
      <c r="CO100" s="307"/>
      <c r="CP100" s="307"/>
      <c r="CQ100" s="307"/>
      <c r="CR100" s="307"/>
      <c r="CS100" s="307"/>
      <c r="CT100" s="307"/>
      <c r="CU100" s="307"/>
      <c r="CV100" s="307"/>
      <c r="CW100" s="307"/>
      <c r="CX100" s="307"/>
      <c r="CY100" s="307"/>
      <c r="CZ100" s="307"/>
      <c r="DA100" s="307"/>
      <c r="DB100" s="307"/>
      <c r="DC100" s="307">
        <v>651295.79845068359</v>
      </c>
      <c r="DD100" s="307"/>
      <c r="DE100" s="307"/>
      <c r="DF100" s="307"/>
      <c r="DG100" s="307"/>
      <c r="DH100" s="307"/>
      <c r="DI100" s="307"/>
      <c r="DJ100" s="307"/>
      <c r="DK100" s="307"/>
      <c r="DL100" s="307"/>
      <c r="DM100" s="307"/>
      <c r="DN100" s="307"/>
      <c r="DO100" s="307"/>
      <c r="DP100" s="307"/>
      <c r="DQ100" s="307"/>
      <c r="DR100" s="307"/>
      <c r="DS100" s="307"/>
      <c r="DT100" s="307"/>
      <c r="DU100" s="307"/>
      <c r="DV100" s="307"/>
      <c r="DW100" s="307"/>
      <c r="DX100" s="307"/>
      <c r="DY100" s="307"/>
      <c r="DZ100" s="307"/>
      <c r="EA100" s="307"/>
      <c r="EB100" s="307"/>
      <c r="EC100" s="307"/>
      <c r="ED100" s="307"/>
      <c r="EE100" s="307"/>
      <c r="EF100" s="307"/>
      <c r="EG100" s="307"/>
      <c r="EH100" s="307"/>
      <c r="EI100" s="307"/>
      <c r="EJ100" s="307">
        <v>255.14911535385843</v>
      </c>
      <c r="EK100" s="307">
        <v>4800.5302675603534</v>
      </c>
      <c r="EL100" s="307">
        <v>707794.80156763713</v>
      </c>
    </row>
    <row r="101" spans="1:142" x14ac:dyDescent="0.25">
      <c r="A101" s="305" t="s">
        <v>1610</v>
      </c>
      <c r="B101" s="307">
        <v>6.8302973710460586</v>
      </c>
      <c r="C101" s="307"/>
      <c r="D101" s="307"/>
      <c r="E101" s="307">
        <v>55.068768027799194</v>
      </c>
      <c r="F101" s="307">
        <v>20.914929418186667</v>
      </c>
      <c r="G101" s="307">
        <v>147.58441460443487</v>
      </c>
      <c r="H101" s="307">
        <v>24.754199663202417</v>
      </c>
      <c r="I101" s="307">
        <v>1.633532829591851</v>
      </c>
      <c r="J101" s="307">
        <v>1.9593401232132708</v>
      </c>
      <c r="K101" s="307">
        <v>5.9119331773188285E-4</v>
      </c>
      <c r="L101" s="307">
        <v>108.76369821391245</v>
      </c>
      <c r="M101" s="307">
        <v>53.342188109180363</v>
      </c>
      <c r="N101" s="307">
        <v>15.58029083841169</v>
      </c>
      <c r="O101" s="307">
        <v>13.190090354079041</v>
      </c>
      <c r="P101" s="307">
        <v>3.6013925483835556</v>
      </c>
      <c r="Q101" s="307">
        <v>5.8560687207653306</v>
      </c>
      <c r="R101" s="307">
        <v>33.760294363998078</v>
      </c>
      <c r="S101" s="307">
        <v>47.942652282366979</v>
      </c>
      <c r="T101" s="307">
        <v>83.507969839262614</v>
      </c>
      <c r="U101" s="307">
        <v>34.608675514970408</v>
      </c>
      <c r="V101" s="307">
        <v>70.823705918837916</v>
      </c>
      <c r="W101" s="307">
        <v>97.3020661884199</v>
      </c>
      <c r="X101" s="307">
        <v>13.847801375967183</v>
      </c>
      <c r="Y101" s="307">
        <v>112.72312002445304</v>
      </c>
      <c r="Z101" s="307">
        <v>7.8455864167045224</v>
      </c>
      <c r="AA101" s="307">
        <v>40.921052779058655</v>
      </c>
      <c r="AB101" s="307">
        <v>30.153336774298829</v>
      </c>
      <c r="AC101" s="307">
        <v>10.918515319943934</v>
      </c>
      <c r="AD101" s="307">
        <v>67.258316864963291</v>
      </c>
      <c r="AE101" s="307">
        <v>115.22894375126199</v>
      </c>
      <c r="AF101" s="307">
        <v>72.489083446518407</v>
      </c>
      <c r="AG101" s="307">
        <v>38.209848574020953</v>
      </c>
      <c r="AH101" s="307">
        <v>143.16368652705043</v>
      </c>
      <c r="AI101" s="307">
        <v>7.5057269598454575</v>
      </c>
      <c r="AJ101" s="307">
        <v>13.173532291948224</v>
      </c>
      <c r="AK101" s="307">
        <v>34.111111630110798</v>
      </c>
      <c r="AL101" s="307">
        <v>134.14529477365224</v>
      </c>
      <c r="AM101" s="307">
        <v>16.28631540491498</v>
      </c>
      <c r="AN101" s="307">
        <v>645.45260840946048</v>
      </c>
      <c r="AO101" s="307">
        <v>2364.4674324829457</v>
      </c>
      <c r="AP101" s="307">
        <v>339.84348693087463</v>
      </c>
      <c r="AQ101" s="307">
        <v>18.763569569625911</v>
      </c>
      <c r="AR101" s="307">
        <v>587.5084733789173</v>
      </c>
      <c r="AS101" s="307">
        <v>524.16115902072522</v>
      </c>
      <c r="AT101" s="307">
        <v>870.42056028463855</v>
      </c>
      <c r="AU101" s="307">
        <v>2723.2810736918755</v>
      </c>
      <c r="AV101" s="307">
        <v>2521.3068355764544</v>
      </c>
      <c r="AW101" s="307">
        <v>66.285754106791515</v>
      </c>
      <c r="AX101" s="307">
        <v>5817.708784850036</v>
      </c>
      <c r="AY101" s="307">
        <v>993.7443286389547</v>
      </c>
      <c r="AZ101" s="307">
        <v>11987.938910287858</v>
      </c>
      <c r="BA101" s="307"/>
      <c r="BB101" s="307"/>
      <c r="BC101" s="307"/>
      <c r="BD101" s="307"/>
      <c r="BE101" s="307"/>
      <c r="BF101" s="307"/>
      <c r="BG101" s="307"/>
      <c r="BH101" s="307"/>
      <c r="BI101" s="307"/>
      <c r="BJ101" s="307"/>
      <c r="BK101" s="307"/>
      <c r="BL101" s="307"/>
      <c r="BM101" s="307"/>
      <c r="BN101" s="307"/>
      <c r="BO101" s="307"/>
      <c r="BP101" s="307"/>
      <c r="BQ101" s="307"/>
      <c r="BR101" s="307"/>
      <c r="BS101" s="307"/>
      <c r="BT101" s="307"/>
      <c r="BU101" s="307"/>
      <c r="BV101" s="307"/>
      <c r="BW101" s="307"/>
      <c r="BX101" s="307"/>
      <c r="BY101" s="307"/>
      <c r="BZ101" s="307"/>
      <c r="CA101" s="307"/>
      <c r="CB101" s="307"/>
      <c r="CC101" s="307"/>
      <c r="CD101" s="307"/>
      <c r="CE101" s="307"/>
      <c r="CF101" s="307"/>
      <c r="CG101" s="307"/>
      <c r="CH101" s="307"/>
      <c r="CI101" s="307"/>
      <c r="CJ101" s="307"/>
      <c r="CK101" s="307"/>
      <c r="CL101" s="307"/>
      <c r="CM101" s="307"/>
      <c r="CN101" s="307"/>
      <c r="CO101" s="307"/>
      <c r="CP101" s="307"/>
      <c r="CQ101" s="307"/>
      <c r="CR101" s="307"/>
      <c r="CS101" s="307"/>
      <c r="CT101" s="307"/>
      <c r="CU101" s="307"/>
      <c r="CV101" s="307"/>
      <c r="CW101" s="307"/>
      <c r="CX101" s="307"/>
      <c r="CY101" s="307"/>
      <c r="CZ101" s="307"/>
      <c r="DA101" s="307"/>
      <c r="DB101" s="307"/>
      <c r="DC101" s="307"/>
      <c r="DD101" s="307"/>
      <c r="DE101" s="307"/>
      <c r="DF101" s="307"/>
      <c r="DG101" s="307"/>
      <c r="DH101" s="307"/>
      <c r="DI101" s="307"/>
      <c r="DJ101" s="307"/>
      <c r="DK101" s="307"/>
      <c r="DL101" s="307">
        <v>413.67388155218111</v>
      </c>
      <c r="DM101" s="307">
        <v>928.97081794699159</v>
      </c>
      <c r="DN101" s="307">
        <v>1435.54959418674</v>
      </c>
      <c r="DO101" s="307">
        <v>1773.9607748934091</v>
      </c>
      <c r="DP101" s="307">
        <v>2343.9885857913291</v>
      </c>
      <c r="DQ101" s="307">
        <v>3079.0897279348828</v>
      </c>
      <c r="DR101" s="307">
        <v>4433.6120587327741</v>
      </c>
      <c r="DS101" s="307">
        <v>6530.8294266876082</v>
      </c>
      <c r="DT101" s="307">
        <v>10591.093723997999</v>
      </c>
      <c r="DU101" s="307">
        <v>3769.6482340865646</v>
      </c>
      <c r="DV101" s="307">
        <v>4009.4955795886422</v>
      </c>
      <c r="DW101" s="307">
        <v>3818.5154957367504</v>
      </c>
      <c r="DX101" s="307">
        <v>5173.8949113906592</v>
      </c>
      <c r="DY101" s="307">
        <v>7177.4894536261145</v>
      </c>
      <c r="DZ101" s="307"/>
      <c r="EA101" s="307"/>
      <c r="EB101" s="307"/>
      <c r="EC101" s="307"/>
      <c r="ED101" s="307"/>
      <c r="EE101" s="307"/>
      <c r="EF101" s="307"/>
      <c r="EG101" s="307"/>
      <c r="EH101" s="307"/>
      <c r="EI101" s="307"/>
      <c r="EJ101" s="307">
        <v>1256.3984954866874</v>
      </c>
      <c r="EK101" s="307">
        <v>22369.227343869505</v>
      </c>
      <c r="EL101" s="307">
        <v>110251.32752177611</v>
      </c>
    </row>
    <row r="102" spans="1:142" x14ac:dyDescent="0.25">
      <c r="A102" s="305" t="s">
        <v>1609</v>
      </c>
      <c r="B102" s="307"/>
      <c r="C102" s="307"/>
      <c r="D102" s="307"/>
      <c r="E102" s="307">
        <v>274.65761388092113</v>
      </c>
      <c r="F102" s="307"/>
      <c r="G102" s="307">
        <v>347.87627275216727</v>
      </c>
      <c r="H102" s="307">
        <v>65.251928751281426</v>
      </c>
      <c r="I102" s="307">
        <v>4.3059831971807352</v>
      </c>
      <c r="J102" s="307">
        <v>5.1648093599847567</v>
      </c>
      <c r="K102" s="307">
        <v>1.8988576729966249E-3</v>
      </c>
      <c r="L102" s="307">
        <v>730.39959667508583</v>
      </c>
      <c r="M102" s="307">
        <v>336.18256309388687</v>
      </c>
      <c r="N102" s="307">
        <v>163.47889125714795</v>
      </c>
      <c r="O102" s="307">
        <v>150.86297890521013</v>
      </c>
      <c r="P102" s="307">
        <v>16.45433640748697</v>
      </c>
      <c r="Q102" s="307">
        <v>48.516917202970752</v>
      </c>
      <c r="R102" s="307">
        <v>170.13663489580847</v>
      </c>
      <c r="S102" s="307">
        <v>175.30408125440675</v>
      </c>
      <c r="T102" s="307">
        <v>457.87066988686206</v>
      </c>
      <c r="U102" s="307">
        <v>57.704080361573681</v>
      </c>
      <c r="V102" s="307">
        <v>227.479122954216</v>
      </c>
      <c r="W102" s="307">
        <v>664.62543849573137</v>
      </c>
      <c r="X102" s="307">
        <v>66.440922750047633</v>
      </c>
      <c r="Y102" s="307">
        <v>167.14345824641782</v>
      </c>
      <c r="Z102" s="307">
        <v>47.961069385116396</v>
      </c>
      <c r="AA102" s="307">
        <v>138.42546828403809</v>
      </c>
      <c r="AB102" s="307">
        <v>559.35508094795694</v>
      </c>
      <c r="AC102" s="307">
        <v>81.249562603043771</v>
      </c>
      <c r="AD102" s="307">
        <v>320.09558607081073</v>
      </c>
      <c r="AE102" s="307">
        <v>453.60601851144122</v>
      </c>
      <c r="AF102" s="307">
        <v>175.80805627719573</v>
      </c>
      <c r="AG102" s="307">
        <v>178.66959225647736</v>
      </c>
      <c r="AH102" s="307">
        <v>559.36335943818551</v>
      </c>
      <c r="AI102" s="307">
        <v>96.854648238145415</v>
      </c>
      <c r="AJ102" s="307">
        <v>56.301042951949114</v>
      </c>
      <c r="AK102" s="307">
        <v>68.396469022929935</v>
      </c>
      <c r="AL102" s="307">
        <v>8.6620528215840622</v>
      </c>
      <c r="AM102" s="307">
        <v>262.12416590492984</v>
      </c>
      <c r="AN102" s="307">
        <v>587.02777416386107</v>
      </c>
      <c r="AO102" s="307">
        <v>6246.5354393371981</v>
      </c>
      <c r="AP102" s="307">
        <v>1621.9880987614401</v>
      </c>
      <c r="AQ102" s="307">
        <v>44.795651351637183</v>
      </c>
      <c r="AR102" s="307">
        <v>774.74218943358221</v>
      </c>
      <c r="AS102" s="307">
        <v>1139.8172373216444</v>
      </c>
      <c r="AT102" s="307"/>
      <c r="AU102" s="307">
        <v>8510.0935201177308</v>
      </c>
      <c r="AV102" s="307">
        <v>5491.4486182228402</v>
      </c>
      <c r="AW102" s="307">
        <v>302.86629298445683</v>
      </c>
      <c r="AX102" s="307">
        <v>8929.4790760022552</v>
      </c>
      <c r="AY102" s="307">
        <v>4435.8506286162637</v>
      </c>
      <c r="AZ102" s="307">
        <v>1717.2002134910374</v>
      </c>
      <c r="BA102" s="307"/>
      <c r="BB102" s="307"/>
      <c r="BC102" s="307"/>
      <c r="BD102" s="307"/>
      <c r="BE102" s="307"/>
      <c r="BF102" s="307"/>
      <c r="BG102" s="307"/>
      <c r="BH102" s="307"/>
      <c r="BI102" s="307"/>
      <c r="BJ102" s="307"/>
      <c r="BK102" s="307"/>
      <c r="BL102" s="307"/>
      <c r="BM102" s="307"/>
      <c r="BN102" s="307"/>
      <c r="BO102" s="307"/>
      <c r="BP102" s="307"/>
      <c r="BQ102" s="307"/>
      <c r="BR102" s="307"/>
      <c r="BS102" s="307"/>
      <c r="BT102" s="307"/>
      <c r="BU102" s="307"/>
      <c r="BV102" s="307"/>
      <c r="BW102" s="307"/>
      <c r="BX102" s="307"/>
      <c r="BY102" s="307"/>
      <c r="BZ102" s="307"/>
      <c r="CA102" s="307"/>
      <c r="CB102" s="307"/>
      <c r="CC102" s="307"/>
      <c r="CD102" s="307"/>
      <c r="CE102" s="307"/>
      <c r="CF102" s="307"/>
      <c r="CG102" s="307"/>
      <c r="CH102" s="307"/>
      <c r="CI102" s="307"/>
      <c r="CJ102" s="307"/>
      <c r="CK102" s="307"/>
      <c r="CL102" s="307"/>
      <c r="CM102" s="307"/>
      <c r="CN102" s="307"/>
      <c r="CO102" s="307"/>
      <c r="CP102" s="307"/>
      <c r="CQ102" s="307"/>
      <c r="CR102" s="307"/>
      <c r="CS102" s="307"/>
      <c r="CT102" s="307"/>
      <c r="CU102" s="307"/>
      <c r="CV102" s="307"/>
      <c r="CW102" s="307"/>
      <c r="CX102" s="307"/>
      <c r="CY102" s="307"/>
      <c r="CZ102" s="307"/>
      <c r="DA102" s="307"/>
      <c r="DB102" s="307"/>
      <c r="DC102" s="307"/>
      <c r="DD102" s="307"/>
      <c r="DE102" s="307"/>
      <c r="DF102" s="307"/>
      <c r="DG102" s="307"/>
      <c r="DH102" s="307"/>
      <c r="DI102" s="307"/>
      <c r="DJ102" s="307"/>
      <c r="DK102" s="307"/>
      <c r="DL102" s="307">
        <v>2612.057874121776</v>
      </c>
      <c r="DM102" s="307">
        <v>4079.2857157746639</v>
      </c>
      <c r="DN102" s="307">
        <v>5244.7959202817119</v>
      </c>
      <c r="DO102" s="307">
        <v>6672.5459208028469</v>
      </c>
      <c r="DP102" s="307">
        <v>7692.3673497465115</v>
      </c>
      <c r="DQ102" s="307">
        <v>9382.3571462817308</v>
      </c>
      <c r="DR102" s="307">
        <v>11130.622453042302</v>
      </c>
      <c r="DS102" s="307">
        <v>11101.484697929622</v>
      </c>
      <c r="DT102" s="307">
        <v>9149.2551053803199</v>
      </c>
      <c r="DU102" s="307">
        <v>1576.3525515957808</v>
      </c>
      <c r="DV102" s="307">
        <v>1477.2841842126822</v>
      </c>
      <c r="DW102" s="307">
        <v>1794.8857149408527</v>
      </c>
      <c r="DX102" s="307">
        <v>2121.2285722028264</v>
      </c>
      <c r="DY102" s="307">
        <v>3525.6683686338174</v>
      </c>
      <c r="DZ102" s="307"/>
      <c r="EA102" s="307"/>
      <c r="EB102" s="307"/>
      <c r="EC102" s="307"/>
      <c r="ED102" s="307"/>
      <c r="EE102" s="307"/>
      <c r="EF102" s="307"/>
      <c r="EG102" s="307"/>
      <c r="EH102" s="307"/>
      <c r="EI102" s="307"/>
      <c r="EJ102" s="307">
        <v>121.15257680663895</v>
      </c>
      <c r="EK102" s="307">
        <v>19567.115441217124</v>
      </c>
      <c r="EL102" s="307">
        <v>144187.03470467505</v>
      </c>
    </row>
    <row r="103" spans="1:142" x14ac:dyDescent="0.25">
      <c r="A103" s="305" t="s">
        <v>1608</v>
      </c>
      <c r="B103" s="307">
        <v>22170.59653104459</v>
      </c>
      <c r="C103" s="307">
        <v>2349.3925147359255</v>
      </c>
      <c r="D103" s="307">
        <v>250.15372137519728</v>
      </c>
      <c r="E103" s="307">
        <v>2838.6637288084271</v>
      </c>
      <c r="F103" s="307">
        <v>768.16067804426996</v>
      </c>
      <c r="G103" s="307">
        <v>2410.0922036549136</v>
      </c>
      <c r="H103" s="307">
        <v>904.3005418620412</v>
      </c>
      <c r="I103" s="307">
        <v>59.674909431438294</v>
      </c>
      <c r="J103" s="307">
        <v>71.5770398243843</v>
      </c>
      <c r="K103" s="307">
        <v>0.1637032606521116</v>
      </c>
      <c r="L103" s="307">
        <v>5360.1226286128076</v>
      </c>
      <c r="M103" s="307">
        <v>734.4517426753132</v>
      </c>
      <c r="N103" s="307">
        <v>300.5913378349569</v>
      </c>
      <c r="O103" s="307">
        <v>158.36674316479434</v>
      </c>
      <c r="P103" s="307">
        <v>26.765304044175686</v>
      </c>
      <c r="Q103" s="307">
        <v>105.88323449138349</v>
      </c>
      <c r="R103" s="307">
        <v>1142.9431193213111</v>
      </c>
      <c r="S103" s="307">
        <v>1467.4394284276079</v>
      </c>
      <c r="T103" s="307">
        <v>430.61120042072747</v>
      </c>
      <c r="U103" s="307">
        <v>1470.4001312162163</v>
      </c>
      <c r="V103" s="307">
        <v>19611.303515507847</v>
      </c>
      <c r="W103" s="307">
        <v>8450.5049732902226</v>
      </c>
      <c r="X103" s="307">
        <v>564.83988735326784</v>
      </c>
      <c r="Y103" s="307">
        <v>457.70788017696117</v>
      </c>
      <c r="Z103" s="307">
        <v>98.471430698098871</v>
      </c>
      <c r="AA103" s="307">
        <v>2627.3443708556974</v>
      </c>
      <c r="AB103" s="307">
        <v>18364.020987788837</v>
      </c>
      <c r="AC103" s="307">
        <v>107.3209429819333</v>
      </c>
      <c r="AD103" s="307">
        <v>404.82707662841324</v>
      </c>
      <c r="AE103" s="307">
        <v>375.87954867458154</v>
      </c>
      <c r="AF103" s="307">
        <v>1189.3724372220086</v>
      </c>
      <c r="AG103" s="307">
        <v>44.978099581884329</v>
      </c>
      <c r="AH103" s="307">
        <v>827.38195626595518</v>
      </c>
      <c r="AI103" s="307">
        <v>16.817540555849334</v>
      </c>
      <c r="AJ103" s="307">
        <v>582.32312346520735</v>
      </c>
      <c r="AK103" s="307">
        <v>317.45637293854116</v>
      </c>
      <c r="AL103" s="307">
        <v>5450</v>
      </c>
      <c r="AM103" s="307">
        <v>170.20197035507221</v>
      </c>
      <c r="AN103" s="307">
        <v>8718.5136319177818</v>
      </c>
      <c r="AO103" s="307">
        <v>28479.43081351999</v>
      </c>
      <c r="AP103" s="307">
        <v>297.69997895420619</v>
      </c>
      <c r="AQ103" s="307">
        <v>1.1574756662215337</v>
      </c>
      <c r="AR103" s="307">
        <v>62.11156689992346</v>
      </c>
      <c r="AS103" s="307">
        <v>10785.83097286476</v>
      </c>
      <c r="AT103" s="307"/>
      <c r="AU103" s="307">
        <v>2197.5921040299313</v>
      </c>
      <c r="AV103" s="307">
        <v>43028.297587766247</v>
      </c>
      <c r="AW103" s="307">
        <v>1121.0089389811751</v>
      </c>
      <c r="AX103" s="307">
        <v>29964.314177796034</v>
      </c>
      <c r="AY103" s="307">
        <v>13155.452089933398</v>
      </c>
      <c r="AZ103" s="307">
        <v>12825.548900335341</v>
      </c>
      <c r="BA103" s="307"/>
      <c r="BB103" s="307"/>
      <c r="BC103" s="307"/>
      <c r="BD103" s="307"/>
      <c r="BE103" s="307"/>
      <c r="BF103" s="307"/>
      <c r="BG103" s="307"/>
      <c r="BH103" s="307"/>
      <c r="BI103" s="307"/>
      <c r="BJ103" s="307"/>
      <c r="BK103" s="307"/>
      <c r="BL103" s="307"/>
      <c r="BM103" s="307"/>
      <c r="BN103" s="307"/>
      <c r="BO103" s="307"/>
      <c r="BP103" s="307"/>
      <c r="BQ103" s="307"/>
      <c r="BR103" s="307"/>
      <c r="BS103" s="307"/>
      <c r="BT103" s="307"/>
      <c r="BU103" s="307"/>
      <c r="BV103" s="307"/>
      <c r="BW103" s="307"/>
      <c r="BX103" s="307"/>
      <c r="BY103" s="307"/>
      <c r="BZ103" s="307"/>
      <c r="CA103" s="307"/>
      <c r="CB103" s="307"/>
      <c r="CC103" s="307"/>
      <c r="CD103" s="307"/>
      <c r="CE103" s="307"/>
      <c r="CF103" s="307"/>
      <c r="CG103" s="307"/>
      <c r="CH103" s="307"/>
      <c r="CI103" s="307"/>
      <c r="CJ103" s="307"/>
      <c r="CK103" s="307"/>
      <c r="CL103" s="307"/>
      <c r="CM103" s="307"/>
      <c r="CN103" s="307"/>
      <c r="CO103" s="307"/>
      <c r="CP103" s="307"/>
      <c r="CQ103" s="307"/>
      <c r="CR103" s="307"/>
      <c r="CS103" s="307"/>
      <c r="CT103" s="307"/>
      <c r="CU103" s="307"/>
      <c r="CV103" s="307"/>
      <c r="CW103" s="307"/>
      <c r="CX103" s="307"/>
      <c r="CY103" s="307"/>
      <c r="CZ103" s="307"/>
      <c r="DA103" s="307"/>
      <c r="DB103" s="307"/>
      <c r="DC103" s="307">
        <v>130063.45856301185</v>
      </c>
      <c r="DD103" s="307"/>
      <c r="DE103" s="307"/>
      <c r="DF103" s="307"/>
      <c r="DG103" s="307"/>
      <c r="DH103" s="307"/>
      <c r="DI103" s="307"/>
      <c r="DJ103" s="307"/>
      <c r="DK103" s="307"/>
      <c r="DL103" s="307">
        <v>19.293437269360908</v>
      </c>
      <c r="DM103" s="307">
        <v>21.714083911640824</v>
      </c>
      <c r="DN103" s="307">
        <v>17.820414481855824</v>
      </c>
      <c r="DO103" s="307">
        <v>32.221302995337481</v>
      </c>
      <c r="DP103" s="307">
        <v>36.673036019896735</v>
      </c>
      <c r="DQ103" s="307">
        <v>39.995716697487616</v>
      </c>
      <c r="DR103" s="307">
        <v>86.245360466850357</v>
      </c>
      <c r="DS103" s="307">
        <v>62.193634825608662</v>
      </c>
      <c r="DT103" s="307">
        <v>162.21372654705226</v>
      </c>
      <c r="DU103" s="307">
        <v>11.192028291271949</v>
      </c>
      <c r="DV103" s="307">
        <v>34.508177993916391</v>
      </c>
      <c r="DW103" s="307">
        <v>141.32800451862735</v>
      </c>
      <c r="DX103" s="307">
        <v>56.01088328341752</v>
      </c>
      <c r="DY103" s="307">
        <v>34.555308746165139</v>
      </c>
      <c r="DZ103" s="307"/>
      <c r="EA103" s="307"/>
      <c r="EB103" s="307"/>
      <c r="EC103" s="307"/>
      <c r="ED103" s="307"/>
      <c r="EE103" s="307"/>
      <c r="EF103" s="307"/>
      <c r="EG103" s="307"/>
      <c r="EH103" s="307"/>
      <c r="EI103" s="307"/>
      <c r="EJ103" s="307">
        <v>258.61618985614479</v>
      </c>
      <c r="EK103" s="307">
        <v>17289.694908225585</v>
      </c>
      <c r="EL103" s="307">
        <v>401685.79557239852</v>
      </c>
    </row>
    <row r="104" spans="1:142" x14ac:dyDescent="0.25">
      <c r="A104" s="305" t="s">
        <v>1607</v>
      </c>
      <c r="B104" s="307"/>
      <c r="C104" s="307"/>
      <c r="D104" s="307"/>
      <c r="E104" s="307">
        <v>50.793673242381296</v>
      </c>
      <c r="F104" s="307"/>
      <c r="G104" s="307">
        <v>64.334330577167094</v>
      </c>
      <c r="H104" s="307">
        <v>12.067333945691013</v>
      </c>
      <c r="I104" s="307">
        <v>0.79632492401833821</v>
      </c>
      <c r="J104" s="307">
        <v>0.9551515258703025</v>
      </c>
      <c r="K104" s="307">
        <v>3.511643271531345E-4</v>
      </c>
      <c r="L104" s="307">
        <v>135.07609683802943</v>
      </c>
      <c r="M104" s="307">
        <v>62.171760026213832</v>
      </c>
      <c r="N104" s="307">
        <v>30.232889841322429</v>
      </c>
      <c r="O104" s="307">
        <v>27.899772180376473</v>
      </c>
      <c r="P104" s="307">
        <v>3.0429747608033373</v>
      </c>
      <c r="Q104" s="307">
        <v>8.9724526632048658</v>
      </c>
      <c r="R104" s="307">
        <v>31.464136447361469</v>
      </c>
      <c r="S104" s="307">
        <v>32.419775645297449</v>
      </c>
      <c r="T104" s="307">
        <v>84.676091315592075</v>
      </c>
      <c r="U104" s="307">
        <v>10.67147624718182</v>
      </c>
      <c r="V104" s="307">
        <v>42.068741796502401</v>
      </c>
      <c r="W104" s="307">
        <v>122.91218464514446</v>
      </c>
      <c r="X104" s="307">
        <v>12.287219976910473</v>
      </c>
      <c r="Y104" s="307">
        <v>30.910594768550446</v>
      </c>
      <c r="Z104" s="307">
        <v>8.8696572153247075</v>
      </c>
      <c r="AA104" s="307">
        <v>25.599647157392926</v>
      </c>
      <c r="AB104" s="307">
        <v>103.44406188737324</v>
      </c>
      <c r="AC104" s="307">
        <v>15.025848639807487</v>
      </c>
      <c r="AD104" s="307">
        <v>59.196722695837515</v>
      </c>
      <c r="AE104" s="307">
        <v>83.887410072079518</v>
      </c>
      <c r="AF104" s="307">
        <v>32.512978022861844</v>
      </c>
      <c r="AG104" s="307">
        <v>33.042174797890858</v>
      </c>
      <c r="AH104" s="307">
        <v>103.44559286596754</v>
      </c>
      <c r="AI104" s="307">
        <v>17.911767618963779</v>
      </c>
      <c r="AJ104" s="307">
        <v>10.412006201096714</v>
      </c>
      <c r="AK104" s="307">
        <v>12.648867982919164</v>
      </c>
      <c r="AL104" s="307">
        <v>1.6019125572777375</v>
      </c>
      <c r="AM104" s="307">
        <v>48.475806090994432</v>
      </c>
      <c r="AN104" s="307">
        <v>108.5616980492992</v>
      </c>
      <c r="AO104" s="307">
        <v>1155.2000161925541</v>
      </c>
      <c r="AP104" s="307">
        <v>299.9615860903786</v>
      </c>
      <c r="AQ104" s="307">
        <v>8.2842621592903516</v>
      </c>
      <c r="AR104" s="307">
        <v>143.27657282509438</v>
      </c>
      <c r="AS104" s="307">
        <v>210.791550579953</v>
      </c>
      <c r="AT104" s="307"/>
      <c r="AU104" s="307">
        <v>1573.8100372137289</v>
      </c>
      <c r="AV104" s="307">
        <v>1015.5583994196818</v>
      </c>
      <c r="AW104" s="307">
        <v>56.010431695709258</v>
      </c>
      <c r="AX104" s="307">
        <v>1651.3689025485478</v>
      </c>
      <c r="AY104" s="307">
        <v>820.34189476222411</v>
      </c>
      <c r="AZ104" s="307">
        <v>317.56959256781056</v>
      </c>
      <c r="BA104" s="307"/>
      <c r="BB104" s="307"/>
      <c r="BC104" s="307"/>
      <c r="BD104" s="307"/>
      <c r="BE104" s="307"/>
      <c r="BF104" s="307"/>
      <c r="BG104" s="307"/>
      <c r="BH104" s="307"/>
      <c r="BI104" s="307"/>
      <c r="BJ104" s="307"/>
      <c r="BK104" s="307"/>
      <c r="BL104" s="307"/>
      <c r="BM104" s="307"/>
      <c r="BN104" s="307"/>
      <c r="BO104" s="307"/>
      <c r="BP104" s="307"/>
      <c r="BQ104" s="307"/>
      <c r="BR104" s="307"/>
      <c r="BS104" s="307"/>
      <c r="BT104" s="307"/>
      <c r="BU104" s="307"/>
      <c r="BV104" s="307"/>
      <c r="BW104" s="307"/>
      <c r="BX104" s="307"/>
      <c r="BY104" s="307"/>
      <c r="BZ104" s="307"/>
      <c r="CA104" s="307"/>
      <c r="CB104" s="307"/>
      <c r="CC104" s="307"/>
      <c r="CD104" s="307"/>
      <c r="CE104" s="307"/>
      <c r="CF104" s="307"/>
      <c r="CG104" s="307"/>
      <c r="CH104" s="307"/>
      <c r="CI104" s="307"/>
      <c r="CJ104" s="307"/>
      <c r="CK104" s="307"/>
      <c r="CL104" s="307"/>
      <c r="CM104" s="307"/>
      <c r="CN104" s="307"/>
      <c r="CO104" s="307"/>
      <c r="CP104" s="307"/>
      <c r="CQ104" s="307"/>
      <c r="CR104" s="307"/>
      <c r="CS104" s="307"/>
      <c r="CT104" s="307"/>
      <c r="CU104" s="307"/>
      <c r="CV104" s="307"/>
      <c r="CW104" s="307"/>
      <c r="CX104" s="307"/>
      <c r="CY104" s="307"/>
      <c r="CZ104" s="307"/>
      <c r="DA104" s="307"/>
      <c r="DB104" s="307"/>
      <c r="DC104" s="307"/>
      <c r="DD104" s="307"/>
      <c r="DE104" s="307"/>
      <c r="DF104" s="307"/>
      <c r="DG104" s="307"/>
      <c r="DH104" s="307"/>
      <c r="DI104" s="307"/>
      <c r="DJ104" s="307"/>
      <c r="DK104" s="307"/>
      <c r="DL104" s="307">
        <v>483.05966207750146</v>
      </c>
      <c r="DM104" s="307">
        <v>754.40073472423376</v>
      </c>
      <c r="DN104" s="307">
        <v>969.94380178830079</v>
      </c>
      <c r="DO104" s="307">
        <v>1233.9840589417829</v>
      </c>
      <c r="DP104" s="307">
        <v>1422.5842426228412</v>
      </c>
      <c r="DQ104" s="307">
        <v>1735.1216898657383</v>
      </c>
      <c r="DR104" s="307">
        <v>2058.4362904618388</v>
      </c>
      <c r="DS104" s="307">
        <v>2053.0477137852363</v>
      </c>
      <c r="DT104" s="307">
        <v>1692.0130764529247</v>
      </c>
      <c r="DU104" s="307">
        <v>291.52199820415035</v>
      </c>
      <c r="DV104" s="307">
        <v>273.20083750370475</v>
      </c>
      <c r="DW104" s="307">
        <v>331.93632327866294</v>
      </c>
      <c r="DX104" s="307">
        <v>392.28838205660173</v>
      </c>
      <c r="DY104" s="307">
        <v>652.01777786880211</v>
      </c>
      <c r="DZ104" s="307"/>
      <c r="EA104" s="307"/>
      <c r="EB104" s="307"/>
      <c r="EC104" s="307"/>
      <c r="ED104" s="307"/>
      <c r="EE104" s="307"/>
      <c r="EF104" s="307"/>
      <c r="EG104" s="307"/>
      <c r="EH104" s="307"/>
      <c r="EI104" s="307"/>
      <c r="EJ104" s="307">
        <v>22.405293309862216</v>
      </c>
      <c r="EK104" s="307">
        <v>3618.6350488286084</v>
      </c>
      <c r="EL104" s="307">
        <v>26665.159662212791</v>
      </c>
    </row>
    <row r="105" spans="1:142" x14ac:dyDescent="0.25">
      <c r="A105" s="305" t="s">
        <v>1606</v>
      </c>
      <c r="B105" s="307">
        <v>483.94130360353796</v>
      </c>
      <c r="C105" s="307">
        <v>51.282701151755099</v>
      </c>
      <c r="D105" s="307">
        <v>5.4603726090127598</v>
      </c>
      <c r="E105" s="307">
        <v>61.962546812307387</v>
      </c>
      <c r="F105" s="307">
        <v>16.767464032335916</v>
      </c>
      <c r="G105" s="307">
        <v>52.607658129915407</v>
      </c>
      <c r="H105" s="307">
        <v>19.739134328898576</v>
      </c>
      <c r="I105" s="307">
        <v>1.3025880211312759</v>
      </c>
      <c r="J105" s="307">
        <v>1.562388540704855</v>
      </c>
      <c r="K105" s="307">
        <v>3.5733260155269252E-3</v>
      </c>
      <c r="L105" s="307">
        <v>117.00112483367114</v>
      </c>
      <c r="M105" s="307">
        <v>16.031663076204776</v>
      </c>
      <c r="N105" s="307">
        <v>6.5613283648045631</v>
      </c>
      <c r="O105" s="307">
        <v>3.4568401453384925</v>
      </c>
      <c r="P105" s="307">
        <v>0.58423489473303492</v>
      </c>
      <c r="Q105" s="307">
        <v>2.3112265138093209</v>
      </c>
      <c r="R105" s="307">
        <v>24.948240898008375</v>
      </c>
      <c r="S105" s="307">
        <v>32.031368617352555</v>
      </c>
      <c r="T105" s="307">
        <v>9.3994108541955708</v>
      </c>
      <c r="U105" s="307">
        <v>32.095995041142977</v>
      </c>
      <c r="V105" s="307">
        <v>428.07687990578154</v>
      </c>
      <c r="W105" s="307">
        <v>184.4582028794679</v>
      </c>
      <c r="X105" s="307">
        <v>12.329363850460943</v>
      </c>
      <c r="Y105" s="307">
        <v>9.9908790407280108</v>
      </c>
      <c r="Z105" s="307">
        <v>2.14944115161786</v>
      </c>
      <c r="AA105" s="307">
        <v>57.349853354956906</v>
      </c>
      <c r="AB105" s="307">
        <v>400.85111123595618</v>
      </c>
      <c r="AC105" s="307">
        <v>2.3426089134729611</v>
      </c>
      <c r="AD105" s="307">
        <v>8.8365932293808704</v>
      </c>
      <c r="AE105" s="307">
        <v>8.2047246012877526</v>
      </c>
      <c r="AF105" s="307">
        <v>25.96170323759063</v>
      </c>
      <c r="AG105" s="307">
        <v>0.98178504645951814</v>
      </c>
      <c r="AH105" s="307">
        <v>18.060150160268435</v>
      </c>
      <c r="AI105" s="307">
        <v>0.36709443016595417</v>
      </c>
      <c r="AJ105" s="307">
        <v>12.71098912894062</v>
      </c>
      <c r="AK105" s="307">
        <v>6.9294595092200737</v>
      </c>
      <c r="AL105" s="307">
        <v>21.950805189764914</v>
      </c>
      <c r="AM105" s="307">
        <v>3.7151802972097805</v>
      </c>
      <c r="AN105" s="307">
        <v>190.30831428497939</v>
      </c>
      <c r="AO105" s="307">
        <v>621.65097156870502</v>
      </c>
      <c r="AP105" s="307">
        <v>6.4982155845969185</v>
      </c>
      <c r="AQ105" s="307">
        <v>2.5265458329741679E-2</v>
      </c>
      <c r="AR105" s="307">
        <v>1.3557755476862257</v>
      </c>
      <c r="AS105" s="307">
        <v>235.43385917228886</v>
      </c>
      <c r="AT105" s="307"/>
      <c r="AU105" s="307">
        <v>47.969191362257789</v>
      </c>
      <c r="AV105" s="307">
        <v>939.22463463293468</v>
      </c>
      <c r="AW105" s="307">
        <v>24.469460103255425</v>
      </c>
      <c r="AX105" s="307">
        <v>654.06310761568659</v>
      </c>
      <c r="AY105" s="307">
        <v>287.15811164492351</v>
      </c>
      <c r="AZ105" s="307">
        <v>279.95696216689788</v>
      </c>
      <c r="BA105" s="307"/>
      <c r="BB105" s="307"/>
      <c r="BC105" s="307"/>
      <c r="BD105" s="307"/>
      <c r="BE105" s="307"/>
      <c r="BF105" s="307"/>
      <c r="BG105" s="307"/>
      <c r="BH105" s="307"/>
      <c r="BI105" s="307"/>
      <c r="BJ105" s="307"/>
      <c r="BK105" s="307"/>
      <c r="BL105" s="307"/>
      <c r="BM105" s="307"/>
      <c r="BN105" s="307"/>
      <c r="BO105" s="307"/>
      <c r="BP105" s="307"/>
      <c r="BQ105" s="307"/>
      <c r="BR105" s="307"/>
      <c r="BS105" s="307"/>
      <c r="BT105" s="307"/>
      <c r="BU105" s="307"/>
      <c r="BV105" s="307"/>
      <c r="BW105" s="307"/>
      <c r="BX105" s="307"/>
      <c r="BY105" s="307"/>
      <c r="BZ105" s="307"/>
      <c r="CA105" s="307"/>
      <c r="CB105" s="307"/>
      <c r="CC105" s="307"/>
      <c r="CD105" s="307"/>
      <c r="CE105" s="307"/>
      <c r="CF105" s="307"/>
      <c r="CG105" s="307"/>
      <c r="CH105" s="307"/>
      <c r="CI105" s="307"/>
      <c r="CJ105" s="307"/>
      <c r="CK105" s="307"/>
      <c r="CL105" s="307"/>
      <c r="CM105" s="307"/>
      <c r="CN105" s="307"/>
      <c r="CO105" s="307"/>
      <c r="CP105" s="307"/>
      <c r="CQ105" s="307"/>
      <c r="CR105" s="307"/>
      <c r="CS105" s="307"/>
      <c r="CT105" s="307"/>
      <c r="CU105" s="307"/>
      <c r="CV105" s="307"/>
      <c r="CW105" s="307"/>
      <c r="CX105" s="307"/>
      <c r="CY105" s="307"/>
      <c r="CZ105" s="307"/>
      <c r="DA105" s="307"/>
      <c r="DB105" s="307"/>
      <c r="DC105" s="307">
        <v>2936.0462744548072</v>
      </c>
      <c r="DD105" s="307"/>
      <c r="DE105" s="307"/>
      <c r="DF105" s="307"/>
      <c r="DG105" s="307"/>
      <c r="DH105" s="307"/>
      <c r="DI105" s="307"/>
      <c r="DJ105" s="307"/>
      <c r="DK105" s="307"/>
      <c r="DL105" s="307">
        <v>0.42113847365602131</v>
      </c>
      <c r="DM105" s="307">
        <v>0.4739765147970495</v>
      </c>
      <c r="DN105" s="307">
        <v>0.38898523109329897</v>
      </c>
      <c r="DO105" s="307">
        <v>0.70332881451943108</v>
      </c>
      <c r="DP105" s="307">
        <v>0.80050154869387857</v>
      </c>
      <c r="DQ105" s="307">
        <v>0.87302925070316029</v>
      </c>
      <c r="DR105" s="307">
        <v>1.8825696510078558</v>
      </c>
      <c r="DS105" s="307">
        <v>1.3575669320039423</v>
      </c>
      <c r="DT105" s="307">
        <v>3.5408123627907453</v>
      </c>
      <c r="DU105" s="307">
        <v>0.2443003621333156</v>
      </c>
      <c r="DV105" s="307">
        <v>0.75324687903523835</v>
      </c>
      <c r="DW105" s="307">
        <v>3.0849173880667222</v>
      </c>
      <c r="DX105" s="307">
        <v>1.2226094067521944</v>
      </c>
      <c r="DY105" s="307">
        <v>0.75427565233193949</v>
      </c>
      <c r="DZ105" s="307"/>
      <c r="EA105" s="307"/>
      <c r="EB105" s="307"/>
      <c r="EC105" s="307"/>
      <c r="ED105" s="307"/>
      <c r="EE105" s="307"/>
      <c r="EF105" s="307"/>
      <c r="EG105" s="307"/>
      <c r="EH105" s="307"/>
      <c r="EI105" s="307"/>
      <c r="EJ105" s="307">
        <v>5.6450919521589427</v>
      </c>
      <c r="EK105" s="307">
        <v>377.40064779393254</v>
      </c>
      <c r="EL105" s="307">
        <v>8768.025130768634</v>
      </c>
    </row>
    <row r="106" spans="1:142" x14ac:dyDescent="0.25">
      <c r="A106" s="305" t="s">
        <v>1605</v>
      </c>
      <c r="B106" s="307"/>
      <c r="C106" s="307"/>
      <c r="D106" s="307"/>
      <c r="E106" s="307">
        <v>15693.915711841244</v>
      </c>
      <c r="F106" s="307">
        <v>4250.4623080367328</v>
      </c>
      <c r="G106" s="307">
        <v>13355.577002331815</v>
      </c>
      <c r="H106" s="307">
        <v>4994.5665521202127</v>
      </c>
      <c r="I106" s="307">
        <v>329.5920911794995</v>
      </c>
      <c r="J106" s="307">
        <v>395.32906645231816</v>
      </c>
      <c r="K106" s="307">
        <v>3.2563323754976671E-3</v>
      </c>
      <c r="L106" s="307">
        <v>1140.4122254604338</v>
      </c>
      <c r="M106" s="307">
        <v>431.38217339392236</v>
      </c>
      <c r="N106" s="307">
        <v>134.89637545478246</v>
      </c>
      <c r="O106" s="307">
        <v>118.55275353080012</v>
      </c>
      <c r="P106" s="307">
        <v>20.017217748348944</v>
      </c>
      <c r="Q106" s="307">
        <v>44.739678415627203</v>
      </c>
      <c r="R106" s="307">
        <v>186.74891041162539</v>
      </c>
      <c r="S106" s="307">
        <v>409.15638878960834</v>
      </c>
      <c r="T106" s="307">
        <v>228.12900295063625</v>
      </c>
      <c r="U106" s="307">
        <v>474.94751763364036</v>
      </c>
      <c r="V106" s="307">
        <v>390.10171397240083</v>
      </c>
      <c r="W106" s="307">
        <v>608.8813863603682</v>
      </c>
      <c r="X106" s="307">
        <v>75.858904343262921</v>
      </c>
      <c r="Y106" s="307">
        <v>114.47325216355597</v>
      </c>
      <c r="Z106" s="307">
        <v>37.678617041888231</v>
      </c>
      <c r="AA106" s="307">
        <v>176.45315947542488</v>
      </c>
      <c r="AB106" s="307">
        <v>803.4328477226029</v>
      </c>
      <c r="AC106" s="307">
        <v>193.98936923304552</v>
      </c>
      <c r="AD106" s="307">
        <v>379.69749975550059</v>
      </c>
      <c r="AE106" s="307">
        <v>351.05654260126664</v>
      </c>
      <c r="AF106" s="307">
        <v>227.75119043025217</v>
      </c>
      <c r="AG106" s="307">
        <v>88.497143762957847</v>
      </c>
      <c r="AH106" s="307">
        <v>1077.7120150388387</v>
      </c>
      <c r="AI106" s="307">
        <v>56.732085780365338</v>
      </c>
      <c r="AJ106" s="307">
        <v>104.29006673275107</v>
      </c>
      <c r="AK106" s="307">
        <v>123.56248992494142</v>
      </c>
      <c r="AL106" s="307"/>
      <c r="AM106" s="307"/>
      <c r="AN106" s="307">
        <v>1810.029286767751</v>
      </c>
      <c r="AO106" s="307">
        <v>1803.8055133506982</v>
      </c>
      <c r="AP106" s="307"/>
      <c r="AQ106" s="307">
        <v>1.2931311095864433</v>
      </c>
      <c r="AR106" s="307">
        <v>16.925711556248263</v>
      </c>
      <c r="AS106" s="307">
        <v>194.89519388164777</v>
      </c>
      <c r="AT106" s="307">
        <v>261.31422966171021</v>
      </c>
      <c r="AU106" s="307">
        <v>817.57270955478668</v>
      </c>
      <c r="AV106" s="307"/>
      <c r="AW106" s="307"/>
      <c r="AX106" s="307">
        <v>5614.6672930084969</v>
      </c>
      <c r="AY106" s="307"/>
      <c r="AZ106" s="307">
        <v>6.6010853307355379</v>
      </c>
      <c r="BA106" s="307"/>
      <c r="BB106" s="307"/>
      <c r="BC106" s="307"/>
      <c r="BD106" s="307"/>
      <c r="BE106" s="307"/>
      <c r="BF106" s="307"/>
      <c r="BG106" s="307"/>
      <c r="BH106" s="307"/>
      <c r="BI106" s="307"/>
      <c r="BJ106" s="307"/>
      <c r="BK106" s="307"/>
      <c r="BL106" s="307"/>
      <c r="BM106" s="307"/>
      <c r="BN106" s="307"/>
      <c r="BO106" s="307"/>
      <c r="BP106" s="307"/>
      <c r="BQ106" s="307"/>
      <c r="BR106" s="307"/>
      <c r="BS106" s="307"/>
      <c r="BT106" s="307"/>
      <c r="BU106" s="307"/>
      <c r="BV106" s="307"/>
      <c r="BW106" s="307"/>
      <c r="BX106" s="307"/>
      <c r="BY106" s="307"/>
      <c r="BZ106" s="307"/>
      <c r="CA106" s="307"/>
      <c r="CB106" s="307"/>
      <c r="CC106" s="307"/>
      <c r="CD106" s="307"/>
      <c r="CE106" s="307"/>
      <c r="CF106" s="307"/>
      <c r="CG106" s="307"/>
      <c r="CH106" s="307"/>
      <c r="CI106" s="307"/>
      <c r="CJ106" s="307"/>
      <c r="CK106" s="307"/>
      <c r="CL106" s="307"/>
      <c r="CM106" s="307"/>
      <c r="CN106" s="307"/>
      <c r="CO106" s="307"/>
      <c r="CP106" s="307"/>
      <c r="CQ106" s="307"/>
      <c r="CR106" s="307"/>
      <c r="CS106" s="307"/>
      <c r="CT106" s="307"/>
      <c r="CU106" s="307"/>
      <c r="CV106" s="307"/>
      <c r="CW106" s="307"/>
      <c r="CX106" s="307"/>
      <c r="CY106" s="307"/>
      <c r="CZ106" s="307"/>
      <c r="DA106" s="307"/>
      <c r="DB106" s="307"/>
      <c r="DC106" s="307"/>
      <c r="DD106" s="307"/>
      <c r="DE106" s="307"/>
      <c r="DF106" s="307"/>
      <c r="DG106" s="307"/>
      <c r="DH106" s="307"/>
      <c r="DI106" s="307"/>
      <c r="DJ106" s="307"/>
      <c r="DK106" s="307"/>
      <c r="DL106" s="307">
        <v>15.261674576190808</v>
      </c>
      <c r="DM106" s="307">
        <v>34.408648721210739</v>
      </c>
      <c r="DN106" s="307">
        <v>51.437096701178618</v>
      </c>
      <c r="DO106" s="307">
        <v>79.418588181830799</v>
      </c>
      <c r="DP106" s="307">
        <v>92.655380832550875</v>
      </c>
      <c r="DQ106" s="307">
        <v>137.19762593414777</v>
      </c>
      <c r="DR106" s="307">
        <v>257.24554862652707</v>
      </c>
      <c r="DS106" s="307">
        <v>323.10040907491805</v>
      </c>
      <c r="DT106" s="307">
        <v>720.2875361542757</v>
      </c>
      <c r="DU106" s="307">
        <v>172.86900867702619</v>
      </c>
      <c r="DV106" s="307">
        <v>183.15883062208724</v>
      </c>
      <c r="DW106" s="307">
        <v>190.70470004846541</v>
      </c>
      <c r="DX106" s="307">
        <v>322.41442094524723</v>
      </c>
      <c r="DY106" s="307">
        <v>410.90688967277254</v>
      </c>
      <c r="DZ106" s="307"/>
      <c r="EA106" s="307"/>
      <c r="EB106" s="307"/>
      <c r="EC106" s="307"/>
      <c r="ED106" s="307"/>
      <c r="EE106" s="307"/>
      <c r="EF106" s="307"/>
      <c r="EG106" s="307"/>
      <c r="EH106" s="307"/>
      <c r="EI106" s="307"/>
      <c r="EJ106" s="307">
        <v>140.67138016529691</v>
      </c>
      <c r="EK106" s="307">
        <v>930.49117774012643</v>
      </c>
      <c r="EL106" s="307">
        <v>61607.929587318547</v>
      </c>
    </row>
    <row r="107" spans="1:142" x14ac:dyDescent="0.25">
      <c r="A107" s="305" t="s">
        <v>1604</v>
      </c>
      <c r="B107" s="307"/>
      <c r="C107" s="307"/>
      <c r="D107" s="307"/>
      <c r="E107" s="307">
        <v>80.484006902727657</v>
      </c>
      <c r="F107" s="307">
        <v>14.213756080223684</v>
      </c>
      <c r="G107" s="307">
        <v>36.962999946880657</v>
      </c>
      <c r="H107" s="307">
        <v>83.469629949201789</v>
      </c>
      <c r="I107" s="307">
        <v>5.5081716497015956</v>
      </c>
      <c r="J107" s="307">
        <v>6.60677368908632</v>
      </c>
      <c r="K107" s="307">
        <v>6.6445720529244095E-4</v>
      </c>
      <c r="L107" s="307">
        <v>333.68109563146515</v>
      </c>
      <c r="M107" s="307">
        <v>106.51588862344384</v>
      </c>
      <c r="N107" s="307">
        <v>54.252860599714076</v>
      </c>
      <c r="O107" s="307">
        <v>30.717669844133518</v>
      </c>
      <c r="P107" s="307">
        <v>2.5660553637304928</v>
      </c>
      <c r="Q107" s="307">
        <v>31.038918524606792</v>
      </c>
      <c r="R107" s="307">
        <v>74.519913772721395</v>
      </c>
      <c r="S107" s="307">
        <v>56.444575149751316</v>
      </c>
      <c r="T107" s="307">
        <v>512.7475819402091</v>
      </c>
      <c r="U107" s="307">
        <v>26.464101780163464</v>
      </c>
      <c r="V107" s="307">
        <v>79.60056430243182</v>
      </c>
      <c r="W107" s="307">
        <v>197.63176833150158</v>
      </c>
      <c r="X107" s="307">
        <v>12.909321254910001</v>
      </c>
      <c r="Y107" s="307">
        <v>32.008144683412105</v>
      </c>
      <c r="Z107" s="307">
        <v>31.880519644292782</v>
      </c>
      <c r="AA107" s="307">
        <v>52.151407845498362</v>
      </c>
      <c r="AB107" s="307">
        <v>46.160676284141481</v>
      </c>
      <c r="AC107" s="307">
        <v>12.881994280937104</v>
      </c>
      <c r="AD107" s="307">
        <v>62.910971961829752</v>
      </c>
      <c r="AE107" s="307">
        <v>106.09332231000194</v>
      </c>
      <c r="AF107" s="307">
        <v>77.088607504058203</v>
      </c>
      <c r="AG107" s="307">
        <v>10569.09070536055</v>
      </c>
      <c r="AH107" s="307">
        <v>254.81252595351</v>
      </c>
      <c r="AI107" s="307">
        <v>18.851074856602963</v>
      </c>
      <c r="AJ107" s="307">
        <v>16.865487808367163</v>
      </c>
      <c r="AK107" s="307">
        <v>34.968145928482713</v>
      </c>
      <c r="AL107" s="307">
        <v>161.71539311223938</v>
      </c>
      <c r="AM107" s="307">
        <v>8.3128896773625822</v>
      </c>
      <c r="AN107" s="307">
        <v>200.95496301682405</v>
      </c>
      <c r="AO107" s="307">
        <v>3449.4854893432371</v>
      </c>
      <c r="AP107" s="307">
        <v>124.19022049900809</v>
      </c>
      <c r="AQ107" s="307">
        <v>0.17512879984643728</v>
      </c>
      <c r="AR107" s="307">
        <v>10.913504023679661</v>
      </c>
      <c r="AS107" s="307">
        <v>152.99679244615223</v>
      </c>
      <c r="AT107" s="307">
        <v>75.588814007644558</v>
      </c>
      <c r="AU107" s="307">
        <v>236.49439818209066</v>
      </c>
      <c r="AV107" s="307">
        <v>233.74309532488093</v>
      </c>
      <c r="AW107" s="307">
        <v>220.07739636281519</v>
      </c>
      <c r="AX107" s="307">
        <v>152450.25533267407</v>
      </c>
      <c r="AY107" s="307"/>
      <c r="AZ107" s="307">
        <v>1471.9451876888725</v>
      </c>
      <c r="BA107" s="307"/>
      <c r="BB107" s="307"/>
      <c r="BC107" s="307"/>
      <c r="BD107" s="307"/>
      <c r="BE107" s="307"/>
      <c r="BF107" s="307"/>
      <c r="BG107" s="307"/>
      <c r="BH107" s="307"/>
      <c r="BI107" s="307"/>
      <c r="BJ107" s="307"/>
      <c r="BK107" s="307"/>
      <c r="BL107" s="307"/>
      <c r="BM107" s="307"/>
      <c r="BN107" s="307"/>
      <c r="BO107" s="307"/>
      <c r="BP107" s="307"/>
      <c r="BQ107" s="307"/>
      <c r="BR107" s="307"/>
      <c r="BS107" s="307"/>
      <c r="BT107" s="307"/>
      <c r="BU107" s="307"/>
      <c r="BV107" s="30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c r="DA107" s="307"/>
      <c r="DB107" s="307"/>
      <c r="DC107" s="307"/>
      <c r="DD107" s="307"/>
      <c r="DE107" s="307"/>
      <c r="DF107" s="307"/>
      <c r="DG107" s="307"/>
      <c r="DH107" s="307"/>
      <c r="DI107" s="307"/>
      <c r="DJ107" s="307"/>
      <c r="DK107" s="307"/>
      <c r="DL107" s="307">
        <v>4.9357198606361559</v>
      </c>
      <c r="DM107" s="307">
        <v>10.053086061558266</v>
      </c>
      <c r="DN107" s="307">
        <v>12.843488769215744</v>
      </c>
      <c r="DO107" s="307">
        <v>21.236419711016016</v>
      </c>
      <c r="DP107" s="307">
        <v>16.416016721986892</v>
      </c>
      <c r="DQ107" s="307">
        <v>95.90507266508709</v>
      </c>
      <c r="DR107" s="307">
        <v>34.232001447108587</v>
      </c>
      <c r="DS107" s="307">
        <v>80.98853088936815</v>
      </c>
      <c r="DT107" s="307">
        <v>149.37386265187121</v>
      </c>
      <c r="DU107" s="307">
        <v>131.02129162053791</v>
      </c>
      <c r="DV107" s="307">
        <v>58.384749744819707</v>
      </c>
      <c r="DW107" s="307">
        <v>199.96765926191338</v>
      </c>
      <c r="DX107" s="307">
        <v>88.742849731892122</v>
      </c>
      <c r="DY107" s="307">
        <v>123.60867927287258</v>
      </c>
      <c r="DZ107" s="307"/>
      <c r="EA107" s="307"/>
      <c r="EB107" s="307"/>
      <c r="EC107" s="307"/>
      <c r="ED107" s="307"/>
      <c r="EE107" s="307"/>
      <c r="EF107" s="307"/>
      <c r="EG107" s="307"/>
      <c r="EH107" s="307"/>
      <c r="EI107" s="307"/>
      <c r="EJ107" s="307">
        <v>242.74443140025673</v>
      </c>
      <c r="EK107" s="307">
        <v>1686.059523045436</v>
      </c>
      <c r="EL107" s="307">
        <v>174815.46189022981</v>
      </c>
    </row>
    <row r="108" spans="1:142" x14ac:dyDescent="0.25">
      <c r="A108" s="305" t="s">
        <v>1603</v>
      </c>
      <c r="B108" s="307">
        <v>8516.1630777573864</v>
      </c>
      <c r="C108" s="307">
        <v>451.17838478462875</v>
      </c>
      <c r="D108" s="307">
        <v>541.08242925724653</v>
      </c>
      <c r="E108" s="307">
        <v>3306.4417692822258</v>
      </c>
      <c r="F108" s="307">
        <v>457.74786775753444</v>
      </c>
      <c r="G108" s="307">
        <v>7542.7804304930114</v>
      </c>
      <c r="H108" s="307">
        <v>5876.5105130757183</v>
      </c>
      <c r="I108" s="307">
        <v>387.79168695244209</v>
      </c>
      <c r="J108" s="307">
        <v>465.13654205794262</v>
      </c>
      <c r="K108" s="307">
        <v>3.3448133608784589E-3</v>
      </c>
      <c r="L108" s="307">
        <v>1887.3221851218689</v>
      </c>
      <c r="M108" s="307">
        <v>555.54754616165769</v>
      </c>
      <c r="N108" s="307">
        <v>445.46204634671273</v>
      </c>
      <c r="O108" s="307">
        <v>595.70944234643139</v>
      </c>
      <c r="P108" s="307">
        <v>117.57762635863575</v>
      </c>
      <c r="Q108" s="307">
        <v>155.94879788432712</v>
      </c>
      <c r="R108" s="307">
        <v>645.05316794687064</v>
      </c>
      <c r="S108" s="307">
        <v>361.62524475500152</v>
      </c>
      <c r="T108" s="307">
        <v>684.6088847875601</v>
      </c>
      <c r="U108" s="307">
        <v>209.34061709643134</v>
      </c>
      <c r="V108" s="307">
        <v>400.70154840906173</v>
      </c>
      <c r="W108" s="307">
        <v>1708.8500771249824</v>
      </c>
      <c r="X108" s="307">
        <v>191.56086375928078</v>
      </c>
      <c r="Y108" s="307">
        <v>480.45266081158331</v>
      </c>
      <c r="Z108" s="307">
        <v>102.24891632076537</v>
      </c>
      <c r="AA108" s="307">
        <v>450.16104411892553</v>
      </c>
      <c r="AB108" s="307">
        <v>694.04061065712949</v>
      </c>
      <c r="AC108" s="307">
        <v>322.72344598497074</v>
      </c>
      <c r="AD108" s="307">
        <v>1309.5309273642238</v>
      </c>
      <c r="AE108" s="307">
        <v>1486.6942377522523</v>
      </c>
      <c r="AF108" s="307">
        <v>493.6420952072246</v>
      </c>
      <c r="AG108" s="307">
        <v>674.66101456827732</v>
      </c>
      <c r="AH108" s="307">
        <v>811.38528210991853</v>
      </c>
      <c r="AI108" s="307">
        <v>130.27849399721853</v>
      </c>
      <c r="AJ108" s="307">
        <v>442.09530383233164</v>
      </c>
      <c r="AK108" s="307">
        <v>508.91280308808189</v>
      </c>
      <c r="AL108" s="307">
        <v>3447.0129206213246</v>
      </c>
      <c r="AM108" s="307">
        <v>1048.4653534556173</v>
      </c>
      <c r="AN108" s="307">
        <v>5160.2309552141469</v>
      </c>
      <c r="AO108" s="307">
        <v>30039.441309758538</v>
      </c>
      <c r="AP108" s="307">
        <v>1766.1476302496353</v>
      </c>
      <c r="AQ108" s="307">
        <v>57.821570162094524</v>
      </c>
      <c r="AR108" s="307">
        <v>756.51497247175894</v>
      </c>
      <c r="AS108" s="307">
        <v>3398.604955221926</v>
      </c>
      <c r="AT108" s="307">
        <v>1450.3815826995374</v>
      </c>
      <c r="AU108" s="307">
        <v>4537.8026370439648</v>
      </c>
      <c r="AV108" s="307">
        <v>2174.3525342341632</v>
      </c>
      <c r="AW108" s="307">
        <v>176416.01962076055</v>
      </c>
      <c r="AX108" s="307">
        <v>86895.833760481968</v>
      </c>
      <c r="AY108" s="307">
        <v>10575.072026760645</v>
      </c>
      <c r="AZ108" s="307">
        <v>21557.65596324591</v>
      </c>
      <c r="BA108" s="307"/>
      <c r="BB108" s="307"/>
      <c r="BC108" s="307"/>
      <c r="BD108" s="307"/>
      <c r="BE108" s="307"/>
      <c r="BF108" s="307"/>
      <c r="BG108" s="307"/>
      <c r="BH108" s="307"/>
      <c r="BI108" s="307"/>
      <c r="BJ108" s="307"/>
      <c r="BK108" s="307"/>
      <c r="BL108" s="307"/>
      <c r="BM108" s="307"/>
      <c r="BN108" s="307"/>
      <c r="BO108" s="307"/>
      <c r="BP108" s="307"/>
      <c r="BQ108" s="307"/>
      <c r="BR108" s="307"/>
      <c r="BS108" s="307"/>
      <c r="BT108" s="307"/>
      <c r="BU108" s="307"/>
      <c r="BV108" s="30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c r="DA108" s="307"/>
      <c r="DB108" s="307"/>
      <c r="DC108" s="307"/>
      <c r="DD108" s="307"/>
      <c r="DE108" s="307"/>
      <c r="DF108" s="307"/>
      <c r="DG108" s="307"/>
      <c r="DH108" s="307"/>
      <c r="DI108" s="307"/>
      <c r="DJ108" s="307"/>
      <c r="DK108" s="307"/>
      <c r="DL108" s="307">
        <v>612.34735203862476</v>
      </c>
      <c r="DM108" s="307">
        <v>1049.032695437023</v>
      </c>
      <c r="DN108" s="307">
        <v>1384.9258965938279</v>
      </c>
      <c r="DO108" s="307">
        <v>1816.9655965853685</v>
      </c>
      <c r="DP108" s="307">
        <v>2197.4034100511171</v>
      </c>
      <c r="DQ108" s="307">
        <v>3464.7098124752611</v>
      </c>
      <c r="DR108" s="307">
        <v>6125.7365968894355</v>
      </c>
      <c r="DS108" s="307">
        <v>12885.381630593169</v>
      </c>
      <c r="DT108" s="307">
        <v>33839.942440733583</v>
      </c>
      <c r="DU108" s="307">
        <v>9646.2134160137866</v>
      </c>
      <c r="DV108" s="307">
        <v>12779.337111122046</v>
      </c>
      <c r="DW108" s="307">
        <v>14212.46544493382</v>
      </c>
      <c r="DX108" s="307">
        <v>19500.278156364602</v>
      </c>
      <c r="DY108" s="307">
        <v>23143.864014228435</v>
      </c>
      <c r="DZ108" s="307"/>
      <c r="EA108" s="307"/>
      <c r="EB108" s="307"/>
      <c r="EC108" s="307"/>
      <c r="ED108" s="307"/>
      <c r="EE108" s="307"/>
      <c r="EF108" s="307"/>
      <c r="EG108" s="307"/>
      <c r="EH108" s="307"/>
      <c r="EI108" s="307"/>
      <c r="EJ108" s="307">
        <v>907.95667330703304</v>
      </c>
      <c r="EK108" s="307">
        <v>26621.23874820942</v>
      </c>
      <c r="EL108" s="307">
        <v>562880.12771810149</v>
      </c>
    </row>
    <row r="109" spans="1:142" x14ac:dyDescent="0.25">
      <c r="A109" s="305" t="s">
        <v>1602</v>
      </c>
      <c r="B109" s="307">
        <v>607.91119116122172</v>
      </c>
      <c r="C109" s="307">
        <v>61.114319602298721</v>
      </c>
      <c r="D109" s="307">
        <v>4.642632373956336</v>
      </c>
      <c r="E109" s="307">
        <v>1350.2208838619144</v>
      </c>
      <c r="F109" s="307">
        <v>6381.7367639630102</v>
      </c>
      <c r="G109" s="307">
        <v>5205.9280560968327</v>
      </c>
      <c r="H109" s="307">
        <v>872.59500836361781</v>
      </c>
      <c r="I109" s="307">
        <v>57.582657185190612</v>
      </c>
      <c r="J109" s="307">
        <v>69.06748892972584</v>
      </c>
      <c r="K109" s="307">
        <v>2.8817453421183688E-2</v>
      </c>
      <c r="L109" s="307">
        <v>15218.628475655545</v>
      </c>
      <c r="M109" s="307">
        <v>3640.3039132721924</v>
      </c>
      <c r="N109" s="307">
        <v>1235.1331351304134</v>
      </c>
      <c r="O109" s="307">
        <v>1099.9382234054876</v>
      </c>
      <c r="P109" s="307">
        <v>139.13687550658179</v>
      </c>
      <c r="Q109" s="307">
        <v>413.78542531470481</v>
      </c>
      <c r="R109" s="307">
        <v>1829.1463188605487</v>
      </c>
      <c r="S109" s="307">
        <v>4333.5126433427322</v>
      </c>
      <c r="T109" s="307">
        <v>4461.2221867759908</v>
      </c>
      <c r="U109" s="307">
        <v>1340.1378824654826</v>
      </c>
      <c r="V109" s="307">
        <v>3452.2698163468344</v>
      </c>
      <c r="W109" s="307">
        <v>11449.699812177065</v>
      </c>
      <c r="X109" s="307">
        <v>1060.6774131001575</v>
      </c>
      <c r="Y109" s="307">
        <v>1294.6356931620749</v>
      </c>
      <c r="Z109" s="307">
        <v>454.27235273708595</v>
      </c>
      <c r="AA109" s="307">
        <v>1251.2269412395096</v>
      </c>
      <c r="AB109" s="307">
        <v>4340.8013176815484</v>
      </c>
      <c r="AC109" s="307">
        <v>715.34791669970241</v>
      </c>
      <c r="AD109" s="307">
        <v>3736.7949158701435</v>
      </c>
      <c r="AE109" s="307">
        <v>3391.0620437932594</v>
      </c>
      <c r="AF109" s="307">
        <v>2059.4715767225985</v>
      </c>
      <c r="AG109" s="307">
        <v>1130.8329468686077</v>
      </c>
      <c r="AH109" s="307">
        <v>6629.847234962609</v>
      </c>
      <c r="AI109" s="307">
        <v>783.07536947661754</v>
      </c>
      <c r="AJ109" s="307">
        <v>1309.6119875513778</v>
      </c>
      <c r="AK109" s="307">
        <v>1130.6100373202967</v>
      </c>
      <c r="AL109" s="307">
        <v>3155.5994003174442</v>
      </c>
      <c r="AM109" s="307">
        <v>1203.2239650192764</v>
      </c>
      <c r="AN109" s="307">
        <v>45203.718319128056</v>
      </c>
      <c r="AO109" s="307">
        <v>108244.67489078589</v>
      </c>
      <c r="AP109" s="307">
        <v>9689.4029992484175</v>
      </c>
      <c r="AQ109" s="307">
        <v>105.74934850060812</v>
      </c>
      <c r="AR109" s="307">
        <v>6135.4559562413187</v>
      </c>
      <c r="AS109" s="307">
        <v>5065.6268549517408</v>
      </c>
      <c r="AT109" s="307">
        <v>9770.9327907970419</v>
      </c>
      <c r="AU109" s="307">
        <v>30570.275514621851</v>
      </c>
      <c r="AV109" s="307">
        <v>22116.557831788476</v>
      </c>
      <c r="AW109" s="307">
        <v>22114.234212056825</v>
      </c>
      <c r="AX109" s="307">
        <v>79497.645871703062</v>
      </c>
      <c r="AY109" s="307">
        <v>65628.509953393892</v>
      </c>
      <c r="AZ109" s="307">
        <v>90644.442830368935</v>
      </c>
      <c r="BA109" s="307"/>
      <c r="BB109" s="307"/>
      <c r="BC109" s="307"/>
      <c r="BD109" s="307"/>
      <c r="BE109" s="307"/>
      <c r="BF109" s="307"/>
      <c r="BG109" s="307"/>
      <c r="BH109" s="307"/>
      <c r="BI109" s="307"/>
      <c r="BJ109" s="307"/>
      <c r="BK109" s="307"/>
      <c r="BL109" s="307"/>
      <c r="BM109" s="307"/>
      <c r="BN109" s="307"/>
      <c r="BO109" s="307"/>
      <c r="BP109" s="307"/>
      <c r="BQ109" s="307"/>
      <c r="BR109" s="307"/>
      <c r="BS109" s="307"/>
      <c r="BT109" s="307"/>
      <c r="BU109" s="307"/>
      <c r="BV109" s="30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c r="DA109" s="307"/>
      <c r="DB109" s="307"/>
      <c r="DC109" s="307"/>
      <c r="DD109" s="307"/>
      <c r="DE109" s="307"/>
      <c r="DF109" s="307"/>
      <c r="DG109" s="307"/>
      <c r="DH109" s="307"/>
      <c r="DI109" s="307"/>
      <c r="DJ109" s="307"/>
      <c r="DK109" s="307"/>
      <c r="DL109" s="307">
        <v>3327.4956389549488</v>
      </c>
      <c r="DM109" s="307">
        <v>4647.6226937478914</v>
      </c>
      <c r="DN109" s="307">
        <v>5729.7603196063874</v>
      </c>
      <c r="DO109" s="307">
        <v>7457.592058073692</v>
      </c>
      <c r="DP109" s="307">
        <v>9516.3827380272051</v>
      </c>
      <c r="DQ109" s="307">
        <v>13470.399110946973</v>
      </c>
      <c r="DR109" s="307">
        <v>20851.460688769519</v>
      </c>
      <c r="DS109" s="307">
        <v>35225.402273768006</v>
      </c>
      <c r="DT109" s="307">
        <v>78952.418364298079</v>
      </c>
      <c r="DU109" s="307">
        <v>24201.448765294903</v>
      </c>
      <c r="DV109" s="307">
        <v>24600.324573524376</v>
      </c>
      <c r="DW109" s="307">
        <v>30447.911989389642</v>
      </c>
      <c r="DX109" s="307">
        <v>42045.970500028168</v>
      </c>
      <c r="DY109" s="307">
        <v>48536.093916917263</v>
      </c>
      <c r="DZ109" s="307"/>
      <c r="EA109" s="307"/>
      <c r="EB109" s="307"/>
      <c r="EC109" s="307"/>
      <c r="ED109" s="307"/>
      <c r="EE109" s="307"/>
      <c r="EF109" s="307"/>
      <c r="EG109" s="307"/>
      <c r="EH109" s="307">
        <v>45612.827734111001</v>
      </c>
      <c r="EI109" s="307">
        <v>2429.658428840346</v>
      </c>
      <c r="EJ109" s="307">
        <v>1966.2137447015164</v>
      </c>
      <c r="EK109" s="307">
        <v>43587.005112188941</v>
      </c>
      <c r="EL109" s="307">
        <v>1034264.049664542</v>
      </c>
    </row>
    <row r="110" spans="1:142" x14ac:dyDescent="0.25">
      <c r="A110" s="305" t="s">
        <v>1601</v>
      </c>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v>4.6943247607748182</v>
      </c>
      <c r="AR110" s="307">
        <v>54.188777600278719</v>
      </c>
      <c r="AS110" s="307">
        <v>89.646798268377026</v>
      </c>
      <c r="AT110" s="307">
        <v>190.77404515075662</v>
      </c>
      <c r="AU110" s="307">
        <v>596.87393682520724</v>
      </c>
      <c r="AV110" s="307">
        <v>560.22247624903957</v>
      </c>
      <c r="AW110" s="307">
        <v>84.842557830949588</v>
      </c>
      <c r="AX110" s="307"/>
      <c r="AY110" s="307">
        <v>55310.822173774352</v>
      </c>
      <c r="AZ110" s="307">
        <v>6982.9232779642034</v>
      </c>
      <c r="BA110" s="307"/>
      <c r="BB110" s="307"/>
      <c r="BC110" s="307"/>
      <c r="BD110" s="307"/>
      <c r="BE110" s="307"/>
      <c r="BF110" s="307"/>
      <c r="BG110" s="307"/>
      <c r="BH110" s="307"/>
      <c r="BI110" s="307"/>
      <c r="BJ110" s="307"/>
      <c r="BK110" s="307"/>
      <c r="BL110" s="307"/>
      <c r="BM110" s="307"/>
      <c r="BN110" s="307"/>
      <c r="BO110" s="307"/>
      <c r="BP110" s="307"/>
      <c r="BQ110" s="307"/>
      <c r="BR110" s="307"/>
      <c r="BS110" s="307"/>
      <c r="BT110" s="307"/>
      <c r="BU110" s="307"/>
      <c r="BV110" s="30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c r="DA110" s="307"/>
      <c r="DB110" s="307"/>
      <c r="DC110" s="307"/>
      <c r="DD110" s="307"/>
      <c r="DE110" s="307"/>
      <c r="DF110" s="307"/>
      <c r="DG110" s="307"/>
      <c r="DH110" s="307"/>
      <c r="DI110" s="307"/>
      <c r="DJ110" s="307"/>
      <c r="DK110" s="307"/>
      <c r="DL110" s="307">
        <v>65.961487190127869</v>
      </c>
      <c r="DM110" s="307">
        <v>152.40608885223102</v>
      </c>
      <c r="DN110" s="307">
        <v>256.99863276932746</v>
      </c>
      <c r="DO110" s="307">
        <v>325.54928202469637</v>
      </c>
      <c r="DP110" s="307">
        <v>409.22487314519162</v>
      </c>
      <c r="DQ110" s="307">
        <v>556.89695210281707</v>
      </c>
      <c r="DR110" s="307">
        <v>922.99218063199589</v>
      </c>
      <c r="DS110" s="307">
        <v>1549.9868688836334</v>
      </c>
      <c r="DT110" s="307">
        <v>3379.9713656946328</v>
      </c>
      <c r="DU110" s="307">
        <v>1139.9903422757047</v>
      </c>
      <c r="DV110" s="307">
        <v>938.99204508498826</v>
      </c>
      <c r="DW110" s="307">
        <v>1609.9863605823546</v>
      </c>
      <c r="DX110" s="307">
        <v>1235.9244295451656</v>
      </c>
      <c r="DY110" s="307">
        <v>3736.8751420915864</v>
      </c>
      <c r="DZ110" s="307">
        <v>650868</v>
      </c>
      <c r="EA110" s="307"/>
      <c r="EB110" s="307"/>
      <c r="EC110" s="307"/>
      <c r="ED110" s="307"/>
      <c r="EE110" s="307"/>
      <c r="EF110" s="307"/>
      <c r="EG110" s="307"/>
      <c r="EH110" s="307"/>
      <c r="EI110" s="307"/>
      <c r="EJ110" s="307">
        <v>114.89382935585093</v>
      </c>
      <c r="EK110" s="307">
        <v>620.09139797491093</v>
      </c>
      <c r="EL110" s="307">
        <v>731759.72964662907</v>
      </c>
    </row>
    <row r="111" spans="1:142" x14ac:dyDescent="0.25">
      <c r="A111" s="305" t="s">
        <v>1600</v>
      </c>
      <c r="B111" s="307">
        <v>4521.9611430812147</v>
      </c>
      <c r="C111" s="307">
        <v>464.14264650904687</v>
      </c>
      <c r="D111" s="307">
        <v>92.798426569591527</v>
      </c>
      <c r="E111" s="307">
        <v>685.07977572441666</v>
      </c>
      <c r="F111" s="307">
        <v>1858.3874239891518</v>
      </c>
      <c r="G111" s="307">
        <v>1851.3166540729744</v>
      </c>
      <c r="H111" s="307">
        <v>682.18063754698142</v>
      </c>
      <c r="I111" s="307">
        <v>45.017188287505711</v>
      </c>
      <c r="J111" s="307">
        <v>53.995843639086701</v>
      </c>
      <c r="K111" s="307">
        <v>1.3973339183313864E-2</v>
      </c>
      <c r="L111" s="307">
        <v>15327.241919790589</v>
      </c>
      <c r="M111" s="307">
        <v>2871.8047425017539</v>
      </c>
      <c r="N111" s="307">
        <v>758.20337686850621</v>
      </c>
      <c r="O111" s="307">
        <v>6541.7442239771099</v>
      </c>
      <c r="P111" s="307">
        <v>1505.7952648812334</v>
      </c>
      <c r="Q111" s="307">
        <v>191.96304417482733</v>
      </c>
      <c r="R111" s="307">
        <v>2156.2123644223066</v>
      </c>
      <c r="S111" s="307">
        <v>3235.4830067786938</v>
      </c>
      <c r="T111" s="307">
        <v>1617.3551358266127</v>
      </c>
      <c r="U111" s="307">
        <v>535.51496716844497</v>
      </c>
      <c r="V111" s="307">
        <v>1673.9764055858586</v>
      </c>
      <c r="W111" s="307">
        <v>2773.0188004892739</v>
      </c>
      <c r="X111" s="307">
        <v>213.5651516217381</v>
      </c>
      <c r="Y111" s="307">
        <v>743.11467646397841</v>
      </c>
      <c r="Z111" s="307">
        <v>134.97217186743845</v>
      </c>
      <c r="AA111" s="307">
        <v>656.17741517502589</v>
      </c>
      <c r="AB111" s="307">
        <v>3623.9837227947141</v>
      </c>
      <c r="AC111" s="307">
        <v>764.49189594576274</v>
      </c>
      <c r="AD111" s="307">
        <v>1324.0393450690831</v>
      </c>
      <c r="AE111" s="307">
        <v>1337.0060187436272</v>
      </c>
      <c r="AF111" s="307">
        <v>2086.9865895215175</v>
      </c>
      <c r="AG111" s="307">
        <v>480.75147173077352</v>
      </c>
      <c r="AH111" s="307">
        <v>3701.7410746805308</v>
      </c>
      <c r="AI111" s="307">
        <v>564.14802427294489</v>
      </c>
      <c r="AJ111" s="307">
        <v>537.46236188388912</v>
      </c>
      <c r="AK111" s="307">
        <v>2143.6610171073321</v>
      </c>
      <c r="AL111" s="307">
        <v>161.50071856495569</v>
      </c>
      <c r="AM111" s="307">
        <v>233.19693353334529</v>
      </c>
      <c r="AN111" s="307">
        <v>51150.992207339514</v>
      </c>
      <c r="AO111" s="307">
        <v>94939.774433924249</v>
      </c>
      <c r="AP111" s="307">
        <v>15561.498447637674</v>
      </c>
      <c r="AQ111" s="307">
        <v>25.821079037401208</v>
      </c>
      <c r="AR111" s="307">
        <v>311.91097185400133</v>
      </c>
      <c r="AS111" s="307">
        <v>967.8311021268056</v>
      </c>
      <c r="AT111" s="307">
        <v>10246.383108701455</v>
      </c>
      <c r="AU111" s="307">
        <v>32057.814885022824</v>
      </c>
      <c r="AV111" s="307">
        <v>3230.5627037278755</v>
      </c>
      <c r="AW111" s="307">
        <v>59429.961586068021</v>
      </c>
      <c r="AX111" s="307">
        <v>45535.114149381378</v>
      </c>
      <c r="AY111" s="307">
        <v>11186.151445058902</v>
      </c>
      <c r="AZ111" s="307">
        <v>9730.1623865738238</v>
      </c>
      <c r="BA111" s="307"/>
      <c r="BB111" s="307"/>
      <c r="BC111" s="307"/>
      <c r="BD111" s="307"/>
      <c r="BE111" s="307"/>
      <c r="BF111" s="307"/>
      <c r="BG111" s="307"/>
      <c r="BH111" s="307"/>
      <c r="BI111" s="307"/>
      <c r="BJ111" s="307"/>
      <c r="BK111" s="307"/>
      <c r="BL111" s="307"/>
      <c r="BM111" s="307"/>
      <c r="BN111" s="307"/>
      <c r="BO111" s="307"/>
      <c r="BP111" s="307"/>
      <c r="BQ111" s="307"/>
      <c r="BR111" s="307"/>
      <c r="BS111" s="307"/>
      <c r="BT111" s="307"/>
      <c r="BU111" s="307"/>
      <c r="BV111" s="30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c r="DA111" s="307"/>
      <c r="DB111" s="307"/>
      <c r="DC111" s="307"/>
      <c r="DD111" s="307"/>
      <c r="DE111" s="307"/>
      <c r="DF111" s="307"/>
      <c r="DG111" s="307"/>
      <c r="DH111" s="307"/>
      <c r="DI111" s="307"/>
      <c r="DJ111" s="307"/>
      <c r="DK111" s="307"/>
      <c r="DL111" s="307">
        <v>2034.0628969308723</v>
      </c>
      <c r="DM111" s="307">
        <v>3486.944707484331</v>
      </c>
      <c r="DN111" s="307">
        <v>5032.933268045238</v>
      </c>
      <c r="DO111" s="307">
        <v>5995.7724239060663</v>
      </c>
      <c r="DP111" s="307">
        <v>8533.7740661231219</v>
      </c>
      <c r="DQ111" s="307">
        <v>9927.5210708705617</v>
      </c>
      <c r="DR111" s="307">
        <v>13781.83561121604</v>
      </c>
      <c r="DS111" s="307">
        <v>24080.180145387298</v>
      </c>
      <c r="DT111" s="307">
        <v>50613.79925742725</v>
      </c>
      <c r="DU111" s="307">
        <v>16128.647512651867</v>
      </c>
      <c r="DV111" s="307">
        <v>15569.18740057274</v>
      </c>
      <c r="DW111" s="307">
        <v>21143.740839585098</v>
      </c>
      <c r="DX111" s="307">
        <v>29801.448816482036</v>
      </c>
      <c r="DY111" s="307">
        <v>31395.39525709868</v>
      </c>
      <c r="DZ111" s="307"/>
      <c r="EA111" s="307"/>
      <c r="EB111" s="307"/>
      <c r="EC111" s="307"/>
      <c r="ED111" s="307"/>
      <c r="EE111" s="307"/>
      <c r="EF111" s="307"/>
      <c r="EG111" s="307"/>
      <c r="EH111" s="307"/>
      <c r="EI111" s="307"/>
      <c r="EJ111" s="307">
        <v>1418.6060794958441</v>
      </c>
      <c r="EK111" s="307">
        <v>19437.343155560604</v>
      </c>
      <c r="EL111" s="307">
        <v>660905.17656949256</v>
      </c>
    </row>
    <row r="112" spans="1:142" x14ac:dyDescent="0.25">
      <c r="A112" s="305" t="s">
        <v>1599</v>
      </c>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c r="AE112" s="307"/>
      <c r="AF112" s="307"/>
      <c r="AG112" s="307"/>
      <c r="AH112" s="307"/>
      <c r="AI112" s="307"/>
      <c r="AJ112" s="307"/>
      <c r="AK112" s="307"/>
      <c r="AL112" s="307">
        <v>2551.4869985177265</v>
      </c>
      <c r="AM112" s="307"/>
      <c r="AN112" s="307"/>
      <c r="AO112" s="307"/>
      <c r="AP112" s="307"/>
      <c r="AQ112" s="307"/>
      <c r="AR112" s="307"/>
      <c r="AS112" s="307"/>
      <c r="AT112" s="307"/>
      <c r="AU112" s="307"/>
      <c r="AV112" s="307"/>
      <c r="AW112" s="307"/>
      <c r="AX112" s="307"/>
      <c r="AY112" s="307"/>
      <c r="AZ112" s="307"/>
      <c r="BA112" s="307"/>
      <c r="BB112" s="307"/>
      <c r="BC112" s="307"/>
      <c r="BD112" s="307"/>
      <c r="BE112" s="307"/>
      <c r="BF112" s="307"/>
      <c r="BG112" s="307"/>
      <c r="BH112" s="307"/>
      <c r="BI112" s="307"/>
      <c r="BJ112" s="307"/>
      <c r="BK112" s="307"/>
      <c r="BL112" s="307"/>
      <c r="BM112" s="307"/>
      <c r="BN112" s="307"/>
      <c r="BO112" s="307"/>
      <c r="BP112" s="307"/>
      <c r="BQ112" s="307"/>
      <c r="BR112" s="307"/>
      <c r="BS112" s="307"/>
      <c r="BT112" s="307"/>
      <c r="BU112" s="307"/>
      <c r="BV112" s="30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c r="DA112" s="307"/>
      <c r="DB112" s="307"/>
      <c r="DC112" s="307"/>
      <c r="DD112" s="307"/>
      <c r="DE112" s="307"/>
      <c r="DF112" s="307"/>
      <c r="DG112" s="307"/>
      <c r="DH112" s="307"/>
      <c r="DI112" s="307"/>
      <c r="DJ112" s="307"/>
      <c r="DK112" s="307"/>
      <c r="DL112" s="307"/>
      <c r="DM112" s="307"/>
      <c r="DN112" s="307"/>
      <c r="DO112" s="307"/>
      <c r="DP112" s="307"/>
      <c r="DQ112" s="307"/>
      <c r="DR112" s="307"/>
      <c r="DS112" s="307"/>
      <c r="DT112" s="307"/>
      <c r="DU112" s="307"/>
      <c r="DV112" s="307"/>
      <c r="DW112" s="307"/>
      <c r="DX112" s="307"/>
      <c r="DY112" s="307"/>
      <c r="DZ112" s="307"/>
      <c r="EA112" s="307"/>
      <c r="EB112" s="307"/>
      <c r="EC112" s="307"/>
      <c r="ED112" s="307"/>
      <c r="EE112" s="307"/>
      <c r="EF112" s="307"/>
      <c r="EG112" s="307"/>
      <c r="EH112" s="307"/>
      <c r="EI112" s="307">
        <v>2681.4064369354828</v>
      </c>
      <c r="EJ112" s="307"/>
      <c r="EK112" s="307"/>
      <c r="EL112" s="307">
        <v>5232.8934354532093</v>
      </c>
    </row>
    <row r="113" spans="1:142" x14ac:dyDescent="0.25">
      <c r="A113" s="305" t="s">
        <v>1598</v>
      </c>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A113" s="307">
        <v>23896.734331005158</v>
      </c>
      <c r="BB113" s="307">
        <v>1356.4778570889844</v>
      </c>
      <c r="BC113" s="307">
        <v>1684.536061266135</v>
      </c>
      <c r="BD113" s="307"/>
      <c r="BE113" s="307">
        <v>5660.7799178137448</v>
      </c>
      <c r="BF113" s="307">
        <v>222.16156527132279</v>
      </c>
      <c r="BG113" s="307">
        <v>12882.07637076112</v>
      </c>
      <c r="BH113" s="307"/>
      <c r="BI113" s="307"/>
      <c r="BJ113" s="307"/>
      <c r="BK113" s="307">
        <v>95511.761661208584</v>
      </c>
      <c r="BL113" s="307">
        <v>44873.530968934312</v>
      </c>
      <c r="BM113" s="307">
        <v>4382.6276267768526</v>
      </c>
      <c r="BN113" s="307">
        <v>20322.298961141802</v>
      </c>
      <c r="BO113" s="307">
        <v>2299.4430163238608</v>
      </c>
      <c r="BP113" s="307">
        <v>4559.1049596695448</v>
      </c>
      <c r="BQ113" s="307">
        <v>10749.42001399708</v>
      </c>
      <c r="BR113" s="307">
        <v>26913.239419277586</v>
      </c>
      <c r="BS113" s="307">
        <v>22937.287676739943</v>
      </c>
      <c r="BT113" s="307">
        <v>39339.266755302873</v>
      </c>
      <c r="BU113" s="307">
        <v>44287.570759896822</v>
      </c>
      <c r="BV113" s="307">
        <v>7844.9335126376718</v>
      </c>
      <c r="BW113" s="307">
        <v>37371.134715855165</v>
      </c>
      <c r="BX113" s="307">
        <v>41614.1652551527</v>
      </c>
      <c r="BY113" s="307">
        <v>6121.33428812286</v>
      </c>
      <c r="BZ113" s="307">
        <v>26754.823687401902</v>
      </c>
      <c r="CA113" s="307">
        <v>4427.6371892288598</v>
      </c>
      <c r="CB113" s="307">
        <v>24576.309118232915</v>
      </c>
      <c r="CC113" s="307">
        <v>48540.953985558626</v>
      </c>
      <c r="CD113" s="307">
        <v>22655.212433175529</v>
      </c>
      <c r="CE113" s="307">
        <v>27679.548623987939</v>
      </c>
      <c r="CF113" s="307">
        <v>27490.69456641432</v>
      </c>
      <c r="CG113" s="307">
        <v>23177.748871278407</v>
      </c>
      <c r="CH113" s="307">
        <v>14441.048081288409</v>
      </c>
      <c r="CI113" s="307">
        <v>88408.818168387312</v>
      </c>
      <c r="CJ113" s="307">
        <v>2365.2123862746366</v>
      </c>
      <c r="CK113" s="307">
        <v>7385.5234780039536</v>
      </c>
      <c r="CL113" s="307">
        <v>11133.149859885598</v>
      </c>
      <c r="CM113" s="307"/>
      <c r="CN113" s="307"/>
      <c r="CO113" s="307"/>
      <c r="CP113" s="307"/>
      <c r="CQ113" s="307"/>
      <c r="CR113" s="307"/>
      <c r="CS113" s="307"/>
      <c r="CT113" s="307"/>
      <c r="CU113" s="307"/>
      <c r="CV113" s="307"/>
      <c r="CW113" s="307"/>
      <c r="CX113" s="307"/>
      <c r="CY113" s="307"/>
      <c r="CZ113" s="307"/>
      <c r="DA113" s="307"/>
      <c r="DB113" s="307">
        <v>428.7371447928071</v>
      </c>
      <c r="DC113" s="307"/>
      <c r="DD113" s="307"/>
      <c r="DE113" s="307"/>
      <c r="DF113" s="307"/>
      <c r="DG113" s="307"/>
      <c r="DH113" s="307"/>
      <c r="DI113" s="307"/>
      <c r="DJ113" s="307"/>
      <c r="DK113" s="307"/>
      <c r="DL113" s="307"/>
      <c r="DM113" s="307"/>
      <c r="DN113" s="307"/>
      <c r="DO113" s="307"/>
      <c r="DP113" s="307"/>
      <c r="DQ113" s="307"/>
      <c r="DR113" s="307"/>
      <c r="DS113" s="307"/>
      <c r="DT113" s="307"/>
      <c r="DU113" s="307"/>
      <c r="DV113" s="307"/>
      <c r="DW113" s="307"/>
      <c r="DX113" s="307"/>
      <c r="DY113" s="307"/>
      <c r="DZ113" s="307"/>
      <c r="EA113" s="307"/>
      <c r="EB113" s="307"/>
      <c r="EC113" s="307"/>
      <c r="ED113" s="307"/>
      <c r="EE113" s="307"/>
      <c r="EF113" s="307"/>
      <c r="EG113" s="307"/>
      <c r="EH113" s="307"/>
      <c r="EI113" s="307"/>
      <c r="EJ113" s="307"/>
      <c r="EK113" s="307"/>
      <c r="EL113" s="307">
        <v>784295.30328815524</v>
      </c>
    </row>
    <row r="114" spans="1:142" x14ac:dyDescent="0.25">
      <c r="A114" s="305" t="s">
        <v>1504</v>
      </c>
      <c r="B114" s="307">
        <v>4175.5807725469886</v>
      </c>
      <c r="C114" s="307">
        <v>838.97480276604995</v>
      </c>
      <c r="D114" s="307">
        <v>183.41828805573343</v>
      </c>
      <c r="E114" s="307">
        <v>1231.3532734022197</v>
      </c>
      <c r="F114" s="307">
        <v>2307.1530276613476</v>
      </c>
      <c r="G114" s="307">
        <v>4749.2565962723284</v>
      </c>
      <c r="H114" s="307">
        <v>293.58980392936957</v>
      </c>
      <c r="I114" s="307">
        <v>19.374029040614761</v>
      </c>
      <c r="J114" s="307">
        <v>23.238169297803616</v>
      </c>
      <c r="K114" s="307">
        <v>3.9237737333352093E-5</v>
      </c>
      <c r="L114" s="307">
        <v>1661.4165310113679</v>
      </c>
      <c r="M114" s="307">
        <v>952.55202364129605</v>
      </c>
      <c r="N114" s="307">
        <v>124.10196885929525</v>
      </c>
      <c r="O114" s="307">
        <v>392.47823765892537</v>
      </c>
      <c r="P114" s="307">
        <v>1.8024676052505684</v>
      </c>
      <c r="Q114" s="307">
        <v>32.377919602830417</v>
      </c>
      <c r="R114" s="307">
        <v>1007.3336313747963</v>
      </c>
      <c r="S114" s="307">
        <v>139.9390426722816</v>
      </c>
      <c r="T114" s="307">
        <v>188.83264215642592</v>
      </c>
      <c r="U114" s="307">
        <v>21.983296387092299</v>
      </c>
      <c r="V114" s="307">
        <v>4.7005977342224412</v>
      </c>
      <c r="W114" s="307">
        <v>320.65439285627565</v>
      </c>
      <c r="X114" s="307">
        <v>70.643018487730345</v>
      </c>
      <c r="Y114" s="307">
        <v>198.7116961828647</v>
      </c>
      <c r="Z114" s="307">
        <v>25.042714733898777</v>
      </c>
      <c r="AA114" s="307">
        <v>572.48245411191249</v>
      </c>
      <c r="AB114" s="307">
        <v>562.87366882316587</v>
      </c>
      <c r="AC114" s="307">
        <v>49.821445459610928</v>
      </c>
      <c r="AD114" s="307">
        <v>1209.6313322592071</v>
      </c>
      <c r="AE114" s="307">
        <v>398.34272817957338</v>
      </c>
      <c r="AF114" s="307">
        <v>356.11249357972184</v>
      </c>
      <c r="AG114" s="307">
        <v>7.1613991924958835</v>
      </c>
      <c r="AH114" s="307">
        <v>369.9212887070492</v>
      </c>
      <c r="AI114" s="307"/>
      <c r="AJ114" s="307">
        <v>449.86941563690976</v>
      </c>
      <c r="AK114" s="307">
        <v>176.35232508504205</v>
      </c>
      <c r="AL114" s="307">
        <v>410.04551253190158</v>
      </c>
      <c r="AM114" s="307">
        <v>649.97337398785203</v>
      </c>
      <c r="AN114" s="307">
        <v>4245.1473981759718</v>
      </c>
      <c r="AO114" s="307">
        <v>8550.8376159842319</v>
      </c>
      <c r="AP114" s="307">
        <v>435.43621414760366</v>
      </c>
      <c r="AQ114" s="307"/>
      <c r="AR114" s="307">
        <v>45.214045189453252</v>
      </c>
      <c r="AS114" s="307">
        <v>283.07795750338016</v>
      </c>
      <c r="AT114" s="307">
        <v>805.39937664068918</v>
      </c>
      <c r="AU114" s="307">
        <v>2519.8495753036632</v>
      </c>
      <c r="AV114" s="307">
        <v>135.30860457243139</v>
      </c>
      <c r="AW114" s="307">
        <v>756.37380926383105</v>
      </c>
      <c r="AX114" s="307">
        <v>1649.2329093227308</v>
      </c>
      <c r="AY114" s="307">
        <v>8841.6309191126911</v>
      </c>
      <c r="AZ114" s="307">
        <v>27712.440917775602</v>
      </c>
      <c r="BA114" s="307"/>
      <c r="BB114" s="307"/>
      <c r="BC114" s="307"/>
      <c r="BD114" s="307"/>
      <c r="BE114" s="307"/>
      <c r="BF114" s="307"/>
      <c r="BG114" s="307"/>
      <c r="BH114" s="307"/>
      <c r="BI114" s="307"/>
      <c r="BJ114" s="307"/>
      <c r="BK114" s="307"/>
      <c r="BL114" s="307"/>
      <c r="BM114" s="307"/>
      <c r="BN114" s="307"/>
      <c r="BO114" s="307"/>
      <c r="BP114" s="307"/>
      <c r="BQ114" s="307"/>
      <c r="BR114" s="307"/>
      <c r="BS114" s="307"/>
      <c r="BT114" s="307"/>
      <c r="BU114" s="307"/>
      <c r="BV114" s="30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c r="DA114" s="307"/>
      <c r="DB114" s="307"/>
      <c r="DC114" s="307"/>
      <c r="DD114" s="307"/>
      <c r="DE114" s="307"/>
      <c r="DF114" s="307"/>
      <c r="DG114" s="307"/>
      <c r="DH114" s="307"/>
      <c r="DI114" s="307"/>
      <c r="DJ114" s="307"/>
      <c r="DK114" s="307"/>
      <c r="DL114" s="307"/>
      <c r="DM114" s="307"/>
      <c r="DN114" s="307"/>
      <c r="DO114" s="307"/>
      <c r="DP114" s="307"/>
      <c r="DQ114" s="307"/>
      <c r="DR114" s="307"/>
      <c r="DS114" s="307"/>
      <c r="DT114" s="307"/>
      <c r="DU114" s="307"/>
      <c r="DV114" s="307"/>
      <c r="DW114" s="307"/>
      <c r="DX114" s="307"/>
      <c r="DY114" s="307"/>
      <c r="DZ114" s="307"/>
      <c r="EA114" s="307"/>
      <c r="EB114" s="307"/>
      <c r="EC114" s="307"/>
      <c r="ED114" s="307"/>
      <c r="EE114" s="307"/>
      <c r="EF114" s="307"/>
      <c r="EG114" s="307"/>
      <c r="EH114" s="307"/>
      <c r="EI114" s="307"/>
      <c r="EJ114" s="307"/>
      <c r="EK114" s="307">
        <v>483.81864604727269</v>
      </c>
      <c r="EL114" s="307">
        <v>80640.86440976875</v>
      </c>
    </row>
    <row r="115" spans="1:142" x14ac:dyDescent="0.25">
      <c r="A115" s="305" t="s">
        <v>1503</v>
      </c>
      <c r="B115" s="307">
        <v>3685.9213480937151</v>
      </c>
      <c r="C115" s="307">
        <v>426.76659312655983</v>
      </c>
      <c r="D115" s="307">
        <v>161.90904564606561</v>
      </c>
      <c r="E115" s="307">
        <v>1691.9171110177235</v>
      </c>
      <c r="F115" s="307">
        <v>4418.470454693299</v>
      </c>
      <c r="G115" s="307">
        <v>6241.3215269744433</v>
      </c>
      <c r="H115" s="307">
        <v>991.88369630078034</v>
      </c>
      <c r="I115" s="307">
        <v>65.454533092936416</v>
      </c>
      <c r="J115" s="307">
        <v>78.509406491221043</v>
      </c>
      <c r="K115" s="307">
        <v>8.7343721230145333E-3</v>
      </c>
      <c r="L115" s="307">
        <v>4309.6019019980422</v>
      </c>
      <c r="M115" s="307">
        <v>1008.2123666214064</v>
      </c>
      <c r="N115" s="307">
        <v>444.69270330480032</v>
      </c>
      <c r="O115" s="307">
        <v>1023.7196780984783</v>
      </c>
      <c r="P115" s="307">
        <v>76.349346465609969</v>
      </c>
      <c r="Q115" s="307">
        <v>252.74555843457827</v>
      </c>
      <c r="R115" s="307">
        <v>1913.9363012929534</v>
      </c>
      <c r="S115" s="307">
        <v>693.96361760827153</v>
      </c>
      <c r="T115" s="307">
        <v>598.92765194735841</v>
      </c>
      <c r="U115" s="307">
        <v>184.15183409249457</v>
      </c>
      <c r="V115" s="307">
        <v>1046.3592602828169</v>
      </c>
      <c r="W115" s="307">
        <v>1381.5137123481115</v>
      </c>
      <c r="X115" s="307">
        <v>410.82889112642761</v>
      </c>
      <c r="Y115" s="307">
        <v>1869.3682446583123</v>
      </c>
      <c r="Z115" s="307">
        <v>279.5239974305166</v>
      </c>
      <c r="AA115" s="307">
        <v>861.72075012872028</v>
      </c>
      <c r="AB115" s="307">
        <v>3728.5057443102592</v>
      </c>
      <c r="AC115" s="307">
        <v>262.87091310409431</v>
      </c>
      <c r="AD115" s="307">
        <v>3701.6284868829316</v>
      </c>
      <c r="AE115" s="307">
        <v>1328.6549634838259</v>
      </c>
      <c r="AF115" s="307">
        <v>1163.9247392154793</v>
      </c>
      <c r="AG115" s="307">
        <v>672.37186979921614</v>
      </c>
      <c r="AH115" s="307">
        <v>1364.4123166805946</v>
      </c>
      <c r="AI115" s="307">
        <v>625.2052940965882</v>
      </c>
      <c r="AJ115" s="307">
        <v>918.2387252481069</v>
      </c>
      <c r="AK115" s="307">
        <v>525.84419075919516</v>
      </c>
      <c r="AL115" s="307">
        <v>483.18418170699516</v>
      </c>
      <c r="AM115" s="307">
        <v>734.53042103609357</v>
      </c>
      <c r="AN115" s="307">
        <v>6865.1572200323917</v>
      </c>
      <c r="AO115" s="307">
        <v>19808.669189783453</v>
      </c>
      <c r="AP115" s="307">
        <v>1377.8917776447095</v>
      </c>
      <c r="AQ115" s="307">
        <v>0.12389517147112057</v>
      </c>
      <c r="AR115" s="307">
        <v>39.310616821842899</v>
      </c>
      <c r="AS115" s="307">
        <v>639.12818379159876</v>
      </c>
      <c r="AT115" s="307">
        <v>1937.7800790336676</v>
      </c>
      <c r="AU115" s="307">
        <v>6062.7242220517492</v>
      </c>
      <c r="AV115" s="307">
        <v>732.87382400355318</v>
      </c>
      <c r="AW115" s="307">
        <v>886.27816975921633</v>
      </c>
      <c r="AX115" s="307">
        <v>5520.1760020397542</v>
      </c>
      <c r="AY115" s="307">
        <v>18261.074103425653</v>
      </c>
      <c r="AZ115" s="307">
        <v>33898.476501937621</v>
      </c>
      <c r="BA115" s="307"/>
      <c r="BB115" s="307"/>
      <c r="BC115" s="307"/>
      <c r="BD115" s="307"/>
      <c r="BE115" s="307"/>
      <c r="BF115" s="307"/>
      <c r="BG115" s="307"/>
      <c r="BH115" s="307"/>
      <c r="BI115" s="307"/>
      <c r="BJ115" s="307"/>
      <c r="BK115" s="307"/>
      <c r="BL115" s="307"/>
      <c r="BM115" s="307"/>
      <c r="BN115" s="307"/>
      <c r="BO115" s="307"/>
      <c r="BP115" s="307"/>
      <c r="BQ115" s="307"/>
      <c r="BR115" s="307"/>
      <c r="BS115" s="307"/>
      <c r="BT115" s="307"/>
      <c r="BU115" s="307"/>
      <c r="BV115" s="30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c r="DA115" s="307"/>
      <c r="DB115" s="307"/>
      <c r="DC115" s="307"/>
      <c r="DD115" s="307"/>
      <c r="DE115" s="307"/>
      <c r="DF115" s="307"/>
      <c r="DG115" s="307"/>
      <c r="DH115" s="307"/>
      <c r="DI115" s="307"/>
      <c r="DJ115" s="307"/>
      <c r="DK115" s="307"/>
      <c r="DL115" s="307"/>
      <c r="DM115" s="307"/>
      <c r="DN115" s="307"/>
      <c r="DO115" s="307"/>
      <c r="DP115" s="307"/>
      <c r="DQ115" s="307"/>
      <c r="DR115" s="307"/>
      <c r="DS115" s="307"/>
      <c r="DT115" s="307"/>
      <c r="DU115" s="307"/>
      <c r="DV115" s="307"/>
      <c r="DW115" s="307"/>
      <c r="DX115" s="307"/>
      <c r="DY115" s="307"/>
      <c r="DZ115" s="307"/>
      <c r="EA115" s="307"/>
      <c r="EB115" s="307"/>
      <c r="EC115" s="307"/>
      <c r="ED115" s="307"/>
      <c r="EE115" s="307"/>
      <c r="EF115" s="307"/>
      <c r="EG115" s="307"/>
      <c r="EH115" s="307"/>
      <c r="EI115" s="307"/>
      <c r="EJ115" s="307"/>
      <c r="EK115" s="307">
        <v>879.16766163215289</v>
      </c>
      <c r="EL115" s="307">
        <v>146535.98155909995</v>
      </c>
    </row>
    <row r="116" spans="1:142" x14ac:dyDescent="0.25">
      <c r="A116" s="305" t="s">
        <v>1502</v>
      </c>
      <c r="B116" s="307">
        <v>3662.3760663054177</v>
      </c>
      <c r="C116" s="307">
        <v>391.82899114724205</v>
      </c>
      <c r="D116" s="307">
        <v>480.52079490350116</v>
      </c>
      <c r="E116" s="307">
        <v>4393.0382686078292</v>
      </c>
      <c r="F116" s="307">
        <v>11612.668366175927</v>
      </c>
      <c r="G116" s="307">
        <v>13276.679677409393</v>
      </c>
      <c r="H116" s="307">
        <v>1871.1294600775018</v>
      </c>
      <c r="I116" s="307">
        <v>123.47607448592635</v>
      </c>
      <c r="J116" s="307">
        <v>148.10331486119819</v>
      </c>
      <c r="K116" s="307">
        <v>3.2333032054068407E-2</v>
      </c>
      <c r="L116" s="307">
        <v>10160.505689394238</v>
      </c>
      <c r="M116" s="307">
        <v>2348.5742111963409</v>
      </c>
      <c r="N116" s="307">
        <v>1182.4007712573218</v>
      </c>
      <c r="O116" s="307">
        <v>1450.4096059772514</v>
      </c>
      <c r="P116" s="307">
        <v>300.21555309415845</v>
      </c>
      <c r="Q116" s="307">
        <v>371.34323913899226</v>
      </c>
      <c r="R116" s="307">
        <v>2380.1810236875012</v>
      </c>
      <c r="S116" s="307">
        <v>1622.6752816509947</v>
      </c>
      <c r="T116" s="307">
        <v>2278.3260266898005</v>
      </c>
      <c r="U116" s="307">
        <v>609.02158011041649</v>
      </c>
      <c r="V116" s="307">
        <v>3873.4286822575918</v>
      </c>
      <c r="W116" s="307">
        <v>4435.5250790410937</v>
      </c>
      <c r="X116" s="307">
        <v>1091.7747142520632</v>
      </c>
      <c r="Y116" s="307">
        <v>4129.7835335577502</v>
      </c>
      <c r="Z116" s="307">
        <v>1357.900651248706</v>
      </c>
      <c r="AA116" s="307">
        <v>1150.4879545254892</v>
      </c>
      <c r="AB116" s="307">
        <v>4437.650818406024</v>
      </c>
      <c r="AC116" s="307">
        <v>845.51025795881344</v>
      </c>
      <c r="AD116" s="307">
        <v>7056.1629469712561</v>
      </c>
      <c r="AE116" s="307">
        <v>3777.1254691134232</v>
      </c>
      <c r="AF116" s="307">
        <v>1344.5007336905694</v>
      </c>
      <c r="AG116" s="307">
        <v>383.81853776121642</v>
      </c>
      <c r="AH116" s="307">
        <v>4113.4443394227319</v>
      </c>
      <c r="AI116" s="307">
        <v>941.44403804086619</v>
      </c>
      <c r="AJ116" s="307">
        <v>1740.2310485421426</v>
      </c>
      <c r="AK116" s="307">
        <v>1483.5310344733182</v>
      </c>
      <c r="AL116" s="307">
        <v>2443.7872932143941</v>
      </c>
      <c r="AM116" s="307">
        <v>1397.5044060188457</v>
      </c>
      <c r="AN116" s="307">
        <v>12365.221428957344</v>
      </c>
      <c r="AO116" s="307">
        <v>47167.767918842612</v>
      </c>
      <c r="AP116" s="307">
        <v>3916.6480867925738</v>
      </c>
      <c r="AQ116" s="307">
        <v>31.532127035917494</v>
      </c>
      <c r="AR116" s="307">
        <v>474.97335884155223</v>
      </c>
      <c r="AS116" s="307">
        <v>3519.0724539738153</v>
      </c>
      <c r="AT116" s="307">
        <v>3586.8538577558998</v>
      </c>
      <c r="AU116" s="307">
        <v>11222.17428059267</v>
      </c>
      <c r="AV116" s="307">
        <v>3958.798314603534</v>
      </c>
      <c r="AW116" s="307">
        <v>31939.095485353981</v>
      </c>
      <c r="AX116" s="307">
        <v>22290.029352149733</v>
      </c>
      <c r="AY116" s="307">
        <v>100681.48876830139</v>
      </c>
      <c r="AZ116" s="307">
        <v>24549.167311864079</v>
      </c>
      <c r="BA116" s="307"/>
      <c r="BB116" s="307"/>
      <c r="BC116" s="307"/>
      <c r="BD116" s="307"/>
      <c r="BE116" s="307"/>
      <c r="BF116" s="307"/>
      <c r="BG116" s="307"/>
      <c r="BH116" s="307"/>
      <c r="BI116" s="307"/>
      <c r="BJ116" s="307"/>
      <c r="BK116" s="307"/>
      <c r="BL116" s="307"/>
      <c r="BM116" s="307"/>
      <c r="BN116" s="307"/>
      <c r="BO116" s="307"/>
      <c r="BP116" s="307"/>
      <c r="BQ116" s="307"/>
      <c r="BR116" s="307"/>
      <c r="BS116" s="307"/>
      <c r="BT116" s="307"/>
      <c r="BU116" s="307"/>
      <c r="BV116" s="30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c r="DA116" s="307"/>
      <c r="DB116" s="307"/>
      <c r="DC116" s="307"/>
      <c r="DD116" s="307"/>
      <c r="DE116" s="307"/>
      <c r="DF116" s="307"/>
      <c r="DG116" s="307"/>
      <c r="DH116" s="307"/>
      <c r="DI116" s="307"/>
      <c r="DJ116" s="307"/>
      <c r="DK116" s="307"/>
      <c r="DL116" s="307"/>
      <c r="DM116" s="307"/>
      <c r="DN116" s="307"/>
      <c r="DO116" s="307"/>
      <c r="DP116" s="307"/>
      <c r="DQ116" s="307"/>
      <c r="DR116" s="307"/>
      <c r="DS116" s="307"/>
      <c r="DT116" s="307"/>
      <c r="DU116" s="307"/>
      <c r="DV116" s="307"/>
      <c r="DW116" s="307"/>
      <c r="DX116" s="307"/>
      <c r="DY116" s="307"/>
      <c r="DZ116" s="307"/>
      <c r="EA116" s="307"/>
      <c r="EB116" s="307"/>
      <c r="EC116" s="307"/>
      <c r="ED116" s="307"/>
      <c r="EE116" s="307"/>
      <c r="EF116" s="307"/>
      <c r="EG116" s="307"/>
      <c r="EH116" s="307"/>
      <c r="EI116" s="307"/>
      <c r="EJ116" s="307"/>
      <c r="EK116" s="307">
        <v>2235.5100727149988</v>
      </c>
      <c r="EL116" s="307">
        <v>372605.45068547945</v>
      </c>
    </row>
    <row r="117" spans="1:142" x14ac:dyDescent="0.25">
      <c r="A117" s="305" t="s">
        <v>1501</v>
      </c>
      <c r="B117" s="307">
        <v>6572.7754741416093</v>
      </c>
      <c r="C117" s="307">
        <v>618.26896196496102</v>
      </c>
      <c r="D117" s="307">
        <v>311.07943867258734</v>
      </c>
      <c r="E117" s="307">
        <v>10171.794272558243</v>
      </c>
      <c r="F117" s="307">
        <v>13987.432478524532</v>
      </c>
      <c r="G117" s="307">
        <v>22811.425238869211</v>
      </c>
      <c r="H117" s="307">
        <v>8437.6231925328066</v>
      </c>
      <c r="I117" s="307">
        <v>556.79984310770647</v>
      </c>
      <c r="J117" s="307">
        <v>667.85328916368769</v>
      </c>
      <c r="K117" s="307">
        <v>3.9351036250639571E-2</v>
      </c>
      <c r="L117" s="307">
        <v>18954.629991051817</v>
      </c>
      <c r="M117" s="307">
        <v>8562.0734642942462</v>
      </c>
      <c r="N117" s="307">
        <v>1689.1124171509116</v>
      </c>
      <c r="O117" s="307">
        <v>1953.0479458436789</v>
      </c>
      <c r="P117" s="307">
        <v>119.6562770862848</v>
      </c>
      <c r="Q117" s="307">
        <v>652.52561844930756</v>
      </c>
      <c r="R117" s="307">
        <v>2081.462046714727</v>
      </c>
      <c r="S117" s="307">
        <v>4948.5979276580674</v>
      </c>
      <c r="T117" s="307">
        <v>8721.7792902603032</v>
      </c>
      <c r="U117" s="307">
        <v>3414.6862954152284</v>
      </c>
      <c r="V117" s="307">
        <v>4714.1707042784556</v>
      </c>
      <c r="W117" s="307">
        <v>14245.563057809975</v>
      </c>
      <c r="X117" s="307">
        <v>1013.3409460983273</v>
      </c>
      <c r="Y117" s="307">
        <v>4355.89199123871</v>
      </c>
      <c r="Z117" s="307">
        <v>768.91775605971714</v>
      </c>
      <c r="AA117" s="307">
        <v>1928.1768211006274</v>
      </c>
      <c r="AB117" s="307">
        <v>4245.29876158144</v>
      </c>
      <c r="AC117" s="307">
        <v>2930.4211526692011</v>
      </c>
      <c r="AD117" s="307">
        <v>7836.8396470407524</v>
      </c>
      <c r="AE117" s="307">
        <v>11846.653645267492</v>
      </c>
      <c r="AF117" s="307">
        <v>2995.4441706576472</v>
      </c>
      <c r="AG117" s="307">
        <v>2553.1423345374033</v>
      </c>
      <c r="AH117" s="307">
        <v>13998.310800209123</v>
      </c>
      <c r="AI117" s="307">
        <v>2580.4442659900856</v>
      </c>
      <c r="AJ117" s="307">
        <v>759.09887765912686</v>
      </c>
      <c r="AK117" s="307">
        <v>2042.4070773363956</v>
      </c>
      <c r="AL117" s="307">
        <v>19860.749343305117</v>
      </c>
      <c r="AM117" s="307">
        <v>3563.3458223373395</v>
      </c>
      <c r="AN117" s="307">
        <v>19779.486936345242</v>
      </c>
      <c r="AO117" s="307">
        <v>81615.507913453403</v>
      </c>
      <c r="AP117" s="307">
        <v>4969.2440479347988</v>
      </c>
      <c r="AQ117" s="307">
        <v>64.843766864374444</v>
      </c>
      <c r="AR117" s="307">
        <v>1939.1786507475622</v>
      </c>
      <c r="AS117" s="307">
        <v>10336.287522332061</v>
      </c>
      <c r="AT117" s="307">
        <v>4773.6283381904886</v>
      </c>
      <c r="AU117" s="307">
        <v>14935.230507402322</v>
      </c>
      <c r="AV117" s="307">
        <v>18775.409348660101</v>
      </c>
      <c r="AW117" s="307">
        <v>103999.40586421493</v>
      </c>
      <c r="AX117" s="307">
        <v>65644.899162520378</v>
      </c>
      <c r="AY117" s="307">
        <v>288581.09492128185</v>
      </c>
      <c r="AZ117" s="307">
        <v>44783.102756428016</v>
      </c>
      <c r="BA117" s="307"/>
      <c r="BB117" s="307"/>
      <c r="BC117" s="307"/>
      <c r="BD117" s="307"/>
      <c r="BE117" s="307"/>
      <c r="BF117" s="307"/>
      <c r="BG117" s="307"/>
      <c r="BH117" s="307"/>
      <c r="BI117" s="307"/>
      <c r="BJ117" s="307"/>
      <c r="BK117" s="307"/>
      <c r="BL117" s="307"/>
      <c r="BM117" s="307"/>
      <c r="BN117" s="307"/>
      <c r="BO117" s="307"/>
      <c r="BP117" s="307"/>
      <c r="BQ117" s="307"/>
      <c r="BR117" s="307"/>
      <c r="BS117" s="307"/>
      <c r="BT117" s="307"/>
      <c r="BU117" s="307"/>
      <c r="BV117" s="30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c r="DA117" s="307"/>
      <c r="DB117" s="307"/>
      <c r="DC117" s="307"/>
      <c r="DD117" s="307"/>
      <c r="DE117" s="307"/>
      <c r="DF117" s="307"/>
      <c r="DG117" s="307"/>
      <c r="DH117" s="307"/>
      <c r="DI117" s="307"/>
      <c r="DJ117" s="307"/>
      <c r="DK117" s="307"/>
      <c r="DL117" s="307"/>
      <c r="DM117" s="307"/>
      <c r="DN117" s="307"/>
      <c r="DO117" s="307"/>
      <c r="DP117" s="307"/>
      <c r="DQ117" s="307"/>
      <c r="DR117" s="307"/>
      <c r="DS117" s="307"/>
      <c r="DT117" s="307"/>
      <c r="DU117" s="307"/>
      <c r="DV117" s="307"/>
      <c r="DW117" s="307"/>
      <c r="DX117" s="307"/>
      <c r="DY117" s="307"/>
      <c r="DZ117" s="307"/>
      <c r="EA117" s="307"/>
      <c r="EB117" s="307"/>
      <c r="EC117" s="307"/>
      <c r="ED117" s="307"/>
      <c r="EE117" s="307"/>
      <c r="EF117" s="307"/>
      <c r="EG117" s="307"/>
      <c r="EH117" s="307"/>
      <c r="EI117" s="307"/>
      <c r="EJ117" s="307"/>
      <c r="EK117" s="307">
        <v>5297.5036196055762</v>
      </c>
      <c r="EL117" s="307">
        <v>882965.70334565418</v>
      </c>
    </row>
    <row r="118" spans="1:142" x14ac:dyDescent="0.25">
      <c r="A118" s="305" t="s">
        <v>1597</v>
      </c>
      <c r="B118" s="307">
        <v>41346.07000605519</v>
      </c>
      <c r="C118" s="307">
        <v>5148.7772996234144</v>
      </c>
      <c r="D118" s="307">
        <v>1792.7636274404445</v>
      </c>
      <c r="E118" s="307">
        <v>48932.262555883899</v>
      </c>
      <c r="F118" s="307">
        <v>16222.445084322033</v>
      </c>
      <c r="G118" s="307">
        <v>73823.157302075357</v>
      </c>
      <c r="H118" s="307">
        <v>19841.805083297219</v>
      </c>
      <c r="I118" s="307">
        <v>1309.3632774607488</v>
      </c>
      <c r="J118" s="307">
        <v>1570.515118469875</v>
      </c>
      <c r="K118" s="307">
        <v>4.3504316595844764E-2</v>
      </c>
      <c r="L118" s="307">
        <v>29397.222620938814</v>
      </c>
      <c r="M118" s="307">
        <v>15742.12062818839</v>
      </c>
      <c r="N118" s="307">
        <v>908.70484763668367</v>
      </c>
      <c r="O118" s="307">
        <v>108.10661571362202</v>
      </c>
      <c r="P118" s="307">
        <v>171.96043709355428</v>
      </c>
      <c r="Q118" s="307">
        <v>76.451916647957233</v>
      </c>
      <c r="R118" s="307">
        <v>8451.5835979530257</v>
      </c>
      <c r="S118" s="307">
        <v>10376.232955182761</v>
      </c>
      <c r="T118" s="307">
        <v>281.33186067809942</v>
      </c>
      <c r="U118" s="307">
        <v>23286.46521872513</v>
      </c>
      <c r="V118" s="307">
        <v>5211.7248831650049</v>
      </c>
      <c r="W118" s="307">
        <v>2789.7672487795917</v>
      </c>
      <c r="X118" s="307">
        <v>1042.6099410598783</v>
      </c>
      <c r="Y118" s="307">
        <v>603.87036159732611</v>
      </c>
      <c r="Z118" s="307">
        <v>366.41081268253276</v>
      </c>
      <c r="AA118" s="307">
        <v>6802.6866460981746</v>
      </c>
      <c r="AB118" s="307">
        <v>357.37401204565106</v>
      </c>
      <c r="AC118" s="307">
        <v>6037.0362097128846</v>
      </c>
      <c r="AD118" s="307">
        <v>3054.1229881371655</v>
      </c>
      <c r="AE118" s="307">
        <v>7378.9380754579297</v>
      </c>
      <c r="AF118" s="307">
        <v>156.41731131689627</v>
      </c>
      <c r="AG118" s="307">
        <v>1463.4649484582119</v>
      </c>
      <c r="AH118" s="307">
        <v>2677.9530053992062</v>
      </c>
      <c r="AI118" s="307">
        <v>364.30568014619928</v>
      </c>
      <c r="AJ118" s="307">
        <v>44.534696955623879</v>
      </c>
      <c r="AK118" s="307">
        <v>11871.384744953875</v>
      </c>
      <c r="AL118" s="307"/>
      <c r="AM118" s="307">
        <v>15504.447770233704</v>
      </c>
      <c r="AN118" s="307">
        <v>47268.441629700552</v>
      </c>
      <c r="AO118" s="307">
        <v>164570.03147943458</v>
      </c>
      <c r="AP118" s="307">
        <v>14452.117831240445</v>
      </c>
      <c r="AQ118" s="307">
        <v>1038.6533315829258</v>
      </c>
      <c r="AR118" s="307">
        <v>8764.8880525972872</v>
      </c>
      <c r="AS118" s="307">
        <v>16711.10195777093</v>
      </c>
      <c r="AT118" s="307">
        <v>26956.163282907062</v>
      </c>
      <c r="AU118" s="307">
        <v>84337.632447104552</v>
      </c>
      <c r="AV118" s="307">
        <v>41934.01382813845</v>
      </c>
      <c r="AW118" s="307">
        <v>138835.47166011587</v>
      </c>
      <c r="AX118" s="307">
        <v>184184.53731183981</v>
      </c>
      <c r="AY118" s="307">
        <v>60407.297048494387</v>
      </c>
      <c r="AZ118" s="307">
        <v>204685.42625209218</v>
      </c>
      <c r="BA118" s="307"/>
      <c r="BB118" s="307"/>
      <c r="BC118" s="307"/>
      <c r="BD118" s="307"/>
      <c r="BE118" s="307"/>
      <c r="BF118" s="307"/>
      <c r="BG118" s="307"/>
      <c r="BH118" s="307"/>
      <c r="BI118" s="307"/>
      <c r="BJ118" s="307"/>
      <c r="BK118" s="307"/>
      <c r="BL118" s="307"/>
      <c r="BM118" s="307"/>
      <c r="BN118" s="307"/>
      <c r="BO118" s="307"/>
      <c r="BP118" s="307"/>
      <c r="BQ118" s="307"/>
      <c r="BR118" s="307"/>
      <c r="BS118" s="307"/>
      <c r="BT118" s="307"/>
      <c r="BU118" s="307"/>
      <c r="BV118" s="30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c r="DA118" s="307"/>
      <c r="DB118" s="307"/>
      <c r="DC118" s="307"/>
      <c r="DD118" s="307"/>
      <c r="DE118" s="307"/>
      <c r="DF118" s="307"/>
      <c r="DG118" s="307"/>
      <c r="DH118" s="307"/>
      <c r="DI118" s="307"/>
      <c r="DJ118" s="307"/>
      <c r="DK118" s="307"/>
      <c r="DL118" s="307"/>
      <c r="DM118" s="307"/>
      <c r="DN118" s="307"/>
      <c r="DO118" s="307"/>
      <c r="DP118" s="307"/>
      <c r="DQ118" s="307"/>
      <c r="DR118" s="307"/>
      <c r="DS118" s="307"/>
      <c r="DT118" s="307"/>
      <c r="DU118" s="307"/>
      <c r="DV118" s="307"/>
      <c r="DW118" s="307"/>
      <c r="DX118" s="307"/>
      <c r="DY118" s="307"/>
      <c r="DZ118" s="307"/>
      <c r="EA118" s="307"/>
      <c r="EB118" s="307"/>
      <c r="EC118" s="307"/>
      <c r="ED118" s="307"/>
      <c r="EE118" s="307"/>
      <c r="EF118" s="307"/>
      <c r="EG118" s="307"/>
      <c r="EH118" s="307"/>
      <c r="EI118" s="307"/>
      <c r="EJ118" s="307"/>
      <c r="EK118" s="307">
        <v>39604.999999994761</v>
      </c>
      <c r="EL118" s="307">
        <v>1398265.2090069167</v>
      </c>
    </row>
    <row r="119" spans="1:142" x14ac:dyDescent="0.25">
      <c r="A119" s="305" t="s">
        <v>1596</v>
      </c>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v>61052.790993083603</v>
      </c>
      <c r="AM119" s="307"/>
      <c r="AN119" s="307"/>
      <c r="AO119" s="307"/>
      <c r="AP119" s="307"/>
      <c r="AQ119" s="307"/>
      <c r="AR119" s="307"/>
      <c r="AS119" s="307"/>
      <c r="AT119" s="307"/>
      <c r="AU119" s="307"/>
      <c r="AV119" s="307"/>
      <c r="AW119" s="307"/>
      <c r="AX119" s="307"/>
      <c r="AY119" s="307"/>
      <c r="AZ119" s="307"/>
      <c r="BA119" s="307"/>
      <c r="BB119" s="307"/>
      <c r="BC119" s="307"/>
      <c r="BD119" s="307"/>
      <c r="BE119" s="307"/>
      <c r="BF119" s="307"/>
      <c r="BG119" s="307"/>
      <c r="BH119" s="307"/>
      <c r="BI119" s="307"/>
      <c r="BJ119" s="307"/>
      <c r="BK119" s="307"/>
      <c r="BL119" s="307"/>
      <c r="BM119" s="307"/>
      <c r="BN119" s="307"/>
      <c r="BO119" s="307"/>
      <c r="BP119" s="307"/>
      <c r="BQ119" s="307"/>
      <c r="BR119" s="307"/>
      <c r="BS119" s="307"/>
      <c r="BT119" s="307"/>
      <c r="BU119" s="307"/>
      <c r="BV119" s="30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c r="DA119" s="307"/>
      <c r="DB119" s="307"/>
      <c r="DC119" s="307"/>
      <c r="DD119" s="307"/>
      <c r="DE119" s="307"/>
      <c r="DF119" s="307"/>
      <c r="DG119" s="307"/>
      <c r="DH119" s="307"/>
      <c r="DI119" s="307"/>
      <c r="DJ119" s="307"/>
      <c r="DK119" s="307"/>
      <c r="DL119" s="307"/>
      <c r="DM119" s="307"/>
      <c r="DN119" s="307"/>
      <c r="DO119" s="307"/>
      <c r="DP119" s="307"/>
      <c r="DQ119" s="307"/>
      <c r="DR119" s="307"/>
      <c r="DS119" s="307"/>
      <c r="DT119" s="307"/>
      <c r="DU119" s="307"/>
      <c r="DV119" s="307"/>
      <c r="DW119" s="307"/>
      <c r="DX119" s="307"/>
      <c r="DY119" s="307"/>
      <c r="DZ119" s="307"/>
      <c r="EA119" s="307"/>
      <c r="EB119" s="307"/>
      <c r="EC119" s="307"/>
      <c r="ED119" s="307"/>
      <c r="EE119" s="307"/>
      <c r="EF119" s="307"/>
      <c r="EG119" s="307"/>
      <c r="EH119" s="307"/>
      <c r="EI119" s="307"/>
      <c r="EJ119" s="307"/>
      <c r="EK119" s="307"/>
      <c r="EL119" s="307">
        <v>61052.790993083603</v>
      </c>
    </row>
    <row r="120" spans="1:142" x14ac:dyDescent="0.25">
      <c r="A120" s="305" t="s">
        <v>1595</v>
      </c>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7"/>
      <c r="CY120" s="307"/>
      <c r="CZ120" s="307"/>
      <c r="DA120" s="307"/>
      <c r="DB120" s="307"/>
      <c r="DC120" s="307"/>
      <c r="DD120" s="307"/>
      <c r="DE120" s="307"/>
      <c r="DF120" s="307"/>
      <c r="DG120" s="307"/>
      <c r="DH120" s="307">
        <v>781770.59755602933</v>
      </c>
      <c r="DI120" s="307"/>
      <c r="DJ120" s="307">
        <v>231393</v>
      </c>
      <c r="DK120" s="307"/>
      <c r="DL120" s="307">
        <v>2.4166042336183455</v>
      </c>
      <c r="DM120" s="307">
        <v>55.520065929469254</v>
      </c>
      <c r="DN120" s="307">
        <v>351.85427131912547</v>
      </c>
      <c r="DO120" s="307">
        <v>692.11010806595527</v>
      </c>
      <c r="DP120" s="307">
        <v>2518.0896928702223</v>
      </c>
      <c r="DQ120" s="307">
        <v>3882.3294823550136</v>
      </c>
      <c r="DR120" s="307">
        <v>8701.0903384874418</v>
      </c>
      <c r="DS120" s="307">
        <v>22471.278779701821</v>
      </c>
      <c r="DT120" s="307">
        <v>59735.510656490915</v>
      </c>
      <c r="DU120" s="307">
        <v>23474.992900512665</v>
      </c>
      <c r="DV120" s="307">
        <v>28032.994143993445</v>
      </c>
      <c r="DW120" s="307">
        <v>28412.283300055249</v>
      </c>
      <c r="DX120" s="307">
        <v>26260.317764839503</v>
      </c>
      <c r="DY120" s="307">
        <v>48368.211891145591</v>
      </c>
      <c r="DZ120" s="307">
        <v>286816.00000000006</v>
      </c>
      <c r="EA120" s="307"/>
      <c r="EB120" s="307"/>
      <c r="EC120" s="307"/>
      <c r="ED120" s="307"/>
      <c r="EE120" s="307"/>
      <c r="EF120" s="307">
        <v>2.5011104298755527E-12</v>
      </c>
      <c r="EG120" s="307">
        <v>-9.6633812063373625E-13</v>
      </c>
      <c r="EH120" s="307"/>
      <c r="EI120" s="307"/>
      <c r="EJ120" s="307"/>
      <c r="EK120" s="307"/>
      <c r="EL120" s="307">
        <v>1552938.5975560294</v>
      </c>
    </row>
    <row r="121" spans="1:142" x14ac:dyDescent="0.25">
      <c r="A121" s="305" t="s">
        <v>1594</v>
      </c>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c r="AE121" s="307"/>
      <c r="AF121" s="307"/>
      <c r="AG121" s="307"/>
      <c r="AH121" s="307"/>
      <c r="AI121" s="307"/>
      <c r="AJ121" s="307"/>
      <c r="AK121" s="307"/>
      <c r="AL121" s="307"/>
      <c r="AM121" s="307"/>
      <c r="AN121" s="307"/>
      <c r="AO121" s="307"/>
      <c r="AP121" s="307"/>
      <c r="AQ121" s="307"/>
      <c r="AR121" s="307"/>
      <c r="AS121" s="307"/>
      <c r="AT121" s="307"/>
      <c r="AU121" s="307"/>
      <c r="AV121" s="307"/>
      <c r="AW121" s="307"/>
      <c r="AX121" s="307"/>
      <c r="AY121" s="307"/>
      <c r="AZ121" s="307"/>
      <c r="BA121" s="307"/>
      <c r="BB121" s="307"/>
      <c r="BC121" s="307"/>
      <c r="BD121" s="307"/>
      <c r="BE121" s="307"/>
      <c r="BF121" s="307"/>
      <c r="BG121" s="307"/>
      <c r="BH121" s="307"/>
      <c r="BI121" s="307"/>
      <c r="BJ121" s="307"/>
      <c r="BK121" s="307"/>
      <c r="BL121" s="307"/>
      <c r="BM121" s="307"/>
      <c r="BN121" s="307"/>
      <c r="BO121" s="307"/>
      <c r="BP121" s="307"/>
      <c r="BQ121" s="307"/>
      <c r="BR121" s="307"/>
      <c r="BS121" s="307"/>
      <c r="BT121" s="307"/>
      <c r="BU121" s="307"/>
      <c r="BV121" s="307"/>
      <c r="BW121" s="307"/>
      <c r="BX121" s="307"/>
      <c r="BY121" s="307"/>
      <c r="BZ121" s="307"/>
      <c r="CA121" s="307"/>
      <c r="CB121" s="307"/>
      <c r="CC121" s="307"/>
      <c r="CD121" s="307"/>
      <c r="CE121" s="307"/>
      <c r="CF121" s="307"/>
      <c r="CG121" s="307"/>
      <c r="CH121" s="307"/>
      <c r="CI121" s="307"/>
      <c r="CJ121" s="307"/>
      <c r="CK121" s="307"/>
      <c r="CL121" s="307"/>
      <c r="CM121" s="307"/>
      <c r="CN121" s="307"/>
      <c r="CO121" s="307"/>
      <c r="CP121" s="307"/>
      <c r="CQ121" s="307"/>
      <c r="CR121" s="307"/>
      <c r="CS121" s="307"/>
      <c r="CT121" s="307"/>
      <c r="CU121" s="307"/>
      <c r="CV121" s="307"/>
      <c r="CW121" s="307"/>
      <c r="CX121" s="307"/>
      <c r="CY121" s="307"/>
      <c r="CZ121" s="307"/>
      <c r="DA121" s="307"/>
      <c r="DB121" s="307"/>
      <c r="DC121" s="307"/>
      <c r="DD121" s="307"/>
      <c r="DE121" s="307"/>
      <c r="DF121" s="307"/>
      <c r="DG121" s="307"/>
      <c r="DH121" s="307"/>
      <c r="DI121" s="307">
        <v>61052.790993083603</v>
      </c>
      <c r="DJ121" s="307"/>
      <c r="DK121" s="307"/>
      <c r="DL121" s="307"/>
      <c r="DM121" s="307"/>
      <c r="DN121" s="307"/>
      <c r="DO121" s="307"/>
      <c r="DP121" s="307"/>
      <c r="DQ121" s="307"/>
      <c r="DR121" s="307"/>
      <c r="DS121" s="307"/>
      <c r="DT121" s="307"/>
      <c r="DU121" s="307"/>
      <c r="DV121" s="307"/>
      <c r="DW121" s="307"/>
      <c r="DX121" s="307"/>
      <c r="DY121" s="307"/>
      <c r="DZ121" s="307"/>
      <c r="EA121" s="307"/>
      <c r="EB121" s="307"/>
      <c r="EC121" s="307"/>
      <c r="ED121" s="307"/>
      <c r="EE121" s="307">
        <v>-4.5474735088646412E-13</v>
      </c>
      <c r="EF121" s="307"/>
      <c r="EG121" s="307"/>
      <c r="EH121" s="307"/>
      <c r="EI121" s="307"/>
      <c r="EJ121" s="307"/>
      <c r="EK121" s="307"/>
      <c r="EL121" s="307">
        <v>61052.790993083603</v>
      </c>
    </row>
    <row r="122" spans="1:142" x14ac:dyDescent="0.25">
      <c r="A122" s="305" t="s">
        <v>1593</v>
      </c>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c r="AE122" s="307"/>
      <c r="AF122" s="307"/>
      <c r="AG122" s="307"/>
      <c r="AH122" s="307"/>
      <c r="AI122" s="307"/>
      <c r="AJ122" s="307"/>
      <c r="AK122" s="307"/>
      <c r="AL122" s="307"/>
      <c r="AM122" s="307"/>
      <c r="AN122" s="307"/>
      <c r="AO122" s="307"/>
      <c r="AP122" s="307"/>
      <c r="AQ122" s="307"/>
      <c r="AR122" s="307"/>
      <c r="AS122" s="307"/>
      <c r="AT122" s="307"/>
      <c r="AU122" s="307"/>
      <c r="AV122" s="307"/>
      <c r="AW122" s="307"/>
      <c r="AX122" s="307"/>
      <c r="AY122" s="307"/>
      <c r="AZ122" s="307"/>
      <c r="BA122" s="307"/>
      <c r="BB122" s="307"/>
      <c r="BC122" s="307"/>
      <c r="BD122" s="307"/>
      <c r="BE122" s="307"/>
      <c r="BF122" s="307"/>
      <c r="BG122" s="307"/>
      <c r="BH122" s="307"/>
      <c r="BI122" s="307"/>
      <c r="BJ122" s="307"/>
      <c r="BK122" s="307"/>
      <c r="BL122" s="307"/>
      <c r="BM122" s="307"/>
      <c r="BN122" s="307"/>
      <c r="BO122" s="307"/>
      <c r="BP122" s="307"/>
      <c r="BQ122" s="307"/>
      <c r="BR122" s="307"/>
      <c r="BS122" s="307"/>
      <c r="BT122" s="307"/>
      <c r="BU122" s="307"/>
      <c r="BV122" s="307"/>
      <c r="BW122" s="307"/>
      <c r="BX122" s="307"/>
      <c r="BY122" s="307"/>
      <c r="BZ122" s="307"/>
      <c r="CA122" s="307"/>
      <c r="CB122" s="307"/>
      <c r="CC122" s="307"/>
      <c r="CD122" s="307"/>
      <c r="CE122" s="307"/>
      <c r="CF122" s="307"/>
      <c r="CG122" s="307"/>
      <c r="CH122" s="307"/>
      <c r="CI122" s="307"/>
      <c r="CJ122" s="307"/>
      <c r="CK122" s="307"/>
      <c r="CL122" s="307"/>
      <c r="CM122" s="307"/>
      <c r="CN122" s="307"/>
      <c r="CO122" s="307"/>
      <c r="CP122" s="307"/>
      <c r="CQ122" s="307"/>
      <c r="CR122" s="307"/>
      <c r="CS122" s="307"/>
      <c r="CT122" s="307"/>
      <c r="CU122" s="307"/>
      <c r="CV122" s="307"/>
      <c r="CW122" s="307"/>
      <c r="CX122" s="307"/>
      <c r="CY122" s="307"/>
      <c r="CZ122" s="307"/>
      <c r="DA122" s="307"/>
      <c r="DB122" s="307"/>
      <c r="DC122" s="307"/>
      <c r="DD122" s="307">
        <v>6721.7424946790625</v>
      </c>
      <c r="DE122" s="307">
        <v>4888.762128471436</v>
      </c>
      <c r="DF122" s="307">
        <v>2337.9643586155189</v>
      </c>
      <c r="DG122" s="307">
        <v>406.67472750048199</v>
      </c>
      <c r="DH122" s="307">
        <v>824.03257485013626</v>
      </c>
      <c r="DI122" s="307"/>
      <c r="DJ122" s="307">
        <v>503.88448209600944</v>
      </c>
      <c r="DK122" s="307"/>
      <c r="DL122" s="307"/>
      <c r="DM122" s="307"/>
      <c r="DN122" s="307"/>
      <c r="DO122" s="307"/>
      <c r="DP122" s="307"/>
      <c r="DQ122" s="307"/>
      <c r="DR122" s="307"/>
      <c r="DS122" s="307"/>
      <c r="DT122" s="307"/>
      <c r="DU122" s="307"/>
      <c r="DV122" s="307"/>
      <c r="DW122" s="307"/>
      <c r="DX122" s="307"/>
      <c r="DY122" s="307"/>
      <c r="DZ122" s="307">
        <v>28389.73060675446</v>
      </c>
      <c r="EA122" s="307"/>
      <c r="EB122" s="307"/>
      <c r="EC122" s="307"/>
      <c r="ED122" s="307"/>
      <c r="EE122" s="307"/>
      <c r="EF122" s="307"/>
      <c r="EG122" s="307"/>
      <c r="EH122" s="307"/>
      <c r="EI122" s="307"/>
      <c r="EJ122" s="307"/>
      <c r="EK122" s="307">
        <v>11.564585936616515</v>
      </c>
      <c r="EL122" s="307">
        <v>44084.355958903725</v>
      </c>
    </row>
    <row r="123" spans="1:142" x14ac:dyDescent="0.25">
      <c r="A123" s="305" t="s">
        <v>1592</v>
      </c>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c r="AE123" s="307"/>
      <c r="AF123" s="307"/>
      <c r="AG123" s="307"/>
      <c r="AH123" s="307"/>
      <c r="AI123" s="307"/>
      <c r="AJ123" s="307"/>
      <c r="AK123" s="307"/>
      <c r="AL123" s="307"/>
      <c r="AM123" s="307"/>
      <c r="AN123" s="307"/>
      <c r="AO123" s="307"/>
      <c r="AP123" s="307"/>
      <c r="AQ123" s="307"/>
      <c r="AR123" s="307"/>
      <c r="AS123" s="307"/>
      <c r="AT123" s="307"/>
      <c r="AU123" s="307"/>
      <c r="AV123" s="307"/>
      <c r="AW123" s="307"/>
      <c r="AX123" s="307"/>
      <c r="AY123" s="307"/>
      <c r="AZ123" s="307"/>
      <c r="BA123" s="307"/>
      <c r="BB123" s="307"/>
      <c r="BC123" s="307"/>
      <c r="BD123" s="307"/>
      <c r="BE123" s="307"/>
      <c r="BF123" s="307"/>
      <c r="BG123" s="307"/>
      <c r="BH123" s="307"/>
      <c r="BI123" s="307"/>
      <c r="BJ123" s="307"/>
      <c r="BK123" s="307"/>
      <c r="BL123" s="307"/>
      <c r="BM123" s="307"/>
      <c r="BN123" s="307"/>
      <c r="BO123" s="307"/>
      <c r="BP123" s="307"/>
      <c r="BQ123" s="307"/>
      <c r="BR123" s="307"/>
      <c r="BS123" s="307"/>
      <c r="BT123" s="307"/>
      <c r="BU123" s="307"/>
      <c r="BV123" s="307"/>
      <c r="BW123" s="307"/>
      <c r="BX123" s="307"/>
      <c r="BY123" s="307"/>
      <c r="BZ123" s="307"/>
      <c r="CA123" s="307"/>
      <c r="CB123" s="307"/>
      <c r="CC123" s="307"/>
      <c r="CD123" s="307"/>
      <c r="CE123" s="307"/>
      <c r="CF123" s="307"/>
      <c r="CG123" s="307"/>
      <c r="CH123" s="307"/>
      <c r="CI123" s="307"/>
      <c r="CJ123" s="307"/>
      <c r="CK123" s="307"/>
      <c r="CL123" s="307"/>
      <c r="CM123" s="307"/>
      <c r="CN123" s="307"/>
      <c r="CO123" s="307"/>
      <c r="CP123" s="307"/>
      <c r="CQ123" s="307"/>
      <c r="CR123" s="307"/>
      <c r="CS123" s="307"/>
      <c r="CT123" s="307"/>
      <c r="CU123" s="307"/>
      <c r="CV123" s="307"/>
      <c r="CW123" s="307"/>
      <c r="CX123" s="307"/>
      <c r="CY123" s="307"/>
      <c r="CZ123" s="307"/>
      <c r="DA123" s="307"/>
      <c r="DB123" s="307"/>
      <c r="DC123" s="307"/>
      <c r="DD123" s="307">
        <v>9593.8801503583418</v>
      </c>
      <c r="DE123" s="307">
        <v>6111.331533205338</v>
      </c>
      <c r="DF123" s="307">
        <v>4437.8584642129163</v>
      </c>
      <c r="DG123" s="307">
        <v>1648.3934134634189</v>
      </c>
      <c r="DH123" s="307">
        <v>1421.4241807665242</v>
      </c>
      <c r="DI123" s="307"/>
      <c r="DJ123" s="307">
        <v>774.15781586337209</v>
      </c>
      <c r="DK123" s="307"/>
      <c r="DL123" s="307"/>
      <c r="DM123" s="307"/>
      <c r="DN123" s="307"/>
      <c r="DO123" s="307"/>
      <c r="DP123" s="307"/>
      <c r="DQ123" s="307"/>
      <c r="DR123" s="307"/>
      <c r="DS123" s="307"/>
      <c r="DT123" s="307"/>
      <c r="DU123" s="307"/>
      <c r="DV123" s="307"/>
      <c r="DW123" s="307"/>
      <c r="DX123" s="307"/>
      <c r="DY123" s="307"/>
      <c r="DZ123" s="307">
        <v>36663.950171325858</v>
      </c>
      <c r="EA123" s="307"/>
      <c r="EB123" s="307"/>
      <c r="EC123" s="307"/>
      <c r="ED123" s="307"/>
      <c r="EE123" s="307"/>
      <c r="EF123" s="307"/>
      <c r="EG123" s="307"/>
      <c r="EH123" s="307"/>
      <c r="EI123" s="307"/>
      <c r="EJ123" s="307"/>
      <c r="EK123" s="307">
        <v>25.04202258777493</v>
      </c>
      <c r="EL123" s="307">
        <v>60676.037751783544</v>
      </c>
    </row>
    <row r="124" spans="1:142" x14ac:dyDescent="0.25">
      <c r="A124" s="305" t="s">
        <v>1591</v>
      </c>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307"/>
      <c r="BE124" s="307"/>
      <c r="BF124" s="307"/>
      <c r="BG124" s="307"/>
      <c r="BH124" s="307"/>
      <c r="BI124" s="307"/>
      <c r="BJ124" s="307"/>
      <c r="BK124" s="307"/>
      <c r="BL124" s="307"/>
      <c r="BM124" s="307"/>
      <c r="BN124" s="307"/>
      <c r="BO124" s="307"/>
      <c r="BP124" s="307"/>
      <c r="BQ124" s="307"/>
      <c r="BR124" s="307"/>
      <c r="BS124" s="307"/>
      <c r="BT124" s="307"/>
      <c r="BU124" s="307"/>
      <c r="BV124" s="307"/>
      <c r="BW124" s="307"/>
      <c r="BX124" s="307"/>
      <c r="BY124" s="307"/>
      <c r="BZ124" s="307"/>
      <c r="CA124" s="307"/>
      <c r="CB124" s="307"/>
      <c r="CC124" s="307"/>
      <c r="CD124" s="307"/>
      <c r="CE124" s="307"/>
      <c r="CF124" s="307"/>
      <c r="CG124" s="307"/>
      <c r="CH124" s="307"/>
      <c r="CI124" s="307"/>
      <c r="CJ124" s="307"/>
      <c r="CK124" s="307"/>
      <c r="CL124" s="307"/>
      <c r="CM124" s="307"/>
      <c r="CN124" s="307"/>
      <c r="CO124" s="307"/>
      <c r="CP124" s="307"/>
      <c r="CQ124" s="307"/>
      <c r="CR124" s="307"/>
      <c r="CS124" s="307"/>
      <c r="CT124" s="307"/>
      <c r="CU124" s="307"/>
      <c r="CV124" s="307"/>
      <c r="CW124" s="307"/>
      <c r="CX124" s="307"/>
      <c r="CY124" s="307"/>
      <c r="CZ124" s="307"/>
      <c r="DA124" s="307"/>
      <c r="DB124" s="307"/>
      <c r="DC124" s="307"/>
      <c r="DD124" s="307">
        <v>11120.909121539033</v>
      </c>
      <c r="DE124" s="307">
        <v>8910.1433005009894</v>
      </c>
      <c r="DF124" s="307">
        <v>10690.177400489345</v>
      </c>
      <c r="DG124" s="307">
        <v>3151.2732648789129</v>
      </c>
      <c r="DH124" s="307">
        <v>2794.3077531428162</v>
      </c>
      <c r="DI124" s="307"/>
      <c r="DJ124" s="307">
        <v>1896.9277611452551</v>
      </c>
      <c r="DK124" s="307"/>
      <c r="DL124" s="307"/>
      <c r="DM124" s="307"/>
      <c r="DN124" s="307"/>
      <c r="DO124" s="307"/>
      <c r="DP124" s="307"/>
      <c r="DQ124" s="307"/>
      <c r="DR124" s="307"/>
      <c r="DS124" s="307"/>
      <c r="DT124" s="307"/>
      <c r="DU124" s="307"/>
      <c r="DV124" s="307"/>
      <c r="DW124" s="307"/>
      <c r="DX124" s="307"/>
      <c r="DY124" s="307"/>
      <c r="DZ124" s="307">
        <v>37083.035723041707</v>
      </c>
      <c r="EA124" s="307"/>
      <c r="EB124" s="307"/>
      <c r="EC124" s="307"/>
      <c r="ED124" s="307"/>
      <c r="EE124" s="307"/>
      <c r="EF124" s="307"/>
      <c r="EG124" s="307"/>
      <c r="EH124" s="307"/>
      <c r="EI124" s="307"/>
      <c r="EJ124" s="307"/>
      <c r="EK124" s="307">
        <v>47.285824017984396</v>
      </c>
      <c r="EL124" s="307">
        <v>75694.060148756034</v>
      </c>
    </row>
    <row r="125" spans="1:142" x14ac:dyDescent="0.25">
      <c r="A125" s="305" t="s">
        <v>1590</v>
      </c>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c r="AE125" s="307"/>
      <c r="AF125" s="307"/>
      <c r="AG125" s="307"/>
      <c r="AH125" s="307"/>
      <c r="AI125" s="307"/>
      <c r="AJ125" s="307"/>
      <c r="AK125" s="307"/>
      <c r="AL125" s="307"/>
      <c r="AM125" s="307"/>
      <c r="AN125" s="307"/>
      <c r="AO125" s="307"/>
      <c r="AP125" s="307"/>
      <c r="AQ125" s="307"/>
      <c r="AR125" s="307"/>
      <c r="AS125" s="307"/>
      <c r="AT125" s="307"/>
      <c r="AU125" s="307"/>
      <c r="AV125" s="307"/>
      <c r="AW125" s="307"/>
      <c r="AX125" s="307"/>
      <c r="AY125" s="307"/>
      <c r="AZ125" s="307"/>
      <c r="BA125" s="307"/>
      <c r="BB125" s="307"/>
      <c r="BC125" s="307"/>
      <c r="BD125" s="307"/>
      <c r="BE125" s="307"/>
      <c r="BF125" s="307"/>
      <c r="BG125" s="307"/>
      <c r="BH125" s="307"/>
      <c r="BI125" s="307"/>
      <c r="BJ125" s="307"/>
      <c r="BK125" s="307"/>
      <c r="BL125" s="307"/>
      <c r="BM125" s="307"/>
      <c r="BN125" s="307"/>
      <c r="BO125" s="307"/>
      <c r="BP125" s="307"/>
      <c r="BQ125" s="307"/>
      <c r="BR125" s="307"/>
      <c r="BS125" s="307"/>
      <c r="BT125" s="307"/>
      <c r="BU125" s="307"/>
      <c r="BV125" s="307"/>
      <c r="BW125" s="307"/>
      <c r="BX125" s="307"/>
      <c r="BY125" s="307"/>
      <c r="BZ125" s="307"/>
      <c r="CA125" s="307"/>
      <c r="CB125" s="307"/>
      <c r="CC125" s="307"/>
      <c r="CD125" s="307"/>
      <c r="CE125" s="307"/>
      <c r="CF125" s="307"/>
      <c r="CG125" s="307"/>
      <c r="CH125" s="307"/>
      <c r="CI125" s="307"/>
      <c r="CJ125" s="307"/>
      <c r="CK125" s="307"/>
      <c r="CL125" s="307"/>
      <c r="CM125" s="307"/>
      <c r="CN125" s="307"/>
      <c r="CO125" s="307"/>
      <c r="CP125" s="307"/>
      <c r="CQ125" s="307"/>
      <c r="CR125" s="307"/>
      <c r="CS125" s="307"/>
      <c r="CT125" s="307"/>
      <c r="CU125" s="307"/>
      <c r="CV125" s="307"/>
      <c r="CW125" s="307"/>
      <c r="CX125" s="307"/>
      <c r="CY125" s="307"/>
      <c r="CZ125" s="307"/>
      <c r="DA125" s="307"/>
      <c r="DB125" s="307"/>
      <c r="DC125" s="307"/>
      <c r="DD125" s="307">
        <v>11578.864424242127</v>
      </c>
      <c r="DE125" s="307">
        <v>14253.479107898311</v>
      </c>
      <c r="DF125" s="307">
        <v>12896.646332436541</v>
      </c>
      <c r="DG125" s="307">
        <v>5098.2669200021037</v>
      </c>
      <c r="DH125" s="307">
        <v>4265.994610255575</v>
      </c>
      <c r="DI125" s="307"/>
      <c r="DJ125" s="307">
        <v>3234.6677281001498</v>
      </c>
      <c r="DK125" s="307"/>
      <c r="DL125" s="307"/>
      <c r="DM125" s="307"/>
      <c r="DN125" s="307"/>
      <c r="DO125" s="307"/>
      <c r="DP125" s="307"/>
      <c r="DQ125" s="307"/>
      <c r="DR125" s="307"/>
      <c r="DS125" s="307"/>
      <c r="DT125" s="307"/>
      <c r="DU125" s="307"/>
      <c r="DV125" s="307"/>
      <c r="DW125" s="307"/>
      <c r="DX125" s="307"/>
      <c r="DY125" s="307"/>
      <c r="DZ125" s="307">
        <v>36403.259960741576</v>
      </c>
      <c r="EA125" s="307"/>
      <c r="EB125" s="307"/>
      <c r="EC125" s="307"/>
      <c r="ED125" s="307"/>
      <c r="EE125" s="307"/>
      <c r="EF125" s="307"/>
      <c r="EG125" s="307"/>
      <c r="EH125" s="307"/>
      <c r="EI125" s="307"/>
      <c r="EJ125" s="307"/>
      <c r="EK125" s="307">
        <v>75.430420756278735</v>
      </c>
      <c r="EL125" s="307">
        <v>87806.609504432665</v>
      </c>
    </row>
    <row r="126" spans="1:142" x14ac:dyDescent="0.25">
      <c r="A126" s="305" t="s">
        <v>1589</v>
      </c>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c r="AE126" s="307"/>
      <c r="AF126" s="307"/>
      <c r="AG126" s="307"/>
      <c r="AH126" s="307"/>
      <c r="AI126" s="307"/>
      <c r="AJ126" s="307"/>
      <c r="AK126" s="307"/>
      <c r="AL126" s="307"/>
      <c r="AM126" s="307"/>
      <c r="AN126" s="307"/>
      <c r="AO126" s="307"/>
      <c r="AP126" s="307"/>
      <c r="AQ126" s="307"/>
      <c r="AR126" s="307"/>
      <c r="AS126" s="307"/>
      <c r="AT126" s="307"/>
      <c r="AU126" s="307"/>
      <c r="AV126" s="307"/>
      <c r="AW126" s="307"/>
      <c r="AX126" s="307"/>
      <c r="AY126" s="307"/>
      <c r="AZ126" s="307"/>
      <c r="BA126" s="307"/>
      <c r="BB126" s="307"/>
      <c r="BC126" s="307"/>
      <c r="BD126" s="307"/>
      <c r="BE126" s="307"/>
      <c r="BF126" s="307"/>
      <c r="BG126" s="307"/>
      <c r="BH126" s="307"/>
      <c r="BI126" s="307"/>
      <c r="BJ126" s="307"/>
      <c r="BK126" s="307"/>
      <c r="BL126" s="307"/>
      <c r="BM126" s="307"/>
      <c r="BN126" s="307"/>
      <c r="BO126" s="307"/>
      <c r="BP126" s="307"/>
      <c r="BQ126" s="307"/>
      <c r="BR126" s="307"/>
      <c r="BS126" s="307"/>
      <c r="BT126" s="307"/>
      <c r="BU126" s="307"/>
      <c r="BV126" s="307"/>
      <c r="BW126" s="307"/>
      <c r="BX126" s="307"/>
      <c r="BY126" s="307"/>
      <c r="BZ126" s="307"/>
      <c r="CA126" s="307"/>
      <c r="CB126" s="307"/>
      <c r="CC126" s="307"/>
      <c r="CD126" s="307"/>
      <c r="CE126" s="307"/>
      <c r="CF126" s="307"/>
      <c r="CG126" s="307"/>
      <c r="CH126" s="307"/>
      <c r="CI126" s="307"/>
      <c r="CJ126" s="307"/>
      <c r="CK126" s="307"/>
      <c r="CL126" s="307"/>
      <c r="CM126" s="307"/>
      <c r="CN126" s="307"/>
      <c r="CO126" s="307"/>
      <c r="CP126" s="307"/>
      <c r="CQ126" s="307"/>
      <c r="CR126" s="307"/>
      <c r="CS126" s="307"/>
      <c r="CT126" s="307"/>
      <c r="CU126" s="307"/>
      <c r="CV126" s="307"/>
      <c r="CW126" s="307"/>
      <c r="CX126" s="307"/>
      <c r="CY126" s="307"/>
      <c r="CZ126" s="307"/>
      <c r="DA126" s="307"/>
      <c r="DB126" s="307"/>
      <c r="DC126" s="307"/>
      <c r="DD126" s="307">
        <v>10862.675509066399</v>
      </c>
      <c r="DE126" s="307">
        <v>15477.571773987895</v>
      </c>
      <c r="DF126" s="307">
        <v>22963.679500054179</v>
      </c>
      <c r="DG126" s="307">
        <v>9392.4035972107813</v>
      </c>
      <c r="DH126" s="307">
        <v>6004.3613314833419</v>
      </c>
      <c r="DI126" s="307"/>
      <c r="DJ126" s="307">
        <v>5625.0577736963023</v>
      </c>
      <c r="DK126" s="307"/>
      <c r="DL126" s="307"/>
      <c r="DM126" s="307"/>
      <c r="DN126" s="307"/>
      <c r="DO126" s="307"/>
      <c r="DP126" s="307"/>
      <c r="DQ126" s="307"/>
      <c r="DR126" s="307"/>
      <c r="DS126" s="307"/>
      <c r="DT126" s="307"/>
      <c r="DU126" s="307"/>
      <c r="DV126" s="307"/>
      <c r="DW126" s="307"/>
      <c r="DX126" s="307"/>
      <c r="DY126" s="307"/>
      <c r="DZ126" s="307">
        <v>33484.214924695894</v>
      </c>
      <c r="EA126" s="307"/>
      <c r="EB126" s="307"/>
      <c r="EC126" s="307"/>
      <c r="ED126" s="307"/>
      <c r="EE126" s="307"/>
      <c r="EF126" s="307"/>
      <c r="EG126" s="307"/>
      <c r="EH126" s="307"/>
      <c r="EI126" s="307"/>
      <c r="EJ126" s="307"/>
      <c r="EK126" s="307">
        <v>116.60083342194035</v>
      </c>
      <c r="EL126" s="307">
        <v>103926.56524361674</v>
      </c>
    </row>
    <row r="127" spans="1:142" x14ac:dyDescent="0.25">
      <c r="A127" s="305" t="s">
        <v>1588</v>
      </c>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307"/>
      <c r="BE127" s="307"/>
      <c r="BF127" s="307"/>
      <c r="BG127" s="307"/>
      <c r="BH127" s="307"/>
      <c r="BI127" s="307"/>
      <c r="BJ127" s="307"/>
      <c r="BK127" s="307"/>
      <c r="BL127" s="307"/>
      <c r="BM127" s="307"/>
      <c r="BN127" s="307"/>
      <c r="BO127" s="307"/>
      <c r="BP127" s="307"/>
      <c r="BQ127" s="307"/>
      <c r="BR127" s="307"/>
      <c r="BS127" s="307"/>
      <c r="BT127" s="307"/>
      <c r="BU127" s="307"/>
      <c r="BV127" s="307"/>
      <c r="BW127" s="307"/>
      <c r="BX127" s="307"/>
      <c r="BY127" s="307"/>
      <c r="BZ127" s="307"/>
      <c r="CA127" s="307"/>
      <c r="CB127" s="307"/>
      <c r="CC127" s="307"/>
      <c r="CD127" s="307"/>
      <c r="CE127" s="307"/>
      <c r="CF127" s="307"/>
      <c r="CG127" s="307"/>
      <c r="CH127" s="307"/>
      <c r="CI127" s="307"/>
      <c r="CJ127" s="307"/>
      <c r="CK127" s="307"/>
      <c r="CL127" s="307"/>
      <c r="CM127" s="307"/>
      <c r="CN127" s="307"/>
      <c r="CO127" s="307"/>
      <c r="CP127" s="307"/>
      <c r="CQ127" s="307"/>
      <c r="CR127" s="307"/>
      <c r="CS127" s="307"/>
      <c r="CT127" s="307"/>
      <c r="CU127" s="307"/>
      <c r="CV127" s="307"/>
      <c r="CW127" s="307"/>
      <c r="CX127" s="307"/>
      <c r="CY127" s="307"/>
      <c r="CZ127" s="307"/>
      <c r="DA127" s="307"/>
      <c r="DB127" s="307"/>
      <c r="DC127" s="307"/>
      <c r="DD127" s="307">
        <v>10202.0013229453</v>
      </c>
      <c r="DE127" s="307">
        <v>19876.871062312748</v>
      </c>
      <c r="DF127" s="307">
        <v>28952.671989279435</v>
      </c>
      <c r="DG127" s="307">
        <v>22310.675635201489</v>
      </c>
      <c r="DH127" s="307">
        <v>9833.9733553365604</v>
      </c>
      <c r="DI127" s="307"/>
      <c r="DJ127" s="307">
        <v>11781.703113544156</v>
      </c>
      <c r="DK127" s="307"/>
      <c r="DL127" s="307"/>
      <c r="DM127" s="307"/>
      <c r="DN127" s="307"/>
      <c r="DO127" s="307"/>
      <c r="DP127" s="307"/>
      <c r="DQ127" s="307"/>
      <c r="DR127" s="307"/>
      <c r="DS127" s="307"/>
      <c r="DT127" s="307"/>
      <c r="DU127" s="307"/>
      <c r="DV127" s="307"/>
      <c r="DW127" s="307"/>
      <c r="DX127" s="307"/>
      <c r="DY127" s="307"/>
      <c r="DZ127" s="307">
        <v>24472.027145310865</v>
      </c>
      <c r="EA127" s="307"/>
      <c r="EB127" s="307"/>
      <c r="EC127" s="307"/>
      <c r="ED127" s="307"/>
      <c r="EE127" s="307"/>
      <c r="EF127" s="307"/>
      <c r="EG127" s="307"/>
      <c r="EH127" s="307"/>
      <c r="EI127" s="307"/>
      <c r="EJ127" s="307"/>
      <c r="EK127" s="307">
        <v>164.80811534239442</v>
      </c>
      <c r="EL127" s="307">
        <v>127594.73173927295</v>
      </c>
    </row>
    <row r="128" spans="1:142" x14ac:dyDescent="0.25">
      <c r="A128" s="305" t="s">
        <v>1587</v>
      </c>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c r="AE128" s="307"/>
      <c r="AF128" s="307"/>
      <c r="AG128" s="307"/>
      <c r="AH128" s="307"/>
      <c r="AI128" s="307"/>
      <c r="AJ128" s="307"/>
      <c r="AK128" s="307"/>
      <c r="AL128" s="307"/>
      <c r="AM128" s="307"/>
      <c r="AN128" s="307"/>
      <c r="AO128" s="307"/>
      <c r="AP128" s="307"/>
      <c r="AQ128" s="307"/>
      <c r="AR128" s="307"/>
      <c r="AS128" s="307"/>
      <c r="AT128" s="307"/>
      <c r="AU128" s="307"/>
      <c r="AV128" s="307"/>
      <c r="AW128" s="307"/>
      <c r="AX128" s="307"/>
      <c r="AY128" s="307"/>
      <c r="AZ128" s="307"/>
      <c r="BA128" s="307"/>
      <c r="BB128" s="307"/>
      <c r="BC128" s="307"/>
      <c r="BD128" s="307"/>
      <c r="BE128" s="307"/>
      <c r="BF128" s="307"/>
      <c r="BG128" s="307"/>
      <c r="BH128" s="307"/>
      <c r="BI128" s="307"/>
      <c r="BJ128" s="307"/>
      <c r="BK128" s="307"/>
      <c r="BL128" s="307"/>
      <c r="BM128" s="307"/>
      <c r="BN128" s="307"/>
      <c r="BO128" s="307"/>
      <c r="BP128" s="307"/>
      <c r="BQ128" s="307"/>
      <c r="BR128" s="307"/>
      <c r="BS128" s="307"/>
      <c r="BT128" s="307"/>
      <c r="BU128" s="307"/>
      <c r="BV128" s="307"/>
      <c r="BW128" s="307"/>
      <c r="BX128" s="307"/>
      <c r="BY128" s="307"/>
      <c r="BZ128" s="307"/>
      <c r="CA128" s="307"/>
      <c r="CB128" s="307"/>
      <c r="CC128" s="307"/>
      <c r="CD128" s="307"/>
      <c r="CE128" s="307"/>
      <c r="CF128" s="307"/>
      <c r="CG128" s="307"/>
      <c r="CH128" s="307"/>
      <c r="CI128" s="307"/>
      <c r="CJ128" s="307"/>
      <c r="CK128" s="307"/>
      <c r="CL128" s="307"/>
      <c r="CM128" s="307"/>
      <c r="CN128" s="307"/>
      <c r="CO128" s="307"/>
      <c r="CP128" s="307"/>
      <c r="CQ128" s="307"/>
      <c r="CR128" s="307"/>
      <c r="CS128" s="307"/>
      <c r="CT128" s="307"/>
      <c r="CU128" s="307"/>
      <c r="CV128" s="307"/>
      <c r="CW128" s="307"/>
      <c r="CX128" s="307"/>
      <c r="CY128" s="307"/>
      <c r="CZ128" s="307"/>
      <c r="DA128" s="307"/>
      <c r="DB128" s="307"/>
      <c r="DC128" s="307"/>
      <c r="DD128" s="307">
        <v>8110.4984896827082</v>
      </c>
      <c r="DE128" s="307">
        <v>18019.215597578539</v>
      </c>
      <c r="DF128" s="307">
        <v>50106.986714551109</v>
      </c>
      <c r="DG128" s="307">
        <v>36305.790649791925</v>
      </c>
      <c r="DH128" s="307">
        <v>15248.093975700007</v>
      </c>
      <c r="DI128" s="307"/>
      <c r="DJ128" s="307">
        <v>19850.165973902302</v>
      </c>
      <c r="DK128" s="307"/>
      <c r="DL128" s="307"/>
      <c r="DM128" s="307"/>
      <c r="DN128" s="307"/>
      <c r="DO128" s="307"/>
      <c r="DP128" s="307"/>
      <c r="DQ128" s="307"/>
      <c r="DR128" s="307"/>
      <c r="DS128" s="307"/>
      <c r="DT128" s="307"/>
      <c r="DU128" s="307"/>
      <c r="DV128" s="307"/>
      <c r="DW128" s="307"/>
      <c r="DX128" s="307"/>
      <c r="DY128" s="307"/>
      <c r="DZ128" s="307">
        <v>22413.938737558026</v>
      </c>
      <c r="EA128" s="307"/>
      <c r="EB128" s="307"/>
      <c r="EC128" s="307"/>
      <c r="ED128" s="307"/>
      <c r="EE128" s="307"/>
      <c r="EF128" s="307"/>
      <c r="EG128" s="307"/>
      <c r="EH128" s="307"/>
      <c r="EI128" s="307"/>
      <c r="EJ128" s="307"/>
      <c r="EK128" s="307">
        <v>341.1889178543554</v>
      </c>
      <c r="EL128" s="307">
        <v>170395.87905661899</v>
      </c>
    </row>
    <row r="129" spans="1:142" x14ac:dyDescent="0.25">
      <c r="A129" s="305" t="s">
        <v>1586</v>
      </c>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c r="AE129" s="307"/>
      <c r="AF129" s="307"/>
      <c r="AG129" s="307"/>
      <c r="AH129" s="307"/>
      <c r="AI129" s="307"/>
      <c r="AJ129" s="307"/>
      <c r="AK129" s="307"/>
      <c r="AL129" s="307"/>
      <c r="AM129" s="307"/>
      <c r="AN129" s="307"/>
      <c r="AO129" s="307"/>
      <c r="AP129" s="307"/>
      <c r="AQ129" s="307"/>
      <c r="AR129" s="307"/>
      <c r="AS129" s="307"/>
      <c r="AT129" s="307"/>
      <c r="AU129" s="307"/>
      <c r="AV129" s="307"/>
      <c r="AW129" s="307"/>
      <c r="AX129" s="307"/>
      <c r="AY129" s="307"/>
      <c r="AZ129" s="307"/>
      <c r="BA129" s="307"/>
      <c r="BB129" s="307"/>
      <c r="BC129" s="307"/>
      <c r="BD129" s="307"/>
      <c r="BE129" s="307"/>
      <c r="BF129" s="307"/>
      <c r="BG129" s="307"/>
      <c r="BH129" s="307"/>
      <c r="BI129" s="307"/>
      <c r="BJ129" s="307"/>
      <c r="BK129" s="307"/>
      <c r="BL129" s="307"/>
      <c r="BM129" s="307"/>
      <c r="BN129" s="307"/>
      <c r="BO129" s="307"/>
      <c r="BP129" s="307"/>
      <c r="BQ129" s="307"/>
      <c r="BR129" s="307"/>
      <c r="BS129" s="307"/>
      <c r="BT129" s="307"/>
      <c r="BU129" s="307"/>
      <c r="BV129" s="307"/>
      <c r="BW129" s="307"/>
      <c r="BX129" s="307"/>
      <c r="BY129" s="307"/>
      <c r="BZ129" s="307"/>
      <c r="CA129" s="307"/>
      <c r="CB129" s="307"/>
      <c r="CC129" s="307"/>
      <c r="CD129" s="307"/>
      <c r="CE129" s="307"/>
      <c r="CF129" s="307"/>
      <c r="CG129" s="307"/>
      <c r="CH129" s="307"/>
      <c r="CI129" s="307"/>
      <c r="CJ129" s="307"/>
      <c r="CK129" s="307"/>
      <c r="CL129" s="307"/>
      <c r="CM129" s="307"/>
      <c r="CN129" s="307"/>
      <c r="CO129" s="307"/>
      <c r="CP129" s="307"/>
      <c r="CQ129" s="307"/>
      <c r="CR129" s="307"/>
      <c r="CS129" s="307"/>
      <c r="CT129" s="307"/>
      <c r="CU129" s="307"/>
      <c r="CV129" s="307"/>
      <c r="CW129" s="307"/>
      <c r="CX129" s="307"/>
      <c r="CY129" s="307"/>
      <c r="CZ129" s="307"/>
      <c r="DA129" s="307"/>
      <c r="DB129" s="307"/>
      <c r="DC129" s="307"/>
      <c r="DD129" s="307">
        <v>5788.2118061129677</v>
      </c>
      <c r="DE129" s="307">
        <v>26255.2805232178</v>
      </c>
      <c r="DF129" s="307">
        <v>54683.16665409194</v>
      </c>
      <c r="DG129" s="307">
        <v>88000.237397311561</v>
      </c>
      <c r="DH129" s="307">
        <v>29741.554463756587</v>
      </c>
      <c r="DI129" s="307"/>
      <c r="DJ129" s="307">
        <v>40930.828766866529</v>
      </c>
      <c r="DK129" s="307"/>
      <c r="DL129" s="307"/>
      <c r="DM129" s="307"/>
      <c r="DN129" s="307"/>
      <c r="DO129" s="307"/>
      <c r="DP129" s="307"/>
      <c r="DQ129" s="307"/>
      <c r="DR129" s="307"/>
      <c r="DS129" s="307"/>
      <c r="DT129" s="307"/>
      <c r="DU129" s="307"/>
      <c r="DV129" s="307"/>
      <c r="DW129" s="307"/>
      <c r="DX129" s="307"/>
      <c r="DY129" s="307"/>
      <c r="DZ129" s="307">
        <v>17500.821949717276</v>
      </c>
      <c r="EA129" s="307"/>
      <c r="EB129" s="307"/>
      <c r="EC129" s="307"/>
      <c r="ED129" s="307"/>
      <c r="EE129" s="307"/>
      <c r="EF129" s="307"/>
      <c r="EG129" s="307"/>
      <c r="EH129" s="307"/>
      <c r="EI129" s="307"/>
      <c r="EJ129" s="307"/>
      <c r="EK129" s="307">
        <v>688.32629442177563</v>
      </c>
      <c r="EL129" s="307">
        <v>263588.42785549647</v>
      </c>
    </row>
    <row r="130" spans="1:142" x14ac:dyDescent="0.25">
      <c r="A130" s="305" t="s">
        <v>1585</v>
      </c>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307"/>
      <c r="BE130" s="307"/>
      <c r="BF130" s="307"/>
      <c r="BG130" s="307"/>
      <c r="BH130" s="307"/>
      <c r="BI130" s="307"/>
      <c r="BJ130" s="307"/>
      <c r="BK130" s="307"/>
      <c r="BL130" s="307"/>
      <c r="BM130" s="307"/>
      <c r="BN130" s="307"/>
      <c r="BO130" s="307"/>
      <c r="BP130" s="307"/>
      <c r="BQ130" s="307"/>
      <c r="BR130" s="307"/>
      <c r="BS130" s="307"/>
      <c r="BT130" s="307"/>
      <c r="BU130" s="307"/>
      <c r="BV130" s="307"/>
      <c r="BW130" s="307"/>
      <c r="BX130" s="307"/>
      <c r="BY130" s="307"/>
      <c r="BZ130" s="307"/>
      <c r="CA130" s="307"/>
      <c r="CB130" s="307"/>
      <c r="CC130" s="307"/>
      <c r="CD130" s="307"/>
      <c r="CE130" s="307"/>
      <c r="CF130" s="307"/>
      <c r="CG130" s="307"/>
      <c r="CH130" s="307"/>
      <c r="CI130" s="307"/>
      <c r="CJ130" s="307"/>
      <c r="CK130" s="307"/>
      <c r="CL130" s="307"/>
      <c r="CM130" s="307"/>
      <c r="CN130" s="307"/>
      <c r="CO130" s="307"/>
      <c r="CP130" s="307"/>
      <c r="CQ130" s="307"/>
      <c r="CR130" s="307"/>
      <c r="CS130" s="307"/>
      <c r="CT130" s="307"/>
      <c r="CU130" s="307"/>
      <c r="CV130" s="307"/>
      <c r="CW130" s="307"/>
      <c r="CX130" s="307"/>
      <c r="CY130" s="307"/>
      <c r="CZ130" s="307"/>
      <c r="DA130" s="307"/>
      <c r="DB130" s="307"/>
      <c r="DC130" s="307"/>
      <c r="DD130" s="307">
        <v>4517.8300868108545</v>
      </c>
      <c r="DE130" s="307">
        <v>18914.153774825849</v>
      </c>
      <c r="DF130" s="307">
        <v>83526.425327875564</v>
      </c>
      <c r="DG130" s="307">
        <v>208005.33964794088</v>
      </c>
      <c r="DH130" s="307">
        <v>94553.484988240758</v>
      </c>
      <c r="DI130" s="307"/>
      <c r="DJ130" s="307">
        <v>94320.998508837132</v>
      </c>
      <c r="DK130" s="307"/>
      <c r="DL130" s="307"/>
      <c r="DM130" s="307"/>
      <c r="DN130" s="307"/>
      <c r="DO130" s="307"/>
      <c r="DP130" s="307"/>
      <c r="DQ130" s="307"/>
      <c r="DR130" s="307"/>
      <c r="DS130" s="307"/>
      <c r="DT130" s="307"/>
      <c r="DU130" s="307"/>
      <c r="DV130" s="307"/>
      <c r="DW130" s="307"/>
      <c r="DX130" s="307"/>
      <c r="DY130" s="307"/>
      <c r="DZ130" s="307">
        <v>17467.85876461005</v>
      </c>
      <c r="EA130" s="307"/>
      <c r="EB130" s="307"/>
      <c r="EC130" s="307"/>
      <c r="ED130" s="307"/>
      <c r="EE130" s="307"/>
      <c r="EF130" s="307"/>
      <c r="EG130" s="307"/>
      <c r="EH130" s="307"/>
      <c r="EI130" s="307"/>
      <c r="EJ130" s="307"/>
      <c r="EK130" s="307">
        <v>2494.3097545911373</v>
      </c>
      <c r="EL130" s="307">
        <v>523800.40085373219</v>
      </c>
    </row>
    <row r="131" spans="1:142" x14ac:dyDescent="0.25">
      <c r="A131" s="305" t="s">
        <v>1584</v>
      </c>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c r="AE131" s="307"/>
      <c r="AF131" s="307"/>
      <c r="AG131" s="307"/>
      <c r="AH131" s="307"/>
      <c r="AI131" s="307"/>
      <c r="AJ131" s="307"/>
      <c r="AK131" s="307"/>
      <c r="AL131" s="307"/>
      <c r="AM131" s="307"/>
      <c r="AN131" s="307"/>
      <c r="AO131" s="307"/>
      <c r="AP131" s="307"/>
      <c r="AQ131" s="307"/>
      <c r="AR131" s="307"/>
      <c r="AS131" s="307"/>
      <c r="AT131" s="307"/>
      <c r="AU131" s="307"/>
      <c r="AV131" s="307"/>
      <c r="AW131" s="307"/>
      <c r="AX131" s="307"/>
      <c r="AY131" s="307"/>
      <c r="AZ131" s="307"/>
      <c r="BA131" s="307"/>
      <c r="BB131" s="307"/>
      <c r="BC131" s="307"/>
      <c r="BD131" s="307"/>
      <c r="BE131" s="307"/>
      <c r="BF131" s="307"/>
      <c r="BG131" s="307"/>
      <c r="BH131" s="307"/>
      <c r="BI131" s="307"/>
      <c r="BJ131" s="307"/>
      <c r="BK131" s="307"/>
      <c r="BL131" s="307"/>
      <c r="BM131" s="307"/>
      <c r="BN131" s="307"/>
      <c r="BO131" s="307"/>
      <c r="BP131" s="307"/>
      <c r="BQ131" s="307"/>
      <c r="BR131" s="307"/>
      <c r="BS131" s="307"/>
      <c r="BT131" s="307"/>
      <c r="BU131" s="307"/>
      <c r="BV131" s="307"/>
      <c r="BW131" s="307"/>
      <c r="BX131" s="307"/>
      <c r="BY131" s="307"/>
      <c r="BZ131" s="307"/>
      <c r="CA131" s="307"/>
      <c r="CB131" s="307"/>
      <c r="CC131" s="307"/>
      <c r="CD131" s="307"/>
      <c r="CE131" s="307"/>
      <c r="CF131" s="307"/>
      <c r="CG131" s="307"/>
      <c r="CH131" s="307"/>
      <c r="CI131" s="307"/>
      <c r="CJ131" s="307"/>
      <c r="CK131" s="307"/>
      <c r="CL131" s="307"/>
      <c r="CM131" s="307"/>
      <c r="CN131" s="307"/>
      <c r="CO131" s="307"/>
      <c r="CP131" s="307"/>
      <c r="CQ131" s="307"/>
      <c r="CR131" s="307"/>
      <c r="CS131" s="307"/>
      <c r="CT131" s="307"/>
      <c r="CU131" s="307"/>
      <c r="CV131" s="307"/>
      <c r="CW131" s="307"/>
      <c r="CX131" s="307"/>
      <c r="CY131" s="307"/>
      <c r="CZ131" s="307"/>
      <c r="DA131" s="307"/>
      <c r="DB131" s="307"/>
      <c r="DC131" s="307"/>
      <c r="DD131" s="307">
        <v>268.98370432985081</v>
      </c>
      <c r="DE131" s="307">
        <v>3219.4976756422284</v>
      </c>
      <c r="DF131" s="307">
        <v>17955.775317842425</v>
      </c>
      <c r="DG131" s="307">
        <v>71632.820072468341</v>
      </c>
      <c r="DH131" s="307">
        <v>26770.474428663907</v>
      </c>
      <c r="DI131" s="307"/>
      <c r="DJ131" s="307">
        <v>36043.533606869474</v>
      </c>
      <c r="DK131" s="307"/>
      <c r="DL131" s="307"/>
      <c r="DM131" s="307"/>
      <c r="DN131" s="307"/>
      <c r="DO131" s="307"/>
      <c r="DP131" s="307"/>
      <c r="DQ131" s="307"/>
      <c r="DR131" s="307"/>
      <c r="DS131" s="307"/>
      <c r="DT131" s="307"/>
      <c r="DU131" s="307"/>
      <c r="DV131" s="307"/>
      <c r="DW131" s="307"/>
      <c r="DX131" s="307"/>
      <c r="DY131" s="307"/>
      <c r="DZ131" s="307">
        <v>7553.8128680500495</v>
      </c>
      <c r="EA131" s="307"/>
      <c r="EB131" s="307"/>
      <c r="EC131" s="307"/>
      <c r="ED131" s="307"/>
      <c r="EE131" s="307"/>
      <c r="EF131" s="307"/>
      <c r="EG131" s="307"/>
      <c r="EH131" s="307"/>
      <c r="EI131" s="307"/>
      <c r="EJ131" s="307"/>
      <c r="EK131" s="307">
        <v>774.89731018930843</v>
      </c>
      <c r="EL131" s="307">
        <v>164219.7949840556</v>
      </c>
    </row>
    <row r="132" spans="1:142" x14ac:dyDescent="0.25">
      <c r="A132" s="305" t="s">
        <v>1583</v>
      </c>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c r="AE132" s="307"/>
      <c r="AF132" s="307"/>
      <c r="AG132" s="307"/>
      <c r="AH132" s="307"/>
      <c r="AI132" s="307"/>
      <c r="AJ132" s="307"/>
      <c r="AK132" s="307"/>
      <c r="AL132" s="307"/>
      <c r="AM132" s="307"/>
      <c r="AN132" s="307"/>
      <c r="AO132" s="307"/>
      <c r="AP132" s="307"/>
      <c r="AQ132" s="307"/>
      <c r="AR132" s="307"/>
      <c r="AS132" s="307"/>
      <c r="AT132" s="307"/>
      <c r="AU132" s="307"/>
      <c r="AV132" s="307"/>
      <c r="AW132" s="307"/>
      <c r="AX132" s="307"/>
      <c r="AY132" s="307"/>
      <c r="AZ132" s="307"/>
      <c r="BA132" s="307"/>
      <c r="BB132" s="307"/>
      <c r="BC132" s="307"/>
      <c r="BD132" s="307"/>
      <c r="BE132" s="307"/>
      <c r="BF132" s="307"/>
      <c r="BG132" s="307"/>
      <c r="BH132" s="307"/>
      <c r="BI132" s="307"/>
      <c r="BJ132" s="307"/>
      <c r="BK132" s="307"/>
      <c r="BL132" s="307"/>
      <c r="BM132" s="307"/>
      <c r="BN132" s="307"/>
      <c r="BO132" s="307"/>
      <c r="BP132" s="307"/>
      <c r="BQ132" s="307"/>
      <c r="BR132" s="307"/>
      <c r="BS132" s="307"/>
      <c r="BT132" s="307"/>
      <c r="BU132" s="307"/>
      <c r="BV132" s="307"/>
      <c r="BW132" s="307"/>
      <c r="BX132" s="307"/>
      <c r="BY132" s="307"/>
      <c r="BZ132" s="307"/>
      <c r="CA132" s="307"/>
      <c r="CB132" s="307"/>
      <c r="CC132" s="307"/>
      <c r="CD132" s="307"/>
      <c r="CE132" s="307"/>
      <c r="CF132" s="307"/>
      <c r="CG132" s="307"/>
      <c r="CH132" s="307"/>
      <c r="CI132" s="307"/>
      <c r="CJ132" s="307"/>
      <c r="CK132" s="307"/>
      <c r="CL132" s="307"/>
      <c r="CM132" s="307"/>
      <c r="CN132" s="307"/>
      <c r="CO132" s="307"/>
      <c r="CP132" s="307"/>
      <c r="CQ132" s="307"/>
      <c r="CR132" s="307"/>
      <c r="CS132" s="307"/>
      <c r="CT132" s="307"/>
      <c r="CU132" s="307"/>
      <c r="CV132" s="307"/>
      <c r="CW132" s="307"/>
      <c r="CX132" s="307"/>
      <c r="CY132" s="307"/>
      <c r="CZ132" s="307"/>
      <c r="DA132" s="307"/>
      <c r="DB132" s="307"/>
      <c r="DC132" s="307"/>
      <c r="DD132" s="307">
        <v>298.24772447085064</v>
      </c>
      <c r="DE132" s="307">
        <v>2788.1337561971704</v>
      </c>
      <c r="DF132" s="307">
        <v>17603.509010254111</v>
      </c>
      <c r="DG132" s="307">
        <v>67698.057501420088</v>
      </c>
      <c r="DH132" s="307">
        <v>41590.679690633071</v>
      </c>
      <c r="DI132" s="307"/>
      <c r="DJ132" s="307">
        <v>43572.382732674676</v>
      </c>
      <c r="DK132" s="307"/>
      <c r="DL132" s="307"/>
      <c r="DM132" s="307"/>
      <c r="DN132" s="307"/>
      <c r="DO132" s="307"/>
      <c r="DP132" s="307"/>
      <c r="DQ132" s="307"/>
      <c r="DR132" s="307"/>
      <c r="DS132" s="307"/>
      <c r="DT132" s="307"/>
      <c r="DU132" s="307"/>
      <c r="DV132" s="307"/>
      <c r="DW132" s="307"/>
      <c r="DX132" s="307"/>
      <c r="DY132" s="307"/>
      <c r="DZ132" s="307">
        <v>2796.779817742924</v>
      </c>
      <c r="EA132" s="307"/>
      <c r="EB132" s="307"/>
      <c r="EC132" s="307"/>
      <c r="ED132" s="307"/>
      <c r="EE132" s="307"/>
      <c r="EF132" s="307"/>
      <c r="EG132" s="307"/>
      <c r="EH132" s="307"/>
      <c r="EI132" s="307"/>
      <c r="EJ132" s="307"/>
      <c r="EK132" s="307">
        <v>1207.1869102200365</v>
      </c>
      <c r="EL132" s="307">
        <v>177554.97714361295</v>
      </c>
    </row>
    <row r="133" spans="1:142" x14ac:dyDescent="0.25">
      <c r="A133" s="305" t="s">
        <v>1582</v>
      </c>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307"/>
      <c r="BE133" s="307"/>
      <c r="BF133" s="307"/>
      <c r="BG133" s="307"/>
      <c r="BH133" s="307"/>
      <c r="BI133" s="307"/>
      <c r="BJ133" s="307"/>
      <c r="BK133" s="307"/>
      <c r="BL133" s="307"/>
      <c r="BM133" s="307"/>
      <c r="BN133" s="307"/>
      <c r="BO133" s="307"/>
      <c r="BP133" s="307"/>
      <c r="BQ133" s="307"/>
      <c r="BR133" s="307"/>
      <c r="BS133" s="307"/>
      <c r="BT133" s="307"/>
      <c r="BU133" s="307"/>
      <c r="BV133" s="307"/>
      <c r="BW133" s="307"/>
      <c r="BX133" s="307"/>
      <c r="BY133" s="307"/>
      <c r="BZ133" s="307"/>
      <c r="CA133" s="307"/>
      <c r="CB133" s="307"/>
      <c r="CC133" s="307"/>
      <c r="CD133" s="307"/>
      <c r="CE133" s="307"/>
      <c r="CF133" s="307"/>
      <c r="CG133" s="307"/>
      <c r="CH133" s="307"/>
      <c r="CI133" s="307"/>
      <c r="CJ133" s="307"/>
      <c r="CK133" s="307"/>
      <c r="CL133" s="307"/>
      <c r="CM133" s="307"/>
      <c r="CN133" s="307"/>
      <c r="CO133" s="307"/>
      <c r="CP133" s="307"/>
      <c r="CQ133" s="307"/>
      <c r="CR133" s="307"/>
      <c r="CS133" s="307"/>
      <c r="CT133" s="307"/>
      <c r="CU133" s="307"/>
      <c r="CV133" s="307"/>
      <c r="CW133" s="307"/>
      <c r="CX133" s="307"/>
      <c r="CY133" s="307"/>
      <c r="CZ133" s="307"/>
      <c r="DA133" s="307"/>
      <c r="DB133" s="307"/>
      <c r="DC133" s="307"/>
      <c r="DD133" s="307">
        <v>144.82733209590126</v>
      </c>
      <c r="DE133" s="307">
        <v>1233.5536030794947</v>
      </c>
      <c r="DF133" s="307">
        <v>22750.450809813115</v>
      </c>
      <c r="DG133" s="307">
        <v>76758.920178002343</v>
      </c>
      <c r="DH133" s="307">
        <v>43674.686011450358</v>
      </c>
      <c r="DI133" s="307"/>
      <c r="DJ133" s="307">
        <v>61021.006424957064</v>
      </c>
      <c r="DK133" s="307"/>
      <c r="DL133" s="307"/>
      <c r="DM133" s="307"/>
      <c r="DN133" s="307"/>
      <c r="DO133" s="307"/>
      <c r="DP133" s="307"/>
      <c r="DQ133" s="307"/>
      <c r="DR133" s="307"/>
      <c r="DS133" s="307"/>
      <c r="DT133" s="307"/>
      <c r="DU133" s="307"/>
      <c r="DV133" s="307"/>
      <c r="DW133" s="307"/>
      <c r="DX133" s="307"/>
      <c r="DY133" s="307"/>
      <c r="DZ133" s="307">
        <v>1668.09253764294</v>
      </c>
      <c r="EA133" s="307"/>
      <c r="EB133" s="307"/>
      <c r="EC133" s="307"/>
      <c r="ED133" s="307"/>
      <c r="EE133" s="307"/>
      <c r="EF133" s="307"/>
      <c r="EG133" s="307"/>
      <c r="EH133" s="307"/>
      <c r="EI133" s="307"/>
      <c r="EJ133" s="307"/>
      <c r="EK133" s="307">
        <v>1316.0723589583979</v>
      </c>
      <c r="EL133" s="307">
        <v>208567.60925599962</v>
      </c>
    </row>
    <row r="134" spans="1:142" x14ac:dyDescent="0.25">
      <c r="A134" s="305" t="s">
        <v>1581</v>
      </c>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c r="AE134" s="307"/>
      <c r="AF134" s="307"/>
      <c r="AG134" s="307"/>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7"/>
      <c r="BE134" s="307"/>
      <c r="BF134" s="307"/>
      <c r="BG134" s="307"/>
      <c r="BH134" s="307"/>
      <c r="BI134" s="307"/>
      <c r="BJ134" s="307"/>
      <c r="BK134" s="307"/>
      <c r="BL134" s="307"/>
      <c r="BM134" s="307"/>
      <c r="BN134" s="307"/>
      <c r="BO134" s="307"/>
      <c r="BP134" s="307"/>
      <c r="BQ134" s="307"/>
      <c r="BR134" s="307"/>
      <c r="BS134" s="307"/>
      <c r="BT134" s="307"/>
      <c r="BU134" s="307"/>
      <c r="BV134" s="307"/>
      <c r="BW134" s="307"/>
      <c r="BX134" s="307"/>
      <c r="BY134" s="307"/>
      <c r="BZ134" s="307"/>
      <c r="CA134" s="307"/>
      <c r="CB134" s="307"/>
      <c r="CC134" s="307"/>
      <c r="CD134" s="307"/>
      <c r="CE134" s="307"/>
      <c r="CF134" s="307"/>
      <c r="CG134" s="307"/>
      <c r="CH134" s="307"/>
      <c r="CI134" s="307"/>
      <c r="CJ134" s="307"/>
      <c r="CK134" s="307"/>
      <c r="CL134" s="307"/>
      <c r="CM134" s="307"/>
      <c r="CN134" s="307"/>
      <c r="CO134" s="307"/>
      <c r="CP134" s="307"/>
      <c r="CQ134" s="307"/>
      <c r="CR134" s="307"/>
      <c r="CS134" s="307"/>
      <c r="CT134" s="307"/>
      <c r="CU134" s="307"/>
      <c r="CV134" s="307"/>
      <c r="CW134" s="307"/>
      <c r="CX134" s="307"/>
      <c r="CY134" s="307"/>
      <c r="CZ134" s="307"/>
      <c r="DA134" s="307"/>
      <c r="DB134" s="307"/>
      <c r="DC134" s="307"/>
      <c r="DD134" s="307">
        <v>491.51438398663402</v>
      </c>
      <c r="DE134" s="307">
        <v>4196.829037464473</v>
      </c>
      <c r="DF134" s="307">
        <v>13461.197751677857</v>
      </c>
      <c r="DG134" s="307">
        <v>143999.81223604499</v>
      </c>
      <c r="DH134" s="307">
        <v>36310.793163777103</v>
      </c>
      <c r="DI134" s="307"/>
      <c r="DJ134" s="307">
        <v>68696.026503418601</v>
      </c>
      <c r="DK134" s="307"/>
      <c r="DL134" s="307"/>
      <c r="DM134" s="307"/>
      <c r="DN134" s="307"/>
      <c r="DO134" s="307"/>
      <c r="DP134" s="307"/>
      <c r="DQ134" s="307"/>
      <c r="DR134" s="307"/>
      <c r="DS134" s="307"/>
      <c r="DT134" s="307"/>
      <c r="DU134" s="307"/>
      <c r="DV134" s="307"/>
      <c r="DW134" s="307"/>
      <c r="DX134" s="307"/>
      <c r="DY134" s="307"/>
      <c r="DZ134" s="307">
        <v>6632.601828445202</v>
      </c>
      <c r="EA134" s="307"/>
      <c r="EB134" s="307"/>
      <c r="EC134" s="307"/>
      <c r="ED134" s="307"/>
      <c r="EE134" s="307"/>
      <c r="EF134" s="307"/>
      <c r="EG134" s="307"/>
      <c r="EH134" s="307"/>
      <c r="EI134" s="307"/>
      <c r="EJ134" s="307"/>
      <c r="EK134" s="307">
        <v>838.21668261858485</v>
      </c>
      <c r="EL134" s="307">
        <v>274626.9915874335</v>
      </c>
    </row>
    <row r="135" spans="1:142" x14ac:dyDescent="0.25">
      <c r="A135" s="305" t="s">
        <v>1580</v>
      </c>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c r="AE135" s="307"/>
      <c r="AF135" s="307"/>
      <c r="AG135" s="307"/>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7"/>
      <c r="BE135" s="307"/>
      <c r="BF135" s="307"/>
      <c r="BG135" s="307"/>
      <c r="BH135" s="307"/>
      <c r="BI135" s="307"/>
      <c r="BJ135" s="307"/>
      <c r="BK135" s="307"/>
      <c r="BL135" s="307"/>
      <c r="BM135" s="307"/>
      <c r="BN135" s="307"/>
      <c r="BO135" s="307"/>
      <c r="BP135" s="307"/>
      <c r="BQ135" s="307"/>
      <c r="BR135" s="307"/>
      <c r="BS135" s="307"/>
      <c r="BT135" s="307"/>
      <c r="BU135" s="307"/>
      <c r="BV135" s="307"/>
      <c r="BW135" s="307"/>
      <c r="BX135" s="307"/>
      <c r="BY135" s="307"/>
      <c r="BZ135" s="307"/>
      <c r="CA135" s="307"/>
      <c r="CB135" s="307"/>
      <c r="CC135" s="307"/>
      <c r="CD135" s="307"/>
      <c r="CE135" s="307"/>
      <c r="CF135" s="307"/>
      <c r="CG135" s="307"/>
      <c r="CH135" s="307"/>
      <c r="CI135" s="307"/>
      <c r="CJ135" s="307"/>
      <c r="CK135" s="307"/>
      <c r="CL135" s="307"/>
      <c r="CM135" s="307"/>
      <c r="CN135" s="307"/>
      <c r="CO135" s="307"/>
      <c r="CP135" s="307"/>
      <c r="CQ135" s="307"/>
      <c r="CR135" s="307"/>
      <c r="CS135" s="307"/>
      <c r="CT135" s="307"/>
      <c r="CU135" s="307"/>
      <c r="CV135" s="307"/>
      <c r="CW135" s="307"/>
      <c r="CX135" s="307"/>
      <c r="CY135" s="307"/>
      <c r="CZ135" s="307"/>
      <c r="DA135" s="307"/>
      <c r="DB135" s="307"/>
      <c r="DC135" s="307"/>
      <c r="DD135" s="307">
        <v>350.91511240106877</v>
      </c>
      <c r="DE135" s="307">
        <v>1319.4754425029707</v>
      </c>
      <c r="DF135" s="307">
        <v>27513.910565468355</v>
      </c>
      <c r="DG135" s="307">
        <v>142099.51458249812</v>
      </c>
      <c r="DH135" s="307">
        <v>107350.13947194561</v>
      </c>
      <c r="DI135" s="307"/>
      <c r="DJ135" s="307">
        <v>159228.65880803039</v>
      </c>
      <c r="DK135" s="307"/>
      <c r="DL135" s="307"/>
      <c r="DM135" s="307"/>
      <c r="DN135" s="307"/>
      <c r="DO135" s="307"/>
      <c r="DP135" s="307"/>
      <c r="DQ135" s="307"/>
      <c r="DR135" s="307"/>
      <c r="DS135" s="307"/>
      <c r="DT135" s="307"/>
      <c r="DU135" s="307"/>
      <c r="DV135" s="307"/>
      <c r="DW135" s="307"/>
      <c r="DX135" s="307"/>
      <c r="DY135" s="307"/>
      <c r="DZ135" s="307">
        <v>4281.8749643634574</v>
      </c>
      <c r="EA135" s="307"/>
      <c r="EB135" s="307"/>
      <c r="EC135" s="307"/>
      <c r="ED135" s="307"/>
      <c r="EE135" s="307"/>
      <c r="EF135" s="307"/>
      <c r="EG135" s="307"/>
      <c r="EH135" s="307"/>
      <c r="EI135" s="307"/>
      <c r="EJ135" s="307"/>
      <c r="EK135" s="307">
        <v>3145.0699690834244</v>
      </c>
      <c r="EL135" s="307">
        <v>445289.55891629338</v>
      </c>
    </row>
    <row r="136" spans="1:142" x14ac:dyDescent="0.25">
      <c r="A136" s="305" t="s">
        <v>1579</v>
      </c>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307"/>
      <c r="BE136" s="307"/>
      <c r="BF136" s="307"/>
      <c r="BG136" s="307"/>
      <c r="BH136" s="307"/>
      <c r="BI136" s="307"/>
      <c r="BJ136" s="307"/>
      <c r="BK136" s="307"/>
      <c r="BL136" s="307"/>
      <c r="BM136" s="307"/>
      <c r="BN136" s="307"/>
      <c r="BO136" s="307"/>
      <c r="BP136" s="307"/>
      <c r="BQ136" s="307"/>
      <c r="BR136" s="307"/>
      <c r="BS136" s="307"/>
      <c r="BT136" s="307"/>
      <c r="BU136" s="307"/>
      <c r="BV136" s="307"/>
      <c r="BW136" s="307"/>
      <c r="BX136" s="307"/>
      <c r="BY136" s="307"/>
      <c r="BZ136" s="307"/>
      <c r="CA136" s="307"/>
      <c r="CB136" s="307"/>
      <c r="CC136" s="307"/>
      <c r="CD136" s="307"/>
      <c r="CE136" s="307"/>
      <c r="CF136" s="307"/>
      <c r="CG136" s="307"/>
      <c r="CH136" s="307"/>
      <c r="CI136" s="307"/>
      <c r="CJ136" s="307"/>
      <c r="CK136" s="307"/>
      <c r="CL136" s="307"/>
      <c r="CM136" s="307"/>
      <c r="CN136" s="307"/>
      <c r="CO136" s="307"/>
      <c r="CP136" s="307"/>
      <c r="CQ136" s="307"/>
      <c r="CR136" s="307"/>
      <c r="CS136" s="307"/>
      <c r="CT136" s="307"/>
      <c r="CU136" s="307"/>
      <c r="CV136" s="307"/>
      <c r="CW136" s="307"/>
      <c r="CX136" s="307"/>
      <c r="CY136" s="307"/>
      <c r="CZ136" s="307"/>
      <c r="DA136" s="307"/>
      <c r="DB136" s="307"/>
      <c r="DC136" s="307"/>
      <c r="DD136" s="307"/>
      <c r="DE136" s="307"/>
      <c r="DF136" s="307"/>
      <c r="DG136" s="307"/>
      <c r="DH136" s="307">
        <v>77983</v>
      </c>
      <c r="DI136" s="307"/>
      <c r="DJ136" s="307">
        <v>160078</v>
      </c>
      <c r="DK136" s="307"/>
      <c r="DL136" s="307">
        <v>1.8228925913890541</v>
      </c>
      <c r="DM136" s="307">
        <v>41.879888915333659</v>
      </c>
      <c r="DN136" s="307">
        <v>265.4106682068832</v>
      </c>
      <c r="DO136" s="307">
        <v>522.07240675477476</v>
      </c>
      <c r="DP136" s="307">
        <v>1899.4450898206935</v>
      </c>
      <c r="DQ136" s="307">
        <v>2928.5182704988747</v>
      </c>
      <c r="DR136" s="307">
        <v>6563.4053331467385</v>
      </c>
      <c r="DS136" s="307">
        <v>16950.532088253291</v>
      </c>
      <c r="DT136" s="307">
        <v>45059.682633890639</v>
      </c>
      <c r="DU136" s="307">
        <v>17707.65359339902</v>
      </c>
      <c r="DV136" s="307">
        <v>21145.844498925431</v>
      </c>
      <c r="DW136" s="307">
        <v>21431.94984582538</v>
      </c>
      <c r="DX136" s="307">
        <v>19808.679483017229</v>
      </c>
      <c r="DY136" s="307">
        <v>36485.103306754339</v>
      </c>
      <c r="DZ136" s="307">
        <v>153754</v>
      </c>
      <c r="EA136" s="307">
        <v>46078</v>
      </c>
      <c r="EB136" s="307">
        <v>466126.00000000006</v>
      </c>
      <c r="EC136" s="307">
        <v>37470</v>
      </c>
      <c r="ED136" s="307">
        <v>285432</v>
      </c>
      <c r="EE136" s="307"/>
      <c r="EF136" s="307"/>
      <c r="EG136" s="307"/>
      <c r="EH136" s="307"/>
      <c r="EI136" s="307"/>
      <c r="EJ136" s="307"/>
      <c r="EK136" s="307">
        <v>1845</v>
      </c>
      <c r="EL136" s="307">
        <v>1419578</v>
      </c>
    </row>
    <row r="137" spans="1:142" x14ac:dyDescent="0.25">
      <c r="A137" s="305" t="s">
        <v>1578</v>
      </c>
      <c r="B137" s="307">
        <v>-38.187736305329544</v>
      </c>
      <c r="C137" s="307">
        <v>147.75298843662267</v>
      </c>
      <c r="D137" s="307">
        <v>17.722323751077084</v>
      </c>
      <c r="E137" s="307">
        <v>623.10889343646022</v>
      </c>
      <c r="F137" s="307">
        <v>835.05442659300331</v>
      </c>
      <c r="G137" s="307">
        <v>664.1635194662</v>
      </c>
      <c r="H137" s="307">
        <v>243.40689850206752</v>
      </c>
      <c r="I137" s="307">
        <v>16.062452636807258</v>
      </c>
      <c r="J137" s="307">
        <v>19.266100661333326</v>
      </c>
      <c r="K137" s="307">
        <v>-8.4914703176885466E-3</v>
      </c>
      <c r="L137" s="307">
        <v>202.24578829710379</v>
      </c>
      <c r="M137" s="307">
        <v>469.16263332685514</v>
      </c>
      <c r="N137" s="307">
        <v>57.682385801658491</v>
      </c>
      <c r="O137" s="307">
        <v>90.996020023385626</v>
      </c>
      <c r="P137" s="307">
        <v>-4.3846028724612118</v>
      </c>
      <c r="Q137" s="307">
        <v>50.98335799588407</v>
      </c>
      <c r="R137" s="307">
        <v>120.56593558102681</v>
      </c>
      <c r="S137" s="307">
        <v>29.340448988142217</v>
      </c>
      <c r="T137" s="307">
        <v>232.38401300993434</v>
      </c>
      <c r="U137" s="307">
        <v>498.32614937273843</v>
      </c>
      <c r="V137" s="307">
        <v>-1017.2601390451771</v>
      </c>
      <c r="W137" s="307">
        <v>400.93280897918106</v>
      </c>
      <c r="X137" s="307">
        <v>11.243001556516033</v>
      </c>
      <c r="Y137" s="307">
        <v>-39.587295893344489</v>
      </c>
      <c r="Z137" s="307">
        <v>34.066683381494592</v>
      </c>
      <c r="AA137" s="307">
        <v>69.525164745184412</v>
      </c>
      <c r="AB137" s="307">
        <v>284.02346666763549</v>
      </c>
      <c r="AC137" s="307">
        <v>40.852711014038775</v>
      </c>
      <c r="AD137" s="307">
        <v>21.976834849992009</v>
      </c>
      <c r="AE137" s="307">
        <v>-163.0446890783129</v>
      </c>
      <c r="AF137" s="307">
        <v>146.18550664524355</v>
      </c>
      <c r="AG137" s="307">
        <v>65.757785048502853</v>
      </c>
      <c r="AH137" s="307">
        <v>-77.940493629417361</v>
      </c>
      <c r="AI137" s="307">
        <v>40.997851037684285</v>
      </c>
      <c r="AJ137" s="307">
        <v>37.17121960300355</v>
      </c>
      <c r="AK137" s="307">
        <v>93.012918154258912</v>
      </c>
      <c r="AL137" s="307">
        <v>-24.561849530260556</v>
      </c>
      <c r="AM137" s="307">
        <v>-277.18045913794441</v>
      </c>
      <c r="AN137" s="307">
        <v>1020.1421917771047</v>
      </c>
      <c r="AO137" s="307">
        <v>6167.5156306280314</v>
      </c>
      <c r="AP137" s="307">
        <v>665.2877974141503</v>
      </c>
      <c r="AQ137" s="307">
        <v>40.706796096459307</v>
      </c>
      <c r="AR137" s="307">
        <v>155.13800475176831</v>
      </c>
      <c r="AS137" s="307">
        <v>376.97482643704512</v>
      </c>
      <c r="AT137" s="307">
        <v>506.58110586539237</v>
      </c>
      <c r="AU137" s="307">
        <v>1584.93813317322</v>
      </c>
      <c r="AV137" s="307">
        <v>783.4607706209664</v>
      </c>
      <c r="AW137" s="307">
        <v>3222.7648669506989</v>
      </c>
      <c r="AX137" s="307">
        <v>19672.335281291511</v>
      </c>
      <c r="AY137" s="307">
        <v>5196.1438776917275</v>
      </c>
      <c r="AZ137" s="307">
        <v>2764.1961867014197</v>
      </c>
      <c r="BA137" s="307"/>
      <c r="BB137" s="307"/>
      <c r="BC137" s="307"/>
      <c r="BD137" s="307"/>
      <c r="BE137" s="307"/>
      <c r="BF137" s="307"/>
      <c r="BG137" s="307"/>
      <c r="BH137" s="307"/>
      <c r="BI137" s="307"/>
      <c r="BJ137" s="307"/>
      <c r="BK137" s="307"/>
      <c r="BL137" s="307"/>
      <c r="BM137" s="307"/>
      <c r="BN137" s="307"/>
      <c r="BO137" s="307"/>
      <c r="BP137" s="307"/>
      <c r="BQ137" s="307"/>
      <c r="BR137" s="307"/>
      <c r="BS137" s="307"/>
      <c r="BT137" s="307"/>
      <c r="BU137" s="307"/>
      <c r="BV137" s="307"/>
      <c r="BW137" s="307"/>
      <c r="BX137" s="307"/>
      <c r="BY137" s="307"/>
      <c r="BZ137" s="307"/>
      <c r="CA137" s="307"/>
      <c r="CB137" s="307"/>
      <c r="CC137" s="307"/>
      <c r="CD137" s="307"/>
      <c r="CE137" s="307"/>
      <c r="CF137" s="307"/>
      <c r="CG137" s="307"/>
      <c r="CH137" s="307"/>
      <c r="CI137" s="307"/>
      <c r="CJ137" s="307"/>
      <c r="CK137" s="307"/>
      <c r="CL137" s="307"/>
      <c r="CM137" s="307"/>
      <c r="CN137" s="307"/>
      <c r="CO137" s="307"/>
      <c r="CP137" s="307"/>
      <c r="CQ137" s="307"/>
      <c r="CR137" s="307"/>
      <c r="CS137" s="307"/>
      <c r="CT137" s="307"/>
      <c r="CU137" s="307"/>
      <c r="CV137" s="307"/>
      <c r="CW137" s="307"/>
      <c r="CX137" s="307"/>
      <c r="CY137" s="307"/>
      <c r="CZ137" s="307"/>
      <c r="DA137" s="307"/>
      <c r="DB137" s="307"/>
      <c r="DC137" s="307"/>
      <c r="DD137" s="307"/>
      <c r="DE137" s="307"/>
      <c r="DF137" s="307"/>
      <c r="DG137" s="307"/>
      <c r="DH137" s="307"/>
      <c r="DI137" s="307"/>
      <c r="DJ137" s="307"/>
      <c r="DK137" s="307"/>
      <c r="DL137" s="307"/>
      <c r="DM137" s="307"/>
      <c r="DN137" s="307"/>
      <c r="DO137" s="307"/>
      <c r="DP137" s="307"/>
      <c r="DQ137" s="307"/>
      <c r="DR137" s="307"/>
      <c r="DS137" s="307"/>
      <c r="DT137" s="307"/>
      <c r="DU137" s="307"/>
      <c r="DV137" s="307"/>
      <c r="DW137" s="307"/>
      <c r="DX137" s="307"/>
      <c r="DY137" s="307"/>
      <c r="DZ137" s="307"/>
      <c r="EA137" s="307"/>
      <c r="EB137" s="307"/>
      <c r="EC137" s="307"/>
      <c r="ED137" s="307"/>
      <c r="EE137" s="307"/>
      <c r="EF137" s="307"/>
      <c r="EG137" s="307"/>
      <c r="EH137" s="307"/>
      <c r="EI137" s="307"/>
      <c r="EJ137" s="307"/>
      <c r="EK137" s="307"/>
      <c r="EL137" s="307">
        <v>46077.999999999964</v>
      </c>
    </row>
    <row r="138" spans="1:142" x14ac:dyDescent="0.25">
      <c r="A138" s="305" t="s">
        <v>1577</v>
      </c>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c r="AE138" s="307"/>
      <c r="AF138" s="307"/>
      <c r="AG138" s="307"/>
      <c r="AH138" s="307"/>
      <c r="AI138" s="307"/>
      <c r="AJ138" s="307"/>
      <c r="AK138" s="307"/>
      <c r="AL138" s="307"/>
      <c r="AM138" s="307"/>
      <c r="AN138" s="307"/>
      <c r="AO138" s="307"/>
      <c r="AP138" s="307"/>
      <c r="AQ138" s="307"/>
      <c r="AR138" s="307"/>
      <c r="AS138" s="307"/>
      <c r="AT138" s="307"/>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c r="BR138" s="307"/>
      <c r="BS138" s="307"/>
      <c r="BT138" s="307"/>
      <c r="BU138" s="307"/>
      <c r="BV138" s="307"/>
      <c r="BW138" s="307"/>
      <c r="BX138" s="307"/>
      <c r="BY138" s="307"/>
      <c r="BZ138" s="307"/>
      <c r="CA138" s="307"/>
      <c r="CB138" s="307"/>
      <c r="CC138" s="307"/>
      <c r="CD138" s="307"/>
      <c r="CE138" s="307"/>
      <c r="CF138" s="307"/>
      <c r="CG138" s="307"/>
      <c r="CH138" s="307"/>
      <c r="CI138" s="307"/>
      <c r="CJ138" s="307"/>
      <c r="CK138" s="307"/>
      <c r="CL138" s="307"/>
      <c r="CM138" s="307"/>
      <c r="CN138" s="307"/>
      <c r="CO138" s="307"/>
      <c r="CP138" s="307"/>
      <c r="CQ138" s="307"/>
      <c r="CR138" s="307"/>
      <c r="CS138" s="307"/>
      <c r="CT138" s="307"/>
      <c r="CU138" s="307"/>
      <c r="CV138" s="307"/>
      <c r="CW138" s="307"/>
      <c r="CX138" s="307"/>
      <c r="CY138" s="307"/>
      <c r="CZ138" s="307"/>
      <c r="DA138" s="307"/>
      <c r="DB138" s="307"/>
      <c r="DC138" s="307"/>
      <c r="DD138" s="307"/>
      <c r="DE138" s="307"/>
      <c r="DF138" s="307"/>
      <c r="DG138" s="307"/>
      <c r="DH138" s="307"/>
      <c r="DI138" s="307"/>
      <c r="DJ138" s="307">
        <v>177659.33962820336</v>
      </c>
      <c r="DK138" s="307">
        <v>4651.6603717966391</v>
      </c>
      <c r="DL138" s="307">
        <v>45.709983113347874</v>
      </c>
      <c r="DM138" s="307">
        <v>105.61148343658219</v>
      </c>
      <c r="DN138" s="307">
        <v>339.20908958380295</v>
      </c>
      <c r="DO138" s="307">
        <v>628.01478957742779</v>
      </c>
      <c r="DP138" s="307">
        <v>1863.9563020353187</v>
      </c>
      <c r="DQ138" s="307">
        <v>3247.5766854209187</v>
      </c>
      <c r="DR138" s="307">
        <v>8174.02487352149</v>
      </c>
      <c r="DS138" s="307">
        <v>21702.029469258483</v>
      </c>
      <c r="DT138" s="307">
        <v>49030.844717920401</v>
      </c>
      <c r="DU138" s="307">
        <v>18418.280898700541</v>
      </c>
      <c r="DV138" s="307">
        <v>15945.104398728616</v>
      </c>
      <c r="DW138" s="307">
        <v>25895.957955545931</v>
      </c>
      <c r="DX138" s="307">
        <v>35682.605681380956</v>
      </c>
      <c r="DY138" s="307">
        <v>102736.07367177616</v>
      </c>
      <c r="DZ138" s="307"/>
      <c r="EA138" s="307"/>
      <c r="EB138" s="307"/>
      <c r="EC138" s="307"/>
      <c r="ED138" s="307"/>
      <c r="EE138" s="307"/>
      <c r="EF138" s="307"/>
      <c r="EG138" s="307"/>
      <c r="EH138" s="307"/>
      <c r="EI138" s="307"/>
      <c r="EJ138" s="307"/>
      <c r="EK138" s="307"/>
      <c r="EL138" s="307">
        <v>466125.99999999994</v>
      </c>
    </row>
    <row r="139" spans="1:142" x14ac:dyDescent="0.25">
      <c r="A139" s="305" t="s">
        <v>1576</v>
      </c>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v>263.0186299687158</v>
      </c>
      <c r="BB139" s="307">
        <v>15.470742711908654</v>
      </c>
      <c r="BC139" s="307"/>
      <c r="BD139" s="307"/>
      <c r="BE139" s="307">
        <v>108.30053470871631</v>
      </c>
      <c r="BF139" s="307"/>
      <c r="BG139" s="307">
        <v>307.21686251238532</v>
      </c>
      <c r="BH139" s="307"/>
      <c r="BI139" s="307"/>
      <c r="BJ139" s="307"/>
      <c r="BK139" s="307">
        <v>2099.7691833237254</v>
      </c>
      <c r="BL139" s="307">
        <v>351.42259621488836</v>
      </c>
      <c r="BM139" s="307">
        <v>236.48240447848377</v>
      </c>
      <c r="BN139" s="307">
        <v>5629.9292049080441</v>
      </c>
      <c r="BO139" s="307">
        <v>90.615247807129009</v>
      </c>
      <c r="BP139" s="307">
        <v>3004.1627486177567</v>
      </c>
      <c r="BQ139" s="307">
        <v>165.76449070703998</v>
      </c>
      <c r="BR139" s="307">
        <v>426.59389351448476</v>
      </c>
      <c r="BS139" s="307">
        <v>187.86608117070836</v>
      </c>
      <c r="BT139" s="307">
        <v>78.609438142671095</v>
      </c>
      <c r="BU139" s="307">
        <v>166.57167407030968</v>
      </c>
      <c r="BV139" s="307">
        <v>8.9939691861896804</v>
      </c>
      <c r="BW139" s="307">
        <v>797.99518311563884</v>
      </c>
      <c r="BX139" s="307">
        <v>1153.7710027191633</v>
      </c>
      <c r="BY139" s="307">
        <v>1454.1782436067506</v>
      </c>
      <c r="BZ139" s="307">
        <v>1540.8734121507782</v>
      </c>
      <c r="CA139" s="307">
        <v>247.54066802427792</v>
      </c>
      <c r="CB139" s="307">
        <v>742.61339487542705</v>
      </c>
      <c r="CC139" s="307">
        <v>426.63106594197001</v>
      </c>
      <c r="CD139" s="307">
        <v>499.01816095814405</v>
      </c>
      <c r="CE139" s="307">
        <v>503.94208671207195</v>
      </c>
      <c r="CF139" s="307">
        <v>2522.8237820714394</v>
      </c>
      <c r="CG139" s="307">
        <v>747.70653449586734</v>
      </c>
      <c r="CH139" s="307">
        <v>291.73261871151385</v>
      </c>
      <c r="CI139" s="307">
        <v>10669.058993059472</v>
      </c>
      <c r="CJ139" s="307">
        <v>1975.7464732239234</v>
      </c>
      <c r="CK139" s="307">
        <v>170.18454395784067</v>
      </c>
      <c r="CL139" s="307">
        <v>568.03062075157698</v>
      </c>
      <c r="CM139" s="307"/>
      <c r="CN139" s="307"/>
      <c r="CO139" s="307"/>
      <c r="CP139" s="307"/>
      <c r="CQ139" s="307"/>
      <c r="CR139" s="307"/>
      <c r="CS139" s="307"/>
      <c r="CT139" s="307"/>
      <c r="CU139" s="307"/>
      <c r="CV139" s="307"/>
      <c r="CW139" s="307"/>
      <c r="CX139" s="307"/>
      <c r="CY139" s="307"/>
      <c r="CZ139" s="307"/>
      <c r="DA139" s="307"/>
      <c r="DB139" s="307">
        <v>17.365513580987333</v>
      </c>
      <c r="DC139" s="307"/>
      <c r="DD139" s="307"/>
      <c r="DE139" s="307"/>
      <c r="DF139" s="307"/>
      <c r="DG139" s="307"/>
      <c r="DH139" s="307"/>
      <c r="DI139" s="307"/>
      <c r="DJ139" s="307"/>
      <c r="DK139" s="307"/>
      <c r="DL139" s="307"/>
      <c r="DM139" s="307"/>
      <c r="DN139" s="307"/>
      <c r="DO139" s="307"/>
      <c r="DP139" s="307"/>
      <c r="DQ139" s="307"/>
      <c r="DR139" s="307"/>
      <c r="DS139" s="307"/>
      <c r="DT139" s="307"/>
      <c r="DU139" s="307"/>
      <c r="DV139" s="307"/>
      <c r="DW139" s="307"/>
      <c r="DX139" s="307"/>
      <c r="DY139" s="307"/>
      <c r="DZ139" s="307"/>
      <c r="EA139" s="307"/>
      <c r="EB139" s="307"/>
      <c r="EC139" s="307"/>
      <c r="ED139" s="307"/>
      <c r="EE139" s="307"/>
      <c r="EF139" s="307"/>
      <c r="EG139" s="307"/>
      <c r="EH139" s="307"/>
      <c r="EI139" s="307"/>
      <c r="EJ139" s="307"/>
      <c r="EK139" s="307"/>
      <c r="EL139" s="307">
        <v>37470</v>
      </c>
    </row>
    <row r="140" spans="1:142" x14ac:dyDescent="0.25">
      <c r="A140" s="305" t="s">
        <v>1575</v>
      </c>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c r="AE140" s="307"/>
      <c r="AF140" s="307"/>
      <c r="AG140" s="307"/>
      <c r="AH140" s="307"/>
      <c r="AI140" s="307"/>
      <c r="AJ140" s="307"/>
      <c r="AK140" s="307"/>
      <c r="AL140" s="307"/>
      <c r="AM140" s="307"/>
      <c r="AN140" s="307"/>
      <c r="AO140" s="307"/>
      <c r="AP140" s="307"/>
      <c r="AQ140" s="307"/>
      <c r="AR140" s="307"/>
      <c r="AS140" s="307"/>
      <c r="AT140" s="307"/>
      <c r="AU140" s="307"/>
      <c r="AV140" s="307"/>
      <c r="AW140" s="307"/>
      <c r="AX140" s="307"/>
      <c r="AY140" s="307"/>
      <c r="AZ140" s="307"/>
      <c r="BA140" s="307">
        <v>6187.3409729483183</v>
      </c>
      <c r="BB140" s="307">
        <v>690.38050273969577</v>
      </c>
      <c r="BC140" s="307">
        <v>200.71650432834676</v>
      </c>
      <c r="BD140" s="307"/>
      <c r="BE140" s="307">
        <v>1042.0646315784118</v>
      </c>
      <c r="BF140" s="307">
        <v>1661.9808964575886</v>
      </c>
      <c r="BG140" s="307">
        <v>5053.493257097075</v>
      </c>
      <c r="BH140" s="307"/>
      <c r="BI140" s="307"/>
      <c r="BJ140" s="307"/>
      <c r="BK140" s="307">
        <v>16149.45846425468</v>
      </c>
      <c r="BL140" s="307">
        <v>49748.097998724537</v>
      </c>
      <c r="BM140" s="307">
        <v>1052.287392266086</v>
      </c>
      <c r="BN140" s="307">
        <v>5045.9957364314678</v>
      </c>
      <c r="BO140" s="307">
        <v>323.10384677897758</v>
      </c>
      <c r="BP140" s="307">
        <v>789.08751539481386</v>
      </c>
      <c r="BQ140" s="307">
        <v>1635.4955728782156</v>
      </c>
      <c r="BR140" s="307">
        <v>4504.8995160926652</v>
      </c>
      <c r="BS140" s="307">
        <v>2484.4652512530952</v>
      </c>
      <c r="BT140" s="307">
        <v>21272.989127218429</v>
      </c>
      <c r="BU140" s="307">
        <v>23948.819816759911</v>
      </c>
      <c r="BV140" s="307">
        <v>4242.2037593163013</v>
      </c>
      <c r="BW140" s="307">
        <v>5477.6676456754694</v>
      </c>
      <c r="BX140" s="307">
        <v>6907.3678611226705</v>
      </c>
      <c r="BY140" s="307">
        <v>1158.9620586417291</v>
      </c>
      <c r="BZ140" s="307">
        <v>2249.066196333948</v>
      </c>
      <c r="CA140" s="307">
        <v>563.40414367719563</v>
      </c>
      <c r="CB140" s="307">
        <v>2623.6318722306914</v>
      </c>
      <c r="CC140" s="307">
        <v>4306.0377212756748</v>
      </c>
      <c r="CD140" s="307">
        <v>1846.5739129152203</v>
      </c>
      <c r="CE140" s="307">
        <v>2209.3319252678439</v>
      </c>
      <c r="CF140" s="307">
        <v>3397.9938038280166</v>
      </c>
      <c r="CG140" s="307">
        <v>3491.9804421548261</v>
      </c>
      <c r="CH140" s="307">
        <v>3761.6972356958322</v>
      </c>
      <c r="CI140" s="307">
        <v>14737.367778851583</v>
      </c>
      <c r="CJ140" s="307">
        <v>1056.9552529742743</v>
      </c>
      <c r="CK140" s="307">
        <v>1260.2946236013827</v>
      </c>
      <c r="CL140" s="307">
        <v>4061.4005645857087</v>
      </c>
      <c r="CM140" s="307">
        <v>3586.9016216791169</v>
      </c>
      <c r="CN140" s="307">
        <v>1965.6228919438474</v>
      </c>
      <c r="CO140" s="307">
        <v>6413.2735167283845</v>
      </c>
      <c r="CP140" s="307">
        <v>3211.5998118427169</v>
      </c>
      <c r="CQ140" s="307">
        <v>2819.6619992223268</v>
      </c>
      <c r="CR140" s="307">
        <v>-7733.8097043247972</v>
      </c>
      <c r="CS140" s="307">
        <v>2725.4758072874083</v>
      </c>
      <c r="CT140" s="307">
        <v>-40.709428435288459</v>
      </c>
      <c r="CU140" s="307">
        <v>1.4355129507545028</v>
      </c>
      <c r="CV140" s="307">
        <v>615.44406360383925</v>
      </c>
      <c r="CW140" s="307">
        <v>426.05250169428115</v>
      </c>
      <c r="CX140" s="307">
        <v>11928.474092644989</v>
      </c>
      <c r="CY140" s="307">
        <v>27564.086969992484</v>
      </c>
      <c r="CZ140" s="307">
        <v>2927.8875725678813</v>
      </c>
      <c r="DA140" s="307">
        <v>23807.210424681412</v>
      </c>
      <c r="DB140" s="307">
        <v>70.778544569999724</v>
      </c>
      <c r="DC140" s="307"/>
      <c r="DD140" s="307"/>
      <c r="DE140" s="307"/>
      <c r="DF140" s="307"/>
      <c r="DG140" s="307"/>
      <c r="DH140" s="307"/>
      <c r="DI140" s="307"/>
      <c r="DJ140" s="307"/>
      <c r="DK140" s="307"/>
      <c r="DL140" s="307"/>
      <c r="DM140" s="307"/>
      <c r="DN140" s="307"/>
      <c r="DO140" s="307"/>
      <c r="DP140" s="307"/>
      <c r="DQ140" s="307"/>
      <c r="DR140" s="307"/>
      <c r="DS140" s="307"/>
      <c r="DT140" s="307"/>
      <c r="DU140" s="307"/>
      <c r="DV140" s="307"/>
      <c r="DW140" s="307"/>
      <c r="DX140" s="307"/>
      <c r="DY140" s="307"/>
      <c r="DZ140" s="307"/>
      <c r="EA140" s="307"/>
      <c r="EB140" s="307"/>
      <c r="EC140" s="307"/>
      <c r="ED140" s="307"/>
      <c r="EE140" s="307"/>
      <c r="EF140" s="307"/>
      <c r="EG140" s="307"/>
      <c r="EH140" s="307"/>
      <c r="EI140" s="307"/>
      <c r="EJ140" s="307"/>
      <c r="EK140" s="307"/>
      <c r="EL140" s="307">
        <v>285432.00000000017</v>
      </c>
    </row>
    <row r="141" spans="1:142" x14ac:dyDescent="0.25">
      <c r="A141" s="305" t="s">
        <v>1574</v>
      </c>
      <c r="B141" s="307">
        <v>500.48513827479837</v>
      </c>
      <c r="C141" s="307">
        <v>53.151617659182875</v>
      </c>
      <c r="D141" s="307">
        <v>5.4817404209491798</v>
      </c>
      <c r="E141" s="307">
        <v>-607.61647871911464</v>
      </c>
      <c r="F141" s="307">
        <v>-3360.4161962520975</v>
      </c>
      <c r="G141" s="307">
        <v>-3725.9380641750795</v>
      </c>
      <c r="H141" s="307">
        <v>-401.54750030563378</v>
      </c>
      <c r="I141" s="307">
        <v>-26.498171353318511</v>
      </c>
      <c r="J141" s="307">
        <v>-31.783218178302377</v>
      </c>
      <c r="K141" s="307">
        <v>-2.5375945058050131E-2</v>
      </c>
      <c r="L141" s="307">
        <v>-89.938069509245906</v>
      </c>
      <c r="M141" s="307">
        <v>-9.7841709815529612</v>
      </c>
      <c r="N141" s="307">
        <v>-378.99585462927826</v>
      </c>
      <c r="O141" s="307">
        <v>-137.1519794001247</v>
      </c>
      <c r="P141" s="307">
        <v>-18.513116285514734</v>
      </c>
      <c r="Q141" s="307">
        <v>-35.101916285499286</v>
      </c>
      <c r="R141" s="307">
        <v>-325.41299976228083</v>
      </c>
      <c r="S141" s="307">
        <v>-911.4964577503597</v>
      </c>
      <c r="T141" s="307">
        <v>-138.00321345393272</v>
      </c>
      <c r="U141" s="307">
        <v>-7485.1808682530964</v>
      </c>
      <c r="V141" s="307">
        <v>4937.9707556522826</v>
      </c>
      <c r="W141" s="307">
        <v>2175.6239319374599</v>
      </c>
      <c r="X141" s="307">
        <v>130.76807456388869</v>
      </c>
      <c r="Y141" s="307">
        <v>189.36223950774044</v>
      </c>
      <c r="Z141" s="307">
        <v>312.70887084471383</v>
      </c>
      <c r="AA141" s="307">
        <v>502.69816635617633</v>
      </c>
      <c r="AB141" s="307">
        <v>180.52427927509962</v>
      </c>
      <c r="AC141" s="307">
        <v>-10231.256377083197</v>
      </c>
      <c r="AD141" s="307">
        <v>22.867087605447296</v>
      </c>
      <c r="AE141" s="307">
        <v>-371.09030172177074</v>
      </c>
      <c r="AF141" s="307">
        <v>-202.8287551427776</v>
      </c>
      <c r="AG141" s="307">
        <v>-66.843856651167513</v>
      </c>
      <c r="AH141" s="307">
        <v>-779.65852956345861</v>
      </c>
      <c r="AI141" s="307">
        <v>-111.28141803534555</v>
      </c>
      <c r="AJ141" s="307">
        <v>-112.04596720606168</v>
      </c>
      <c r="AK141" s="307">
        <v>-189.91867391179875</v>
      </c>
      <c r="AL141" s="307"/>
      <c r="AM141" s="307">
        <v>-176.93069620834609</v>
      </c>
      <c r="AN141" s="307">
        <v>-396.06215820011437</v>
      </c>
      <c r="AO141" s="307">
        <v>-938.19828302538099</v>
      </c>
      <c r="AP141" s="307">
        <v>-229.09424887587909</v>
      </c>
      <c r="AQ141" s="307">
        <v>-0.74211784192037999</v>
      </c>
      <c r="AR141" s="307">
        <v>-5.3974698904041745</v>
      </c>
      <c r="AS141" s="307">
        <v>-42.656564544969058</v>
      </c>
      <c r="AT141" s="307">
        <v>-99.934425834814533</v>
      </c>
      <c r="AU141" s="307">
        <v>-312.66440948639683</v>
      </c>
      <c r="AV141" s="307">
        <v>-111.46037056267619</v>
      </c>
      <c r="AW141" s="307">
        <v>-150.52096766919271</v>
      </c>
      <c r="AX141" s="307">
        <v>-3369.3414839443358</v>
      </c>
      <c r="AY141" s="307">
        <v>-364.92554561381439</v>
      </c>
      <c r="AZ141" s="307">
        <v>-950.21679479630984</v>
      </c>
      <c r="BA141" s="307"/>
      <c r="BB141" s="307"/>
      <c r="BC141" s="307"/>
      <c r="BD141" s="307"/>
      <c r="BE141" s="307"/>
      <c r="BF141" s="307"/>
      <c r="BG141" s="307"/>
      <c r="BH141" s="307"/>
      <c r="BI141" s="307"/>
      <c r="BJ141" s="307"/>
      <c r="BK141" s="307"/>
      <c r="BL141" s="307"/>
      <c r="BM141" s="307"/>
      <c r="BN141" s="307"/>
      <c r="BO141" s="307"/>
      <c r="BP141" s="307"/>
      <c r="BQ141" s="307"/>
      <c r="BR141" s="307"/>
      <c r="BS141" s="307"/>
      <c r="BT141" s="307"/>
      <c r="BU141" s="307"/>
      <c r="BV141" s="307"/>
      <c r="BW141" s="307"/>
      <c r="BX141" s="307"/>
      <c r="BY141" s="307"/>
      <c r="BZ141" s="307"/>
      <c r="CA141" s="307"/>
      <c r="CB141" s="307"/>
      <c r="CC141" s="307"/>
      <c r="CD141" s="307"/>
      <c r="CE141" s="307"/>
      <c r="CF141" s="307"/>
      <c r="CG141" s="307"/>
      <c r="CH141" s="307"/>
      <c r="CI141" s="307"/>
      <c r="CJ141" s="307"/>
      <c r="CK141" s="307"/>
      <c r="CL141" s="307"/>
      <c r="CM141" s="307"/>
      <c r="CN141" s="307"/>
      <c r="CO141" s="307"/>
      <c r="CP141" s="307"/>
      <c r="CQ141" s="307"/>
      <c r="CR141" s="307"/>
      <c r="CS141" s="307"/>
      <c r="CT141" s="307"/>
      <c r="CU141" s="307"/>
      <c r="CV141" s="307"/>
      <c r="CW141" s="307"/>
      <c r="CX141" s="307"/>
      <c r="CY141" s="307"/>
      <c r="CZ141" s="307"/>
      <c r="DA141" s="307"/>
      <c r="DB141" s="307"/>
      <c r="DC141" s="307"/>
      <c r="DD141" s="307"/>
      <c r="DE141" s="307"/>
      <c r="DF141" s="307"/>
      <c r="DG141" s="307"/>
      <c r="DH141" s="307"/>
      <c r="DI141" s="307"/>
      <c r="DJ141" s="307"/>
      <c r="DK141" s="307"/>
      <c r="DL141" s="307">
        <v>591.54120430370858</v>
      </c>
      <c r="DM141" s="307">
        <v>895.02957931408241</v>
      </c>
      <c r="DN141" s="307">
        <v>1083.7010734697365</v>
      </c>
      <c r="DO141" s="307">
        <v>1289.5598800101425</v>
      </c>
      <c r="DP141" s="307">
        <v>1559.6472218468346</v>
      </c>
      <c r="DQ141" s="307">
        <v>1850.5658746265551</v>
      </c>
      <c r="DR141" s="307">
        <v>2343.511369614414</v>
      </c>
      <c r="DS141" s="307">
        <v>3830.428928266319</v>
      </c>
      <c r="DT141" s="307">
        <v>5810.2919819060844</v>
      </c>
      <c r="DU141" s="307">
        <v>1486.9175586519041</v>
      </c>
      <c r="DV141" s="307">
        <v>1322.7894166380115</v>
      </c>
      <c r="DW141" s="307">
        <v>1443.9392571586502</v>
      </c>
      <c r="DX141" s="307">
        <v>1737.1390354191115</v>
      </c>
      <c r="DY141" s="307">
        <v>2639.768783726327</v>
      </c>
      <c r="DZ141" s="307"/>
      <c r="EA141" s="307"/>
      <c r="EB141" s="307"/>
      <c r="EC141" s="307"/>
      <c r="ED141" s="307"/>
      <c r="EE141" s="307"/>
      <c r="EF141" s="307"/>
      <c r="EG141" s="307"/>
      <c r="EH141" s="307"/>
      <c r="EI141" s="307"/>
      <c r="EJ141" s="307"/>
      <c r="EK141" s="307"/>
      <c r="EL141" s="307">
        <v>-4.5474735088646412E-13</v>
      </c>
    </row>
    <row r="142" spans="1:142" x14ac:dyDescent="0.25">
      <c r="A142" s="305" t="s">
        <v>1573</v>
      </c>
      <c r="B142" s="307"/>
      <c r="C142" s="307"/>
      <c r="D142" s="307"/>
      <c r="E142" s="307">
        <v>-166.26178832017285</v>
      </c>
      <c r="F142" s="307"/>
      <c r="G142" s="307"/>
      <c r="H142" s="307"/>
      <c r="I142" s="307"/>
      <c r="J142" s="307"/>
      <c r="K142" s="307">
        <v>-3.6582095555937278E-4</v>
      </c>
      <c r="L142" s="307"/>
      <c r="M142" s="307"/>
      <c r="N142" s="307"/>
      <c r="O142" s="307"/>
      <c r="P142" s="307"/>
      <c r="Q142" s="307"/>
      <c r="R142" s="307"/>
      <c r="S142" s="307"/>
      <c r="T142" s="307"/>
      <c r="U142" s="307">
        <v>-1233.2162984606432</v>
      </c>
      <c r="V142" s="307">
        <v>-43.824574802172258</v>
      </c>
      <c r="W142" s="307">
        <v>-12.625024201512318</v>
      </c>
      <c r="X142" s="307">
        <v>-8.3548181752701538</v>
      </c>
      <c r="Y142" s="307">
        <v>-1.5005325163861318</v>
      </c>
      <c r="Z142" s="307"/>
      <c r="AA142" s="307"/>
      <c r="AB142" s="307"/>
      <c r="AC142" s="307"/>
      <c r="AD142" s="307"/>
      <c r="AE142" s="307"/>
      <c r="AF142" s="307"/>
      <c r="AG142" s="307"/>
      <c r="AH142" s="307"/>
      <c r="AI142" s="307"/>
      <c r="AJ142" s="307"/>
      <c r="AK142" s="307"/>
      <c r="AL142" s="307">
        <v>1465.7834022971692</v>
      </c>
      <c r="AM142" s="307"/>
      <c r="AN142" s="307"/>
      <c r="AO142" s="307"/>
      <c r="AP142" s="307"/>
      <c r="AQ142" s="307"/>
      <c r="AR142" s="307"/>
      <c r="AS142" s="307"/>
      <c r="AT142" s="307"/>
      <c r="AU142" s="307"/>
      <c r="AV142" s="307"/>
      <c r="AW142" s="307"/>
      <c r="AX142" s="307"/>
      <c r="AY142" s="307"/>
      <c r="AZ142" s="307"/>
      <c r="BA142" s="307"/>
      <c r="BB142" s="307"/>
      <c r="BC142" s="307"/>
      <c r="BD142" s="307"/>
      <c r="BE142" s="307"/>
      <c r="BF142" s="307"/>
      <c r="BG142" s="307"/>
      <c r="BH142" s="307"/>
      <c r="BI142" s="307"/>
      <c r="BJ142" s="307"/>
      <c r="BK142" s="307"/>
      <c r="BL142" s="307"/>
      <c r="BM142" s="307"/>
      <c r="BN142" s="307"/>
      <c r="BO142" s="307"/>
      <c r="BP142" s="307"/>
      <c r="BQ142" s="307"/>
      <c r="BR142" s="307"/>
      <c r="BS142" s="307"/>
      <c r="BT142" s="307"/>
      <c r="BU142" s="307"/>
      <c r="BV142" s="307"/>
      <c r="BW142" s="307"/>
      <c r="BX142" s="307"/>
      <c r="BY142" s="307"/>
      <c r="BZ142" s="307"/>
      <c r="CA142" s="307"/>
      <c r="CB142" s="307"/>
      <c r="CC142" s="307"/>
      <c r="CD142" s="307"/>
      <c r="CE142" s="307"/>
      <c r="CF142" s="307"/>
      <c r="CG142" s="307"/>
      <c r="CH142" s="307"/>
      <c r="CI142" s="307"/>
      <c r="CJ142" s="307"/>
      <c r="CK142" s="307"/>
      <c r="CL142" s="307"/>
      <c r="CM142" s="307"/>
      <c r="CN142" s="307"/>
      <c r="CO142" s="307"/>
      <c r="CP142" s="307"/>
      <c r="CQ142" s="307"/>
      <c r="CR142" s="307"/>
      <c r="CS142" s="307"/>
      <c r="CT142" s="307"/>
      <c r="CU142" s="307"/>
      <c r="CV142" s="307"/>
      <c r="CW142" s="307"/>
      <c r="CX142" s="307"/>
      <c r="CY142" s="307"/>
      <c r="CZ142" s="307"/>
      <c r="DA142" s="307"/>
      <c r="DB142" s="307"/>
      <c r="DC142" s="307"/>
      <c r="DD142" s="307"/>
      <c r="DE142" s="307"/>
      <c r="DF142" s="307"/>
      <c r="DG142" s="307"/>
      <c r="DH142" s="307"/>
      <c r="DI142" s="307"/>
      <c r="DJ142" s="307"/>
      <c r="DK142" s="307"/>
      <c r="DL142" s="307"/>
      <c r="DM142" s="307"/>
      <c r="DN142" s="307"/>
      <c r="DO142" s="307"/>
      <c r="DP142" s="307"/>
      <c r="DQ142" s="307"/>
      <c r="DR142" s="307"/>
      <c r="DS142" s="307"/>
      <c r="DT142" s="307"/>
      <c r="DU142" s="307"/>
      <c r="DV142" s="307"/>
      <c r="DW142" s="307"/>
      <c r="DX142" s="307"/>
      <c r="DY142" s="307"/>
      <c r="DZ142" s="307"/>
      <c r="EA142" s="307"/>
      <c r="EB142" s="307"/>
      <c r="EC142" s="307"/>
      <c r="ED142" s="307"/>
      <c r="EE142" s="307"/>
      <c r="EF142" s="307"/>
      <c r="EG142" s="307"/>
      <c r="EH142" s="307"/>
      <c r="EI142" s="307"/>
      <c r="EJ142" s="307"/>
      <c r="EK142" s="307"/>
      <c r="EL142" s="307">
        <v>5.6843418860808015E-11</v>
      </c>
    </row>
    <row r="143" spans="1:142" x14ac:dyDescent="0.25">
      <c r="A143" s="305" t="s">
        <v>1572</v>
      </c>
      <c r="B143" s="307">
        <v>-4.4498889685890397</v>
      </c>
      <c r="C143" s="307"/>
      <c r="D143" s="307"/>
      <c r="E143" s="307"/>
      <c r="F143" s="307">
        <v>-72.361656245368124</v>
      </c>
      <c r="G143" s="307">
        <v>-496.03892224300853</v>
      </c>
      <c r="H143" s="307">
        <v>-84.090656062626294</v>
      </c>
      <c r="I143" s="307"/>
      <c r="J143" s="307"/>
      <c r="K143" s="307"/>
      <c r="L143" s="307">
        <v>-180.91268752523092</v>
      </c>
      <c r="M143" s="307">
        <v>-33.119042984723364</v>
      </c>
      <c r="N143" s="307">
        <v>-770.28891926113738</v>
      </c>
      <c r="O143" s="307">
        <v>-209.42563369192945</v>
      </c>
      <c r="P143" s="307">
        <v>-13.383052935915064</v>
      </c>
      <c r="Q143" s="307">
        <v>-3.8846743872150435</v>
      </c>
      <c r="R143" s="307">
        <v>-511.93050893054976</v>
      </c>
      <c r="S143" s="307">
        <v>1585.7144659433038</v>
      </c>
      <c r="T143" s="307">
        <v>-78.988801868255422</v>
      </c>
      <c r="U143" s="307"/>
      <c r="V143" s="307"/>
      <c r="W143" s="307"/>
      <c r="X143" s="307"/>
      <c r="Y143" s="307"/>
      <c r="Z143" s="307">
        <v>-11.257517066677321</v>
      </c>
      <c r="AA143" s="307">
        <v>-751.22355566594354</v>
      </c>
      <c r="AB143" s="307">
        <v>-161.54016801791613</v>
      </c>
      <c r="AC143" s="307">
        <v>-19.721924567861212</v>
      </c>
      <c r="AD143" s="307">
        <v>-2.6433989290739817</v>
      </c>
      <c r="AE143" s="307">
        <v>-90.744621482819468</v>
      </c>
      <c r="AF143" s="307">
        <v>-49.761362873002724</v>
      </c>
      <c r="AG143" s="307">
        <v>-12.568338505345672</v>
      </c>
      <c r="AH143" s="307">
        <v>-11.288948027286565</v>
      </c>
      <c r="AI143" s="307">
        <v>-14.924337877029684</v>
      </c>
      <c r="AJ143" s="307">
        <v>-84.652603077747216</v>
      </c>
      <c r="AK143" s="307">
        <v>-36.252667242576088</v>
      </c>
      <c r="AL143" s="307"/>
      <c r="AM143" s="307">
        <v>832.56622874358175</v>
      </c>
      <c r="AN143" s="307"/>
      <c r="AO143" s="307"/>
      <c r="AP143" s="307">
        <v>32.348681566361286</v>
      </c>
      <c r="AQ143" s="307"/>
      <c r="AR143" s="307"/>
      <c r="AS143" s="307">
        <v>82.968028198235714</v>
      </c>
      <c r="AT143" s="307"/>
      <c r="AU143" s="307"/>
      <c r="AV143" s="307">
        <v>69.715023137081644</v>
      </c>
      <c r="AW143" s="307"/>
      <c r="AX143" s="307">
        <v>105.396264915535</v>
      </c>
      <c r="AY143" s="307">
        <v>385.60144933748074</v>
      </c>
      <c r="AZ143" s="307">
        <v>92.873720960769347</v>
      </c>
      <c r="BA143" s="307"/>
      <c r="BB143" s="307"/>
      <c r="BC143" s="307"/>
      <c r="BD143" s="307"/>
      <c r="BE143" s="307"/>
      <c r="BF143" s="307"/>
      <c r="BG143" s="307"/>
      <c r="BH143" s="307"/>
      <c r="BI143" s="307"/>
      <c r="BJ143" s="307"/>
      <c r="BK143" s="307"/>
      <c r="BL143" s="307"/>
      <c r="BM143" s="307"/>
      <c r="BN143" s="307"/>
      <c r="BO143" s="307"/>
      <c r="BP143" s="307"/>
      <c r="BQ143" s="307"/>
      <c r="BR143" s="307"/>
      <c r="BS143" s="307"/>
      <c r="BT143" s="307"/>
      <c r="BU143" s="307"/>
      <c r="BV143" s="307"/>
      <c r="BW143" s="307"/>
      <c r="BX143" s="307"/>
      <c r="BY143" s="307"/>
      <c r="BZ143" s="307"/>
      <c r="CA143" s="307"/>
      <c r="CB143" s="307"/>
      <c r="CC143" s="307"/>
      <c r="CD143" s="307"/>
      <c r="CE143" s="307"/>
      <c r="CF143" s="307"/>
      <c r="CG143" s="307"/>
      <c r="CH143" s="307"/>
      <c r="CI143" s="307"/>
      <c r="CJ143" s="307"/>
      <c r="CK143" s="307"/>
      <c r="CL143" s="307"/>
      <c r="CM143" s="307"/>
      <c r="CN143" s="307"/>
      <c r="CO143" s="307"/>
      <c r="CP143" s="307"/>
      <c r="CQ143" s="307"/>
      <c r="CR143" s="307"/>
      <c r="CS143" s="307"/>
      <c r="CT143" s="307"/>
      <c r="CU143" s="307"/>
      <c r="CV143" s="307"/>
      <c r="CW143" s="307"/>
      <c r="CX143" s="307"/>
      <c r="CY143" s="307"/>
      <c r="CZ143" s="307"/>
      <c r="DA143" s="307"/>
      <c r="DB143" s="307"/>
      <c r="DC143" s="307"/>
      <c r="DD143" s="307"/>
      <c r="DE143" s="307"/>
      <c r="DF143" s="307"/>
      <c r="DG143" s="307"/>
      <c r="DH143" s="307"/>
      <c r="DI143" s="307"/>
      <c r="DJ143" s="307"/>
      <c r="DK143" s="307"/>
      <c r="DL143" s="307">
        <v>26.57228565681611</v>
      </c>
      <c r="DM143" s="307">
        <v>44.901546378405094</v>
      </c>
      <c r="DN143" s="307">
        <v>119.72145794387561</v>
      </c>
      <c r="DO143" s="307">
        <v>109.279942491109</v>
      </c>
      <c r="DP143" s="307">
        <v>104.86320385630009</v>
      </c>
      <c r="DQ143" s="307">
        <v>28.380776831584413</v>
      </c>
      <c r="DR143" s="307">
        <v>18.040630155621798</v>
      </c>
      <c r="DS143" s="307">
        <v>4.8808216223089538</v>
      </c>
      <c r="DT143" s="307">
        <v>9.6176189425374492</v>
      </c>
      <c r="DU143" s="307"/>
      <c r="DV143" s="307"/>
      <c r="DW143" s="307"/>
      <c r="DX143" s="307">
        <v>13.946234206247137</v>
      </c>
      <c r="DY143" s="307">
        <v>38.065507550671967</v>
      </c>
      <c r="DZ143" s="307"/>
      <c r="EA143" s="307"/>
      <c r="EB143" s="307"/>
      <c r="EC143" s="307"/>
      <c r="ED143" s="307"/>
      <c r="EE143" s="307"/>
      <c r="EF143" s="307"/>
      <c r="EG143" s="307"/>
      <c r="EH143" s="307"/>
      <c r="EI143" s="307"/>
      <c r="EJ143" s="307"/>
      <c r="EK143" s="307"/>
      <c r="EL143" s="307">
        <v>-9.6633812063373625E-13</v>
      </c>
    </row>
    <row r="144" spans="1:142" x14ac:dyDescent="0.25">
      <c r="A144" s="305" t="s">
        <v>1571</v>
      </c>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c r="AE144" s="307"/>
      <c r="AF144" s="307"/>
      <c r="AG144" s="307"/>
      <c r="AH144" s="307"/>
      <c r="AI144" s="307"/>
      <c r="AJ144" s="307"/>
      <c r="AK144" s="307"/>
      <c r="AL144" s="307"/>
      <c r="AM144" s="307"/>
      <c r="AN144" s="307"/>
      <c r="AO144" s="307"/>
      <c r="AP144" s="307"/>
      <c r="AQ144" s="307"/>
      <c r="AR144" s="307"/>
      <c r="AS144" s="307"/>
      <c r="AT144" s="307"/>
      <c r="AU144" s="307"/>
      <c r="AV144" s="307"/>
      <c r="AW144" s="307"/>
      <c r="AX144" s="307"/>
      <c r="AY144" s="307"/>
      <c r="AZ144" s="307"/>
      <c r="BA144" s="307"/>
      <c r="BB144" s="307"/>
      <c r="BC144" s="307"/>
      <c r="BD144" s="307"/>
      <c r="BE144" s="307"/>
      <c r="BF144" s="307"/>
      <c r="BG144" s="307"/>
      <c r="BH144" s="307"/>
      <c r="BI144" s="307"/>
      <c r="BJ144" s="307"/>
      <c r="BK144" s="307"/>
      <c r="BL144" s="307"/>
      <c r="BM144" s="307"/>
      <c r="BN144" s="307"/>
      <c r="BO144" s="307"/>
      <c r="BP144" s="307"/>
      <c r="BQ144" s="307"/>
      <c r="BR144" s="307"/>
      <c r="BS144" s="307"/>
      <c r="BT144" s="307"/>
      <c r="BU144" s="307"/>
      <c r="BV144" s="307"/>
      <c r="BW144" s="307"/>
      <c r="BX144" s="307"/>
      <c r="BY144" s="307"/>
      <c r="BZ144" s="307"/>
      <c r="CA144" s="307"/>
      <c r="CB144" s="307"/>
      <c r="CC144" s="307"/>
      <c r="CD144" s="307"/>
      <c r="CE144" s="307"/>
      <c r="CF144" s="307"/>
      <c r="CG144" s="307"/>
      <c r="CH144" s="307"/>
      <c r="CI144" s="307"/>
      <c r="CJ144" s="307"/>
      <c r="CK144" s="307"/>
      <c r="CL144" s="307"/>
      <c r="CM144" s="307"/>
      <c r="CN144" s="307"/>
      <c r="CO144" s="307"/>
      <c r="CP144" s="307"/>
      <c r="CQ144" s="307"/>
      <c r="CR144" s="307"/>
      <c r="CS144" s="307"/>
      <c r="CT144" s="307"/>
      <c r="CU144" s="307"/>
      <c r="CV144" s="307"/>
      <c r="CW144" s="307"/>
      <c r="CX144" s="307"/>
      <c r="CY144" s="307"/>
      <c r="CZ144" s="307"/>
      <c r="DA144" s="307"/>
      <c r="DB144" s="307"/>
      <c r="DC144" s="307"/>
      <c r="DD144" s="307"/>
      <c r="DE144" s="307"/>
      <c r="DF144" s="307"/>
      <c r="DG144" s="307"/>
      <c r="DH144" s="307"/>
      <c r="DI144" s="307"/>
      <c r="DJ144" s="307">
        <v>436328.25792782538</v>
      </c>
      <c r="DK144" s="307">
        <v>17458.306825580035</v>
      </c>
      <c r="DL144" s="307">
        <v>1.9717085470499331</v>
      </c>
      <c r="DM144" s="307">
        <v>22.115410123168143</v>
      </c>
      <c r="DN144" s="307">
        <v>65.526995093414016</v>
      </c>
      <c r="DO144" s="307">
        <v>57.608605111535027</v>
      </c>
      <c r="DP144" s="307">
        <v>94.36264041491583</v>
      </c>
      <c r="DQ144" s="307">
        <v>206.59812029744032</v>
      </c>
      <c r="DR144" s="307">
        <v>464.78703571319016</v>
      </c>
      <c r="DS144" s="307">
        <v>862.58643185361336</v>
      </c>
      <c r="DT144" s="307">
        <v>2372.3625141053089</v>
      </c>
      <c r="DU144" s="307">
        <v>418.46048951260451</v>
      </c>
      <c r="DV144" s="307">
        <v>959.53390407785412</v>
      </c>
      <c r="DW144" s="307">
        <v>2022.3224545248979</v>
      </c>
      <c r="DX144" s="307">
        <v>2537.3143342656431</v>
      </c>
      <c r="DY144" s="307">
        <v>6838.4493563593642</v>
      </c>
      <c r="DZ144" s="307">
        <v>15596</v>
      </c>
      <c r="EA144" s="307"/>
      <c r="EB144" s="307"/>
      <c r="EC144" s="307"/>
      <c r="ED144" s="307"/>
      <c r="EE144" s="307"/>
      <c r="EF144" s="307"/>
      <c r="EG144" s="307"/>
      <c r="EH144" s="307"/>
      <c r="EI144" s="307"/>
      <c r="EJ144" s="307"/>
      <c r="EK144" s="307">
        <v>156998.4428951802</v>
      </c>
      <c r="EL144" s="307">
        <v>643305.0076485856</v>
      </c>
    </row>
    <row r="145" spans="1:142" x14ac:dyDescent="0.25">
      <c r="A145" s="305" t="s">
        <v>1570</v>
      </c>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307"/>
      <c r="BE145" s="307"/>
      <c r="BF145" s="307"/>
      <c r="BG145" s="307"/>
      <c r="BH145" s="307"/>
      <c r="BI145" s="307"/>
      <c r="BJ145" s="307"/>
      <c r="BK145" s="307"/>
      <c r="BL145" s="307"/>
      <c r="BM145" s="307"/>
      <c r="BN145" s="307"/>
      <c r="BO145" s="307"/>
      <c r="BP145" s="307"/>
      <c r="BQ145" s="307"/>
      <c r="BR145" s="307"/>
      <c r="BS145" s="307"/>
      <c r="BT145" s="307"/>
      <c r="BU145" s="307"/>
      <c r="BV145" s="307"/>
      <c r="BW145" s="307"/>
      <c r="BX145" s="307"/>
      <c r="BY145" s="307"/>
      <c r="BZ145" s="307"/>
      <c r="CA145" s="307"/>
      <c r="CB145" s="307"/>
      <c r="CC145" s="307"/>
      <c r="CD145" s="307"/>
      <c r="CE145" s="307"/>
      <c r="CF145" s="307"/>
      <c r="CG145" s="307"/>
      <c r="CH145" s="307"/>
      <c r="CI145" s="307"/>
      <c r="CJ145" s="307"/>
      <c r="CK145" s="307"/>
      <c r="CL145" s="307"/>
      <c r="CM145" s="307"/>
      <c r="CN145" s="307"/>
      <c r="CO145" s="307"/>
      <c r="CP145" s="307"/>
      <c r="CQ145" s="307"/>
      <c r="CR145" s="307"/>
      <c r="CS145" s="307"/>
      <c r="CT145" s="307"/>
      <c r="CU145" s="307"/>
      <c r="CV145" s="307"/>
      <c r="CW145" s="307"/>
      <c r="CX145" s="307"/>
      <c r="CY145" s="307"/>
      <c r="CZ145" s="307"/>
      <c r="DA145" s="307"/>
      <c r="DB145" s="307"/>
      <c r="DC145" s="307"/>
      <c r="DD145" s="307"/>
      <c r="DE145" s="307"/>
      <c r="DF145" s="307"/>
      <c r="DG145" s="307"/>
      <c r="DH145" s="307"/>
      <c r="DI145" s="307"/>
      <c r="DJ145" s="307"/>
      <c r="DK145" s="307">
        <v>31077.435246594669</v>
      </c>
      <c r="DL145" s="307"/>
      <c r="DM145" s="307"/>
      <c r="DN145" s="307"/>
      <c r="DO145" s="307"/>
      <c r="DP145" s="307"/>
      <c r="DQ145" s="307"/>
      <c r="DR145" s="307"/>
      <c r="DS145" s="307"/>
      <c r="DT145" s="307"/>
      <c r="DU145" s="307"/>
      <c r="DV145" s="307"/>
      <c r="DW145" s="307"/>
      <c r="DX145" s="307"/>
      <c r="DY145" s="307"/>
      <c r="DZ145" s="307"/>
      <c r="EA145" s="307"/>
      <c r="EB145" s="307"/>
      <c r="EC145" s="307"/>
      <c r="ED145" s="307"/>
      <c r="EE145" s="307"/>
      <c r="EF145" s="307"/>
      <c r="EG145" s="307"/>
      <c r="EH145" s="307"/>
      <c r="EI145" s="307"/>
      <c r="EJ145" s="307"/>
      <c r="EK145" s="307"/>
      <c r="EL145" s="307">
        <v>31077.435246594669</v>
      </c>
    </row>
    <row r="146" spans="1:142" x14ac:dyDescent="0.25">
      <c r="A146" s="305" t="s">
        <v>1569</v>
      </c>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c r="AE146" s="307"/>
      <c r="AF146" s="307"/>
      <c r="AG146" s="307"/>
      <c r="AH146" s="307"/>
      <c r="AI146" s="307"/>
      <c r="AJ146" s="307"/>
      <c r="AK146" s="307"/>
      <c r="AL146" s="307"/>
      <c r="AM146" s="307"/>
      <c r="AN146" s="307"/>
      <c r="AO146" s="307"/>
      <c r="AP146" s="307"/>
      <c r="AQ146" s="307"/>
      <c r="AR146" s="307"/>
      <c r="AS146" s="307"/>
      <c r="AT146" s="307"/>
      <c r="AU146" s="307"/>
      <c r="AV146" s="307"/>
      <c r="AW146" s="307"/>
      <c r="AX146" s="307"/>
      <c r="AY146" s="307"/>
      <c r="AZ146" s="307"/>
      <c r="BA146" s="307"/>
      <c r="BB146" s="307"/>
      <c r="BC146" s="307"/>
      <c r="BD146" s="307"/>
      <c r="BE146" s="307"/>
      <c r="BF146" s="307"/>
      <c r="BG146" s="307"/>
      <c r="BH146" s="307"/>
      <c r="BI146" s="307"/>
      <c r="BJ146" s="307"/>
      <c r="BK146" s="307"/>
      <c r="BL146" s="307"/>
      <c r="BM146" s="307"/>
      <c r="BN146" s="307"/>
      <c r="BO146" s="307"/>
      <c r="BP146" s="307"/>
      <c r="BQ146" s="307"/>
      <c r="BR146" s="307"/>
      <c r="BS146" s="307"/>
      <c r="BT146" s="307"/>
      <c r="BU146" s="307"/>
      <c r="BV146" s="307"/>
      <c r="BW146" s="307"/>
      <c r="BX146" s="307"/>
      <c r="BY146" s="307"/>
      <c r="BZ146" s="307"/>
      <c r="CA146" s="307"/>
      <c r="CB146" s="307"/>
      <c r="CC146" s="307"/>
      <c r="CD146" s="307"/>
      <c r="CE146" s="307"/>
      <c r="CF146" s="307"/>
      <c r="CG146" s="307"/>
      <c r="CH146" s="307"/>
      <c r="CI146" s="307"/>
      <c r="CJ146" s="307"/>
      <c r="CK146" s="307"/>
      <c r="CL146" s="307"/>
      <c r="CM146" s="307"/>
      <c r="CN146" s="307"/>
      <c r="CO146" s="307"/>
      <c r="CP146" s="307"/>
      <c r="CQ146" s="307"/>
      <c r="CR146" s="307"/>
      <c r="CS146" s="307"/>
      <c r="CT146" s="307"/>
      <c r="CU146" s="307"/>
      <c r="CV146" s="307"/>
      <c r="CW146" s="307"/>
      <c r="CX146" s="307"/>
      <c r="CY146" s="307"/>
      <c r="CZ146" s="307"/>
      <c r="DA146" s="307"/>
      <c r="DB146" s="307"/>
      <c r="DC146" s="307"/>
      <c r="DD146" s="307"/>
      <c r="DE146" s="307"/>
      <c r="DF146" s="307"/>
      <c r="DG146" s="307"/>
      <c r="DH146" s="307"/>
      <c r="DI146" s="307"/>
      <c r="DJ146" s="307"/>
      <c r="DK146" s="307"/>
      <c r="DL146" s="307"/>
      <c r="DM146" s="307"/>
      <c r="DN146" s="307"/>
      <c r="DO146" s="307"/>
      <c r="DP146" s="307"/>
      <c r="DQ146" s="307"/>
      <c r="DR146" s="307"/>
      <c r="DS146" s="307"/>
      <c r="DT146" s="307"/>
      <c r="DU146" s="307"/>
      <c r="DV146" s="307"/>
      <c r="DW146" s="307"/>
      <c r="DX146" s="307"/>
      <c r="DY146" s="307"/>
      <c r="DZ146" s="307"/>
      <c r="EA146" s="307"/>
      <c r="EB146" s="307"/>
      <c r="EC146" s="307"/>
      <c r="ED146" s="307"/>
      <c r="EE146" s="307"/>
      <c r="EF146" s="307"/>
      <c r="EG146" s="307"/>
      <c r="EH146" s="307">
        <v>59877.442895178559</v>
      </c>
      <c r="EI146" s="307"/>
      <c r="EJ146" s="307"/>
      <c r="EK146" s="307"/>
      <c r="EL146" s="307">
        <v>59877.442895178559</v>
      </c>
    </row>
    <row r="147" spans="1:142" x14ac:dyDescent="0.25">
      <c r="A147" s="305" t="s">
        <v>1568</v>
      </c>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c r="AE147" s="307"/>
      <c r="AF147" s="307"/>
      <c r="AG147" s="307"/>
      <c r="AH147" s="307"/>
      <c r="AI147" s="307"/>
      <c r="AJ147" s="307"/>
      <c r="AK147" s="307"/>
      <c r="AL147" s="307"/>
      <c r="AM147" s="307"/>
      <c r="AN147" s="307"/>
      <c r="AO147" s="307"/>
      <c r="AP147" s="307"/>
      <c r="AQ147" s="307"/>
      <c r="AR147" s="307"/>
      <c r="AS147" s="307"/>
      <c r="AT147" s="307"/>
      <c r="AU147" s="307"/>
      <c r="AV147" s="307"/>
      <c r="AW147" s="307"/>
      <c r="AX147" s="307"/>
      <c r="AY147" s="307"/>
      <c r="AZ147" s="307"/>
      <c r="BA147" s="307">
        <v>11488.321597935892</v>
      </c>
      <c r="BB147" s="307">
        <v>236.11860326772111</v>
      </c>
      <c r="BC147" s="307">
        <v>119.13739537291266</v>
      </c>
      <c r="BD147" s="307"/>
      <c r="BE147" s="307">
        <v>387.1786266975837</v>
      </c>
      <c r="BF147" s="307">
        <v>3138.1305231429019</v>
      </c>
      <c r="BG147" s="307">
        <v>10973.943101240671</v>
      </c>
      <c r="BH147" s="307">
        <v>76027.815379690306</v>
      </c>
      <c r="BI147" s="307">
        <v>12439.359524853513</v>
      </c>
      <c r="BJ147" s="307"/>
      <c r="BK147" s="307">
        <v>35908.792597679749</v>
      </c>
      <c r="BL147" s="307">
        <v>5426.9725830789594</v>
      </c>
      <c r="BM147" s="307">
        <v>4112.63474928715</v>
      </c>
      <c r="BN147" s="307">
        <v>34902.596477955747</v>
      </c>
      <c r="BO147" s="307">
        <v>2776.7536459394378</v>
      </c>
      <c r="BP147" s="307">
        <v>8575.3597131334463</v>
      </c>
      <c r="BQ147" s="307">
        <v>3060.3274554337281</v>
      </c>
      <c r="BR147" s="307">
        <v>9479.97766880366</v>
      </c>
      <c r="BS147" s="307">
        <v>3322.8405747617931</v>
      </c>
      <c r="BT147" s="307">
        <v>12982.002150318584</v>
      </c>
      <c r="BU147" s="307">
        <v>27508.577621916695</v>
      </c>
      <c r="BV147" s="307">
        <v>1485.3143601294043</v>
      </c>
      <c r="BW147" s="307">
        <v>45486.002706840853</v>
      </c>
      <c r="BX147" s="307">
        <v>38214.607829584405</v>
      </c>
      <c r="BY147" s="307">
        <v>10294.392625396753</v>
      </c>
      <c r="BZ147" s="307">
        <v>9042.1970657749043</v>
      </c>
      <c r="CA147" s="307">
        <v>2740.9157608804694</v>
      </c>
      <c r="CB147" s="307">
        <v>7196.7602611434068</v>
      </c>
      <c r="CC147" s="307">
        <v>15304.171977152371</v>
      </c>
      <c r="CD147" s="307">
        <v>38275.319056605134</v>
      </c>
      <c r="CE147" s="307">
        <v>21499.961129778807</v>
      </c>
      <c r="CF147" s="307">
        <v>122695.11522531725</v>
      </c>
      <c r="CG147" s="307">
        <v>51630.741627293653</v>
      </c>
      <c r="CH147" s="307">
        <v>77597.511874622709</v>
      </c>
      <c r="CI147" s="307">
        <v>112595.01686636747</v>
      </c>
      <c r="CJ147" s="307">
        <v>19651.003317829036</v>
      </c>
      <c r="CK147" s="307">
        <v>5445.1751118087823</v>
      </c>
      <c r="CL147" s="307">
        <v>14683.507132962079</v>
      </c>
      <c r="CM147" s="307">
        <v>1715.2659900908193</v>
      </c>
      <c r="CN147" s="307">
        <v>341.20886541886711</v>
      </c>
      <c r="CO147" s="307">
        <v>747.13407998896946</v>
      </c>
      <c r="CP147" s="307">
        <v>2351.1522531683945</v>
      </c>
      <c r="CQ147" s="307">
        <v>27960.54342148783</v>
      </c>
      <c r="CR147" s="307">
        <v>27743.369359289969</v>
      </c>
      <c r="CS147" s="307">
        <v>10446.786179537437</v>
      </c>
      <c r="CT147" s="307">
        <v>146.03626836773762</v>
      </c>
      <c r="CU147" s="307">
        <v>5.5023408442633546</v>
      </c>
      <c r="CV147" s="307">
        <v>1644.476680221481</v>
      </c>
      <c r="CW147" s="307">
        <v>706.7273245574039</v>
      </c>
      <c r="CX147" s="307">
        <v>8478.3634326894171</v>
      </c>
      <c r="CY147" s="307">
        <v>48385.926520338384</v>
      </c>
      <c r="CZ147" s="307">
        <v>344.75119061190969</v>
      </c>
      <c r="DA147" s="307">
        <v>21523.816714054712</v>
      </c>
      <c r="DB147" s="307">
        <v>4716.0122325094153</v>
      </c>
      <c r="DC147" s="307"/>
      <c r="DD147" s="307">
        <v>589.7627470477322</v>
      </c>
      <c r="DE147" s="307">
        <v>1071.6832422143732</v>
      </c>
      <c r="DF147" s="307">
        <v>2725.0304888176092</v>
      </c>
      <c r="DG147" s="307">
        <v>6457.5235219202859</v>
      </c>
      <c r="DH147" s="307">
        <v>118127.61145088775</v>
      </c>
      <c r="DI147" s="307"/>
      <c r="DJ147" s="307"/>
      <c r="DK147" s="307">
        <v>7865.3885491122601</v>
      </c>
      <c r="DL147" s="307">
        <v>11.996298521358408</v>
      </c>
      <c r="DM147" s="307">
        <v>33.557087034223841</v>
      </c>
      <c r="DN147" s="307">
        <v>55.455996268278128</v>
      </c>
      <c r="DO147" s="307">
        <v>82.336170491112043</v>
      </c>
      <c r="DP147" s="307">
        <v>126.60122797815161</v>
      </c>
      <c r="DQ147" s="307">
        <v>158.93224865817766</v>
      </c>
      <c r="DR147" s="307">
        <v>357.05787362884394</v>
      </c>
      <c r="DS147" s="307">
        <v>672.91831501905665</v>
      </c>
      <c r="DT147" s="307">
        <v>2467.7511575651361</v>
      </c>
      <c r="DU147" s="307">
        <v>618.40313887849277</v>
      </c>
      <c r="DV147" s="307">
        <v>924.58768613907182</v>
      </c>
      <c r="DW147" s="307">
        <v>914.33938009130156</v>
      </c>
      <c r="DX147" s="307">
        <v>703.87432374950902</v>
      </c>
      <c r="DY147" s="307">
        <v>1600.1890959772859</v>
      </c>
      <c r="DZ147" s="307">
        <v>35732</v>
      </c>
      <c r="EA147" s="307"/>
      <c r="EB147" s="307"/>
      <c r="EC147" s="307"/>
      <c r="ED147" s="307"/>
      <c r="EE147" s="307"/>
      <c r="EF147" s="307"/>
      <c r="EG147" s="307"/>
      <c r="EH147" s="307"/>
      <c r="EI147" s="307"/>
      <c r="EJ147" s="307"/>
      <c r="EK147" s="307"/>
      <c r="EL147" s="307">
        <v>1195258.6267731746</v>
      </c>
    </row>
    <row r="148" spans="1:142" x14ac:dyDescent="0.25">
      <c r="A148" s="305" t="s">
        <v>1567</v>
      </c>
      <c r="B148" s="307">
        <v>158068.43043290667</v>
      </c>
      <c r="C148" s="307">
        <v>17544.364776202463</v>
      </c>
      <c r="D148" s="307">
        <v>4528.0377111453772</v>
      </c>
      <c r="E148" s="307">
        <v>107424.76125085723</v>
      </c>
      <c r="F148" s="307">
        <v>80856.433778936684</v>
      </c>
      <c r="G148" s="307">
        <v>226017.79525409953</v>
      </c>
      <c r="H148" s="307">
        <v>58592.311714347961</v>
      </c>
      <c r="I148" s="307">
        <v>3874.0705878687036</v>
      </c>
      <c r="J148" s="307">
        <v>4646.7519999999895</v>
      </c>
      <c r="K148" s="307">
        <v>0.99999999999999989</v>
      </c>
      <c r="L148" s="307">
        <v>265777.35384823545</v>
      </c>
      <c r="M148" s="307">
        <v>83271.30903482523</v>
      </c>
      <c r="N148" s="307">
        <v>27058.639307158493</v>
      </c>
      <c r="O148" s="307">
        <v>43502.883350147546</v>
      </c>
      <c r="P148" s="307">
        <v>8783.8423196454842</v>
      </c>
      <c r="Q148" s="307">
        <v>8710.7120316860182</v>
      </c>
      <c r="R148" s="307">
        <v>44160.074473262706</v>
      </c>
      <c r="S148" s="307">
        <v>75485.287898324154</v>
      </c>
      <c r="T148" s="307">
        <v>41840.768385576797</v>
      </c>
      <c r="U148" s="307">
        <v>143459.59604188841</v>
      </c>
      <c r="V148" s="307">
        <v>119797.87963530021</v>
      </c>
      <c r="W148" s="307">
        <v>118993.61324641833</v>
      </c>
      <c r="X148" s="307">
        <v>16407.147377087251</v>
      </c>
      <c r="Y148" s="307">
        <v>38482.932737225012</v>
      </c>
      <c r="Z148" s="307">
        <v>12175.12440106987</v>
      </c>
      <c r="AA148" s="307">
        <v>43034.026847537265</v>
      </c>
      <c r="AB148" s="307">
        <v>139745.09915966075</v>
      </c>
      <c r="AC148" s="307">
        <v>58378.083425623219</v>
      </c>
      <c r="AD148" s="307">
        <v>86497.117032336726</v>
      </c>
      <c r="AE148" s="307">
        <v>91469.036572743978</v>
      </c>
      <c r="AF148" s="307">
        <v>53698.917490087093</v>
      </c>
      <c r="AG148" s="307">
        <v>36473.691071377201</v>
      </c>
      <c r="AH148" s="307">
        <v>179750.31350728095</v>
      </c>
      <c r="AI148" s="307">
        <v>19232.415690242549</v>
      </c>
      <c r="AJ148" s="307">
        <v>19730.995927888711</v>
      </c>
      <c r="AK148" s="307">
        <v>49317.260275924687</v>
      </c>
      <c r="AL148" s="307">
        <v>141552.76171426754</v>
      </c>
      <c r="AM148" s="307">
        <v>50240.643179344392</v>
      </c>
      <c r="AN148" s="307">
        <v>372366.40617693763</v>
      </c>
      <c r="AO148" s="307">
        <v>702232.04950263188</v>
      </c>
      <c r="AP148" s="307">
        <v>79471.122101065674</v>
      </c>
      <c r="AQ148" s="307">
        <v>2409.476404047562</v>
      </c>
      <c r="AR148" s="307">
        <v>32911.443695206319</v>
      </c>
      <c r="AS148" s="307">
        <v>59348.008843493313</v>
      </c>
      <c r="AT148" s="307">
        <v>124177.47504970983</v>
      </c>
      <c r="AU148" s="307">
        <v>388513.53358557296</v>
      </c>
      <c r="AV148" s="307">
        <v>173682.68206397869</v>
      </c>
      <c r="AW148" s="307">
        <v>542473.29019276693</v>
      </c>
      <c r="AX148" s="307">
        <v>958314.03617420979</v>
      </c>
      <c r="AY148" s="307">
        <v>728487.09088345023</v>
      </c>
      <c r="AZ148" s="307">
        <v>615574.14943075681</v>
      </c>
      <c r="BA148" s="307">
        <v>199903.84596476474</v>
      </c>
      <c r="BB148" s="307">
        <v>19842.81248201077</v>
      </c>
      <c r="BC148" s="307">
        <v>6532.4276721127708</v>
      </c>
      <c r="BD148" s="307">
        <v>37700.014475462362</v>
      </c>
      <c r="BE148" s="307">
        <v>61794.139271354732</v>
      </c>
      <c r="BF148" s="307">
        <v>294503.92119553988</v>
      </c>
      <c r="BG148" s="307">
        <v>120330.55334316519</v>
      </c>
      <c r="BH148" s="307">
        <v>79901.885967559007</v>
      </c>
      <c r="BI148" s="307">
        <v>17086.111524853502</v>
      </c>
      <c r="BJ148" s="307">
        <v>1</v>
      </c>
      <c r="BK148" s="307">
        <v>415447.13575470215</v>
      </c>
      <c r="BL148" s="307">
        <v>183671.33318177791</v>
      </c>
      <c r="BM148" s="307">
        <v>36842.671479967066</v>
      </c>
      <c r="BN148" s="307">
        <v>109403.70373058459</v>
      </c>
      <c r="BO148" s="307">
        <v>14273.758076494889</v>
      </c>
      <c r="BP148" s="307">
        <v>25638.426968501579</v>
      </c>
      <c r="BQ148" s="307">
        <v>59771.082006278768</v>
      </c>
      <c r="BR148" s="307">
        <v>116809.99839601255</v>
      </c>
      <c r="BS148" s="307">
        <v>70773.227969502332</v>
      </c>
      <c r="BT148" s="307">
        <v>140471.81466346935</v>
      </c>
      <c r="BU148" s="307">
        <v>158141.11306080478</v>
      </c>
      <c r="BV148" s="307">
        <v>28012.521262510105</v>
      </c>
      <c r="BW148" s="307">
        <v>208930.67988678737</v>
      </c>
      <c r="BX148" s="307">
        <v>206883.52519499726</v>
      </c>
      <c r="BY148" s="307">
        <v>35436.014592855339</v>
      </c>
      <c r="BZ148" s="307">
        <v>78069.893098886547</v>
      </c>
      <c r="CA148" s="307">
        <v>20154.622162880674</v>
      </c>
      <c r="CB148" s="307">
        <v>78173.341494019711</v>
      </c>
      <c r="CC148" s="307">
        <v>208322.89390958936</v>
      </c>
      <c r="CD148" s="307">
        <v>121654.20698927726</v>
      </c>
      <c r="CE148" s="307">
        <v>138389.90079808343</v>
      </c>
      <c r="CF148" s="307">
        <v>247575.66395037499</v>
      </c>
      <c r="CG148" s="307">
        <v>132747.09496530987</v>
      </c>
      <c r="CH148" s="307">
        <v>132565.68088169565</v>
      </c>
      <c r="CI148" s="307">
        <v>406160.57531394681</v>
      </c>
      <c r="CJ148" s="307">
        <v>44281.333120544426</v>
      </c>
      <c r="CK148" s="307">
        <v>33992.17368526067</v>
      </c>
      <c r="CL148" s="307">
        <v>79763.348454109655</v>
      </c>
      <c r="CM148" s="307">
        <v>146854.92932603747</v>
      </c>
      <c r="CN148" s="307">
        <v>52547.474936707098</v>
      </c>
      <c r="CO148" s="307">
        <v>379526.81377365498</v>
      </c>
      <c r="CP148" s="307">
        <v>707794.80156764295</v>
      </c>
      <c r="CQ148" s="307">
        <v>110251.32752177581</v>
      </c>
      <c r="CR148" s="307">
        <v>144187.03470467502</v>
      </c>
      <c r="CS148" s="307">
        <v>401685.79557239864</v>
      </c>
      <c r="CT148" s="307">
        <v>26665.159662212798</v>
      </c>
      <c r="CU148" s="307">
        <v>8768.025130768634</v>
      </c>
      <c r="CV148" s="307">
        <v>61607.929587318395</v>
      </c>
      <c r="CW148" s="307">
        <v>174815.46189023033</v>
      </c>
      <c r="CX148" s="307">
        <v>562880.12771810137</v>
      </c>
      <c r="CY148" s="307">
        <v>1034264.0496645404</v>
      </c>
      <c r="CZ148" s="307">
        <v>731759.72964663012</v>
      </c>
      <c r="DA148" s="307">
        <v>660905.17656949291</v>
      </c>
      <c r="DB148" s="307">
        <v>5232.8934354532093</v>
      </c>
      <c r="DC148" s="307">
        <v>784295.30328815023</v>
      </c>
      <c r="DD148" s="307">
        <v>80640.864409768838</v>
      </c>
      <c r="DE148" s="307">
        <v>146535.98155909963</v>
      </c>
      <c r="DF148" s="307">
        <v>372605.45068548003</v>
      </c>
      <c r="DG148" s="307">
        <v>882965.70334565581</v>
      </c>
      <c r="DH148" s="307">
        <v>1398265.2090069195</v>
      </c>
      <c r="DI148" s="307">
        <v>61052.790993083603</v>
      </c>
      <c r="DJ148" s="307">
        <v>1552938.5975560301</v>
      </c>
      <c r="DK148" s="307">
        <v>61052.790993083603</v>
      </c>
      <c r="DL148" s="307">
        <v>44084.355958903601</v>
      </c>
      <c r="DM148" s="307">
        <v>60676.037751783355</v>
      </c>
      <c r="DN148" s="307">
        <v>75694.060148755845</v>
      </c>
      <c r="DO148" s="307">
        <v>87806.609504432432</v>
      </c>
      <c r="DP148" s="307">
        <v>103926.56524361648</v>
      </c>
      <c r="DQ148" s="307">
        <v>127594.73173927264</v>
      </c>
      <c r="DR148" s="307">
        <v>170395.87905661855</v>
      </c>
      <c r="DS148" s="307">
        <v>263588.42785549577</v>
      </c>
      <c r="DT148" s="307">
        <v>523800.40085373062</v>
      </c>
      <c r="DU148" s="307">
        <v>164219.79498405516</v>
      </c>
      <c r="DV148" s="307">
        <v>177554.97714361246</v>
      </c>
      <c r="DW148" s="307">
        <v>208567.60925599904</v>
      </c>
      <c r="DX148" s="307">
        <v>274626.99158743274</v>
      </c>
      <c r="DY148" s="307">
        <v>445289.55891629215</v>
      </c>
      <c r="DZ148" s="307">
        <v>1419578.0000000002</v>
      </c>
      <c r="EA148" s="307">
        <v>46078</v>
      </c>
      <c r="EB148" s="307">
        <v>466126.00000000006</v>
      </c>
      <c r="EC148" s="307">
        <v>37470</v>
      </c>
      <c r="ED148" s="307">
        <v>285432</v>
      </c>
      <c r="EE148" s="307">
        <v>-4.5474735088646412E-13</v>
      </c>
      <c r="EF148" s="307">
        <v>2.5011104298755527E-12</v>
      </c>
      <c r="EG148" s="307">
        <v>-9.6633812063373625E-13</v>
      </c>
      <c r="EH148" s="307">
        <v>643305.0076485856</v>
      </c>
      <c r="EI148" s="307">
        <v>31077.435246594669</v>
      </c>
      <c r="EJ148" s="307">
        <v>59877.442895178559</v>
      </c>
      <c r="EK148" s="307">
        <v>1195258.6267731716</v>
      </c>
      <c r="EL148" s="307">
        <v>29282633.482249022</v>
      </c>
    </row>
    <row r="149" spans="1:142" x14ac:dyDescent="0.25">
      <c r="A149" s="305"/>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c r="AE149" s="307"/>
      <c r="AF149" s="307"/>
      <c r="AG149" s="307"/>
      <c r="AH149" s="307"/>
      <c r="AI149" s="307"/>
      <c r="AJ149" s="307"/>
      <c r="AK149" s="307"/>
      <c r="AL149" s="307"/>
      <c r="AM149" s="307"/>
      <c r="AN149" s="307"/>
      <c r="AO149" s="307"/>
      <c r="AP149" s="307"/>
      <c r="AQ149" s="307"/>
      <c r="AR149" s="307"/>
      <c r="AS149" s="307"/>
      <c r="AT149" s="307"/>
      <c r="AU149" s="307"/>
      <c r="AV149" s="307"/>
      <c r="AW149" s="307"/>
      <c r="AX149" s="307"/>
      <c r="AY149" s="307"/>
      <c r="AZ149" s="307"/>
      <c r="BA149" s="307"/>
      <c r="BB149" s="307"/>
      <c r="BC149" s="307"/>
      <c r="BD149" s="307"/>
      <c r="BE149" s="307"/>
      <c r="BF149" s="307"/>
      <c r="BG149" s="307"/>
      <c r="BH149" s="307"/>
      <c r="BI149" s="307"/>
      <c r="BJ149" s="307"/>
      <c r="BK149" s="307"/>
      <c r="BL149" s="307"/>
      <c r="BM149" s="307"/>
      <c r="BN149" s="307"/>
      <c r="BO149" s="307"/>
      <c r="BP149" s="307"/>
      <c r="BQ149" s="307"/>
      <c r="BR149" s="307"/>
      <c r="BS149" s="307"/>
      <c r="BT149" s="307"/>
      <c r="BU149" s="307"/>
      <c r="BV149" s="307"/>
      <c r="BW149" s="307"/>
      <c r="BX149" s="307"/>
      <c r="BY149" s="307"/>
      <c r="BZ149" s="307"/>
      <c r="CA149" s="307"/>
      <c r="CB149" s="307"/>
      <c r="CC149" s="307"/>
      <c r="CD149" s="307"/>
      <c r="CE149" s="307"/>
      <c r="CF149" s="307"/>
      <c r="CG149" s="307"/>
      <c r="CH149" s="307"/>
      <c r="CI149" s="307"/>
      <c r="CJ149" s="307"/>
      <c r="CK149" s="307"/>
      <c r="CL149" s="307"/>
      <c r="CM149" s="307"/>
      <c r="CN149" s="307"/>
      <c r="CO149" s="307"/>
      <c r="CP149" s="307"/>
      <c r="CQ149" s="307"/>
      <c r="CR149" s="307"/>
      <c r="CS149" s="307"/>
      <c r="CT149" s="307"/>
      <c r="CU149" s="307"/>
      <c r="CV149" s="307"/>
      <c r="CW149" s="307"/>
      <c r="CX149" s="307"/>
      <c r="CY149" s="307"/>
      <c r="CZ149" s="307"/>
      <c r="DA149" s="307"/>
      <c r="DB149" s="307"/>
      <c r="DC149" s="307"/>
      <c r="DD149" s="307"/>
      <c r="DE149" s="307"/>
      <c r="DF149" s="307"/>
      <c r="DG149" s="307"/>
      <c r="DH149" s="307"/>
      <c r="DI149" s="307"/>
      <c r="DJ149" s="307"/>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EK149" s="307"/>
      <c r="EL149" s="307"/>
    </row>
    <row r="150" spans="1:142" x14ac:dyDescent="0.25">
      <c r="A150" s="305"/>
    </row>
    <row r="152" spans="1:142" x14ac:dyDescent="0.25">
      <c r="A152" s="306"/>
    </row>
    <row r="155" spans="1:142" x14ac:dyDescent="0.25">
      <c r="A155" s="305" t="s">
        <v>1703</v>
      </c>
      <c r="B155" s="282">
        <f t="shared" ref="B155:B186" si="0">MATCH(A155,$A$8:$A$148,0)</f>
        <v>1</v>
      </c>
    </row>
    <row r="156" spans="1:142" x14ac:dyDescent="0.25">
      <c r="A156" s="305" t="s">
        <v>1702</v>
      </c>
      <c r="B156" s="282">
        <f t="shared" si="0"/>
        <v>2</v>
      </c>
    </row>
    <row r="157" spans="1:142" x14ac:dyDescent="0.25">
      <c r="A157" s="305" t="s">
        <v>1701</v>
      </c>
      <c r="B157" s="282">
        <f t="shared" si="0"/>
        <v>3</v>
      </c>
    </row>
    <row r="158" spans="1:142" x14ac:dyDescent="0.25">
      <c r="A158" s="305" t="s">
        <v>1700</v>
      </c>
      <c r="B158" s="282">
        <f t="shared" si="0"/>
        <v>4</v>
      </c>
    </row>
    <row r="159" spans="1:142" x14ac:dyDescent="0.25">
      <c r="A159" s="305" t="s">
        <v>1699</v>
      </c>
      <c r="B159" s="282">
        <f t="shared" si="0"/>
        <v>5</v>
      </c>
    </row>
    <row r="160" spans="1:142" x14ac:dyDescent="0.25">
      <c r="A160" s="305" t="s">
        <v>1698</v>
      </c>
      <c r="B160" s="282">
        <f t="shared" si="0"/>
        <v>6</v>
      </c>
    </row>
    <row r="161" spans="1:2" x14ac:dyDescent="0.25">
      <c r="A161" s="305" t="s">
        <v>1697</v>
      </c>
      <c r="B161" s="282">
        <f t="shared" si="0"/>
        <v>7</v>
      </c>
    </row>
    <row r="162" spans="1:2" x14ac:dyDescent="0.25">
      <c r="A162" s="305" t="s">
        <v>1696</v>
      </c>
      <c r="B162" s="282">
        <f t="shared" si="0"/>
        <v>8</v>
      </c>
    </row>
    <row r="163" spans="1:2" x14ac:dyDescent="0.25">
      <c r="A163" s="305" t="s">
        <v>1695</v>
      </c>
      <c r="B163" s="282">
        <f t="shared" si="0"/>
        <v>9</v>
      </c>
    </row>
    <row r="164" spans="1:2" x14ac:dyDescent="0.25">
      <c r="A164" s="305" t="s">
        <v>1694</v>
      </c>
      <c r="B164" s="282">
        <f t="shared" si="0"/>
        <v>10</v>
      </c>
    </row>
    <row r="165" spans="1:2" x14ac:dyDescent="0.25">
      <c r="A165" s="305" t="s">
        <v>1693</v>
      </c>
      <c r="B165" s="282">
        <f t="shared" si="0"/>
        <v>11</v>
      </c>
    </row>
    <row r="166" spans="1:2" x14ac:dyDescent="0.25">
      <c r="A166" s="305" t="s">
        <v>1692</v>
      </c>
      <c r="B166" s="282">
        <f t="shared" si="0"/>
        <v>12</v>
      </c>
    </row>
    <row r="167" spans="1:2" x14ac:dyDescent="0.25">
      <c r="A167" s="305" t="s">
        <v>1691</v>
      </c>
      <c r="B167" s="282">
        <f t="shared" si="0"/>
        <v>13</v>
      </c>
    </row>
    <row r="168" spans="1:2" x14ac:dyDescent="0.25">
      <c r="A168" s="305" t="s">
        <v>1690</v>
      </c>
      <c r="B168" s="282">
        <f t="shared" si="0"/>
        <v>14</v>
      </c>
    </row>
    <row r="169" spans="1:2" x14ac:dyDescent="0.25">
      <c r="A169" s="305" t="s">
        <v>1689</v>
      </c>
      <c r="B169" s="282">
        <f t="shared" si="0"/>
        <v>15</v>
      </c>
    </row>
    <row r="170" spans="1:2" x14ac:dyDescent="0.25">
      <c r="A170" s="305" t="s">
        <v>1688</v>
      </c>
      <c r="B170" s="282">
        <f t="shared" si="0"/>
        <v>16</v>
      </c>
    </row>
    <row r="171" spans="1:2" x14ac:dyDescent="0.25">
      <c r="A171" s="305" t="s">
        <v>1687</v>
      </c>
      <c r="B171" s="282">
        <f t="shared" si="0"/>
        <v>17</v>
      </c>
    </row>
    <row r="172" spans="1:2" x14ac:dyDescent="0.25">
      <c r="A172" s="305" t="s">
        <v>1686</v>
      </c>
      <c r="B172" s="282">
        <f t="shared" si="0"/>
        <v>18</v>
      </c>
    </row>
    <row r="173" spans="1:2" x14ac:dyDescent="0.25">
      <c r="A173" s="305" t="s">
        <v>1685</v>
      </c>
      <c r="B173" s="282">
        <f t="shared" si="0"/>
        <v>19</v>
      </c>
    </row>
    <row r="174" spans="1:2" x14ac:dyDescent="0.25">
      <c r="A174" s="305" t="s">
        <v>1684</v>
      </c>
      <c r="B174" s="282">
        <f t="shared" si="0"/>
        <v>20</v>
      </c>
    </row>
    <row r="175" spans="1:2" x14ac:dyDescent="0.25">
      <c r="A175" s="305" t="s">
        <v>1683</v>
      </c>
      <c r="B175" s="282">
        <f t="shared" si="0"/>
        <v>21</v>
      </c>
    </row>
    <row r="176" spans="1:2" x14ac:dyDescent="0.25">
      <c r="A176" s="305" t="s">
        <v>1682</v>
      </c>
      <c r="B176" s="282">
        <f t="shared" si="0"/>
        <v>22</v>
      </c>
    </row>
    <row r="177" spans="1:2" x14ac:dyDescent="0.25">
      <c r="A177" s="305" t="s">
        <v>1681</v>
      </c>
      <c r="B177" s="282">
        <f t="shared" si="0"/>
        <v>23</v>
      </c>
    </row>
    <row r="178" spans="1:2" x14ac:dyDescent="0.25">
      <c r="A178" s="305" t="s">
        <v>1680</v>
      </c>
      <c r="B178" s="282">
        <f t="shared" si="0"/>
        <v>24</v>
      </c>
    </row>
    <row r="179" spans="1:2" x14ac:dyDescent="0.25">
      <c r="A179" s="305" t="s">
        <v>1679</v>
      </c>
      <c r="B179" s="282">
        <f t="shared" si="0"/>
        <v>25</v>
      </c>
    </row>
    <row r="180" spans="1:2" x14ac:dyDescent="0.25">
      <c r="A180" s="305" t="s">
        <v>1678</v>
      </c>
      <c r="B180" s="282">
        <f t="shared" si="0"/>
        <v>26</v>
      </c>
    </row>
    <row r="181" spans="1:2" x14ac:dyDescent="0.25">
      <c r="A181" s="305" t="s">
        <v>1677</v>
      </c>
      <c r="B181" s="282">
        <f t="shared" si="0"/>
        <v>27</v>
      </c>
    </row>
    <row r="182" spans="1:2" x14ac:dyDescent="0.25">
      <c r="A182" s="305" t="s">
        <v>1676</v>
      </c>
      <c r="B182" s="282">
        <f t="shared" si="0"/>
        <v>28</v>
      </c>
    </row>
    <row r="183" spans="1:2" x14ac:dyDescent="0.25">
      <c r="A183" s="305" t="s">
        <v>1675</v>
      </c>
      <c r="B183" s="282">
        <f t="shared" si="0"/>
        <v>29</v>
      </c>
    </row>
    <row r="184" spans="1:2" x14ac:dyDescent="0.25">
      <c r="A184" s="305" t="s">
        <v>1674</v>
      </c>
      <c r="B184" s="282">
        <f t="shared" si="0"/>
        <v>30</v>
      </c>
    </row>
    <row r="185" spans="1:2" x14ac:dyDescent="0.25">
      <c r="A185" s="305" t="s">
        <v>1673</v>
      </c>
      <c r="B185" s="282">
        <f t="shared" si="0"/>
        <v>31</v>
      </c>
    </row>
    <row r="186" spans="1:2" x14ac:dyDescent="0.25">
      <c r="A186" s="305" t="s">
        <v>1672</v>
      </c>
      <c r="B186" s="282">
        <f t="shared" si="0"/>
        <v>32</v>
      </c>
    </row>
    <row r="187" spans="1:2" x14ac:dyDescent="0.25">
      <c r="A187" s="305" t="s">
        <v>1671</v>
      </c>
      <c r="B187" s="282">
        <f t="shared" ref="B187:B218" si="1">MATCH(A187,$A$8:$A$148,0)</f>
        <v>33</v>
      </c>
    </row>
    <row r="188" spans="1:2" x14ac:dyDescent="0.25">
      <c r="A188" s="305" t="s">
        <v>1670</v>
      </c>
      <c r="B188" s="282">
        <f t="shared" si="1"/>
        <v>34</v>
      </c>
    </row>
    <row r="189" spans="1:2" x14ac:dyDescent="0.25">
      <c r="A189" s="305" t="s">
        <v>1669</v>
      </c>
      <c r="B189" s="282">
        <f t="shared" si="1"/>
        <v>35</v>
      </c>
    </row>
    <row r="190" spans="1:2" x14ac:dyDescent="0.25">
      <c r="A190" s="305" t="s">
        <v>1668</v>
      </c>
      <c r="B190" s="282">
        <f t="shared" si="1"/>
        <v>36</v>
      </c>
    </row>
    <row r="191" spans="1:2" x14ac:dyDescent="0.25">
      <c r="A191" s="305" t="s">
        <v>1667</v>
      </c>
      <c r="B191" s="282">
        <f t="shared" si="1"/>
        <v>37</v>
      </c>
    </row>
    <row r="192" spans="1:2" x14ac:dyDescent="0.25">
      <c r="A192" s="305" t="s">
        <v>1666</v>
      </c>
      <c r="B192" s="282">
        <f t="shared" si="1"/>
        <v>38</v>
      </c>
    </row>
    <row r="193" spans="1:2" x14ac:dyDescent="0.25">
      <c r="A193" s="305" t="s">
        <v>1665</v>
      </c>
      <c r="B193" s="282">
        <f t="shared" si="1"/>
        <v>39</v>
      </c>
    </row>
    <row r="194" spans="1:2" x14ac:dyDescent="0.25">
      <c r="A194" s="305" t="s">
        <v>1664</v>
      </c>
      <c r="B194" s="282">
        <f t="shared" si="1"/>
        <v>40</v>
      </c>
    </row>
    <row r="195" spans="1:2" x14ac:dyDescent="0.25">
      <c r="A195" s="305" t="s">
        <v>1663</v>
      </c>
      <c r="B195" s="282">
        <f t="shared" si="1"/>
        <v>41</v>
      </c>
    </row>
    <row r="196" spans="1:2" x14ac:dyDescent="0.25">
      <c r="A196" s="305" t="s">
        <v>1662</v>
      </c>
      <c r="B196" s="282">
        <f t="shared" si="1"/>
        <v>42</v>
      </c>
    </row>
    <row r="197" spans="1:2" x14ac:dyDescent="0.25">
      <c r="A197" s="305" t="s">
        <v>1661</v>
      </c>
      <c r="B197" s="282">
        <f t="shared" si="1"/>
        <v>43</v>
      </c>
    </row>
    <row r="198" spans="1:2" x14ac:dyDescent="0.25">
      <c r="A198" s="305" t="s">
        <v>1660</v>
      </c>
      <c r="B198" s="282">
        <f t="shared" si="1"/>
        <v>44</v>
      </c>
    </row>
    <row r="199" spans="1:2" x14ac:dyDescent="0.25">
      <c r="A199" s="305" t="s">
        <v>1659</v>
      </c>
      <c r="B199" s="282">
        <f t="shared" si="1"/>
        <v>45</v>
      </c>
    </row>
    <row r="200" spans="1:2" x14ac:dyDescent="0.25">
      <c r="A200" s="305" t="s">
        <v>1658</v>
      </c>
      <c r="B200" s="282">
        <f t="shared" si="1"/>
        <v>46</v>
      </c>
    </row>
    <row r="201" spans="1:2" x14ac:dyDescent="0.25">
      <c r="A201" s="305" t="s">
        <v>1657</v>
      </c>
      <c r="B201" s="282">
        <f t="shared" si="1"/>
        <v>47</v>
      </c>
    </row>
    <row r="202" spans="1:2" x14ac:dyDescent="0.25">
      <c r="A202" s="305" t="s">
        <v>1656</v>
      </c>
      <c r="B202" s="282">
        <f t="shared" si="1"/>
        <v>48</v>
      </c>
    </row>
    <row r="203" spans="1:2" x14ac:dyDescent="0.25">
      <c r="A203" s="305" t="s">
        <v>1655</v>
      </c>
      <c r="B203" s="282">
        <f t="shared" si="1"/>
        <v>49</v>
      </c>
    </row>
    <row r="204" spans="1:2" x14ac:dyDescent="0.25">
      <c r="A204" s="305" t="s">
        <v>1654</v>
      </c>
      <c r="B204" s="282">
        <f t="shared" si="1"/>
        <v>50</v>
      </c>
    </row>
    <row r="205" spans="1:2" x14ac:dyDescent="0.25">
      <c r="A205" s="305" t="s">
        <v>1653</v>
      </c>
      <c r="B205" s="282">
        <f t="shared" si="1"/>
        <v>51</v>
      </c>
    </row>
    <row r="206" spans="1:2" x14ac:dyDescent="0.25">
      <c r="A206" s="305" t="s">
        <v>1652</v>
      </c>
      <c r="B206" s="282">
        <f t="shared" si="1"/>
        <v>52</v>
      </c>
    </row>
    <row r="207" spans="1:2" x14ac:dyDescent="0.25">
      <c r="A207" s="305" t="s">
        <v>1651</v>
      </c>
      <c r="B207" s="282">
        <f t="shared" si="1"/>
        <v>53</v>
      </c>
    </row>
    <row r="208" spans="1:2" x14ac:dyDescent="0.25">
      <c r="A208" s="305" t="s">
        <v>1650</v>
      </c>
      <c r="B208" s="282">
        <f t="shared" si="1"/>
        <v>54</v>
      </c>
    </row>
    <row r="209" spans="1:2" x14ac:dyDescent="0.25">
      <c r="A209" s="305" t="s">
        <v>1649</v>
      </c>
      <c r="B209" s="282">
        <f t="shared" si="1"/>
        <v>55</v>
      </c>
    </row>
    <row r="210" spans="1:2" x14ac:dyDescent="0.25">
      <c r="A210" s="305" t="s">
        <v>1648</v>
      </c>
      <c r="B210" s="282">
        <f t="shared" si="1"/>
        <v>56</v>
      </c>
    </row>
    <row r="211" spans="1:2" x14ac:dyDescent="0.25">
      <c r="A211" s="305" t="s">
        <v>1647</v>
      </c>
      <c r="B211" s="282">
        <f t="shared" si="1"/>
        <v>57</v>
      </c>
    </row>
    <row r="212" spans="1:2" x14ac:dyDescent="0.25">
      <c r="A212" s="305" t="s">
        <v>1646</v>
      </c>
      <c r="B212" s="282">
        <f t="shared" si="1"/>
        <v>58</v>
      </c>
    </row>
    <row r="213" spans="1:2" x14ac:dyDescent="0.25">
      <c r="A213" s="305" t="s">
        <v>1645</v>
      </c>
      <c r="B213" s="282">
        <f t="shared" si="1"/>
        <v>59</v>
      </c>
    </row>
    <row r="214" spans="1:2" x14ac:dyDescent="0.25">
      <c r="A214" s="305" t="s">
        <v>1644</v>
      </c>
      <c r="B214" s="282">
        <f t="shared" si="1"/>
        <v>60</v>
      </c>
    </row>
    <row r="215" spans="1:2" x14ac:dyDescent="0.25">
      <c r="A215" s="305" t="s">
        <v>1643</v>
      </c>
      <c r="B215" s="282">
        <f t="shared" si="1"/>
        <v>61</v>
      </c>
    </row>
    <row r="216" spans="1:2" x14ac:dyDescent="0.25">
      <c r="A216" s="305" t="s">
        <v>1642</v>
      </c>
      <c r="B216" s="282">
        <f t="shared" si="1"/>
        <v>62</v>
      </c>
    </row>
    <row r="217" spans="1:2" x14ac:dyDescent="0.25">
      <c r="A217" s="305" t="s">
        <v>1641</v>
      </c>
      <c r="B217" s="282">
        <f t="shared" si="1"/>
        <v>63</v>
      </c>
    </row>
    <row r="218" spans="1:2" x14ac:dyDescent="0.25">
      <c r="A218" s="305" t="s">
        <v>1640</v>
      </c>
      <c r="B218" s="282">
        <f t="shared" si="1"/>
        <v>64</v>
      </c>
    </row>
    <row r="219" spans="1:2" x14ac:dyDescent="0.25">
      <c r="A219" s="305" t="s">
        <v>1639</v>
      </c>
      <c r="B219" s="282">
        <f t="shared" ref="B219:B250" si="2">MATCH(A219,$A$8:$A$148,0)</f>
        <v>65</v>
      </c>
    </row>
    <row r="220" spans="1:2" x14ac:dyDescent="0.25">
      <c r="A220" s="305" t="s">
        <v>1638</v>
      </c>
      <c r="B220" s="282">
        <f t="shared" si="2"/>
        <v>66</v>
      </c>
    </row>
    <row r="221" spans="1:2" x14ac:dyDescent="0.25">
      <c r="A221" s="305" t="s">
        <v>1637</v>
      </c>
      <c r="B221" s="282">
        <f t="shared" si="2"/>
        <v>67</v>
      </c>
    </row>
    <row r="222" spans="1:2" x14ac:dyDescent="0.25">
      <c r="A222" s="305" t="s">
        <v>1636</v>
      </c>
      <c r="B222" s="282">
        <f t="shared" si="2"/>
        <v>68</v>
      </c>
    </row>
    <row r="223" spans="1:2" x14ac:dyDescent="0.25">
      <c r="A223" s="305" t="s">
        <v>1635</v>
      </c>
      <c r="B223" s="282">
        <f t="shared" si="2"/>
        <v>69</v>
      </c>
    </row>
    <row r="224" spans="1:2" x14ac:dyDescent="0.25">
      <c r="A224" s="305" t="s">
        <v>1634</v>
      </c>
      <c r="B224" s="282">
        <f t="shared" si="2"/>
        <v>70</v>
      </c>
    </row>
    <row r="225" spans="1:2" x14ac:dyDescent="0.25">
      <c r="A225" s="305" t="s">
        <v>1633</v>
      </c>
      <c r="B225" s="282">
        <f t="shared" si="2"/>
        <v>71</v>
      </c>
    </row>
    <row r="226" spans="1:2" x14ac:dyDescent="0.25">
      <c r="A226" s="305" t="s">
        <v>1632</v>
      </c>
      <c r="B226" s="282">
        <f t="shared" si="2"/>
        <v>72</v>
      </c>
    </row>
    <row r="227" spans="1:2" x14ac:dyDescent="0.25">
      <c r="A227" s="305" t="s">
        <v>1631</v>
      </c>
      <c r="B227" s="282">
        <f t="shared" si="2"/>
        <v>73</v>
      </c>
    </row>
    <row r="228" spans="1:2" x14ac:dyDescent="0.25">
      <c r="A228" s="305" t="s">
        <v>1630</v>
      </c>
      <c r="B228" s="282">
        <f t="shared" si="2"/>
        <v>74</v>
      </c>
    </row>
    <row r="229" spans="1:2" x14ac:dyDescent="0.25">
      <c r="A229" s="305" t="s">
        <v>1629</v>
      </c>
      <c r="B229" s="282">
        <f t="shared" si="2"/>
        <v>75</v>
      </c>
    </row>
    <row r="230" spans="1:2" x14ac:dyDescent="0.25">
      <c r="A230" s="305" t="s">
        <v>1628</v>
      </c>
      <c r="B230" s="282">
        <f t="shared" si="2"/>
        <v>76</v>
      </c>
    </row>
    <row r="231" spans="1:2" x14ac:dyDescent="0.25">
      <c r="A231" s="305" t="s">
        <v>1627</v>
      </c>
      <c r="B231" s="282">
        <f t="shared" si="2"/>
        <v>77</v>
      </c>
    </row>
    <row r="232" spans="1:2" x14ac:dyDescent="0.25">
      <c r="A232" s="305" t="s">
        <v>1626</v>
      </c>
      <c r="B232" s="282">
        <f t="shared" si="2"/>
        <v>78</v>
      </c>
    </row>
    <row r="233" spans="1:2" x14ac:dyDescent="0.25">
      <c r="A233" s="305" t="s">
        <v>1625</v>
      </c>
      <c r="B233" s="282">
        <f t="shared" si="2"/>
        <v>79</v>
      </c>
    </row>
    <row r="234" spans="1:2" x14ac:dyDescent="0.25">
      <c r="A234" s="305" t="s">
        <v>1624</v>
      </c>
      <c r="B234" s="282">
        <f t="shared" si="2"/>
        <v>80</v>
      </c>
    </row>
    <row r="235" spans="1:2" x14ac:dyDescent="0.25">
      <c r="A235" s="305" t="s">
        <v>1623</v>
      </c>
      <c r="B235" s="282">
        <f t="shared" si="2"/>
        <v>81</v>
      </c>
    </row>
    <row r="236" spans="1:2" x14ac:dyDescent="0.25">
      <c r="A236" s="305" t="s">
        <v>1622</v>
      </c>
      <c r="B236" s="282">
        <f t="shared" si="2"/>
        <v>82</v>
      </c>
    </row>
    <row r="237" spans="1:2" x14ac:dyDescent="0.25">
      <c r="A237" s="305" t="s">
        <v>1621</v>
      </c>
      <c r="B237" s="282">
        <f t="shared" si="2"/>
        <v>83</v>
      </c>
    </row>
    <row r="238" spans="1:2" x14ac:dyDescent="0.25">
      <c r="A238" s="305" t="s">
        <v>1620</v>
      </c>
      <c r="B238" s="282">
        <f t="shared" si="2"/>
        <v>84</v>
      </c>
    </row>
    <row r="239" spans="1:2" x14ac:dyDescent="0.25">
      <c r="A239" s="305" t="s">
        <v>1619</v>
      </c>
      <c r="B239" s="282">
        <f t="shared" si="2"/>
        <v>85</v>
      </c>
    </row>
    <row r="240" spans="1:2" x14ac:dyDescent="0.25">
      <c r="A240" s="305" t="s">
        <v>1618</v>
      </c>
      <c r="B240" s="282">
        <f t="shared" si="2"/>
        <v>86</v>
      </c>
    </row>
    <row r="241" spans="1:2" x14ac:dyDescent="0.25">
      <c r="A241" s="305" t="s">
        <v>1617</v>
      </c>
      <c r="B241" s="282">
        <f t="shared" si="2"/>
        <v>87</v>
      </c>
    </row>
    <row r="242" spans="1:2" x14ac:dyDescent="0.25">
      <c r="A242" s="305" t="s">
        <v>1616</v>
      </c>
      <c r="B242" s="282">
        <f t="shared" si="2"/>
        <v>88</v>
      </c>
    </row>
    <row r="243" spans="1:2" x14ac:dyDescent="0.25">
      <c r="A243" s="305" t="s">
        <v>1615</v>
      </c>
      <c r="B243" s="282">
        <f t="shared" si="2"/>
        <v>89</v>
      </c>
    </row>
    <row r="244" spans="1:2" x14ac:dyDescent="0.25">
      <c r="A244" s="305" t="s">
        <v>1614</v>
      </c>
      <c r="B244" s="282">
        <f t="shared" si="2"/>
        <v>90</v>
      </c>
    </row>
    <row r="245" spans="1:2" x14ac:dyDescent="0.25">
      <c r="A245" s="305" t="s">
        <v>1613</v>
      </c>
      <c r="B245" s="282">
        <f t="shared" si="2"/>
        <v>91</v>
      </c>
    </row>
    <row r="246" spans="1:2" x14ac:dyDescent="0.25">
      <c r="A246" s="305" t="s">
        <v>1612</v>
      </c>
      <c r="B246" s="282">
        <f t="shared" si="2"/>
        <v>92</v>
      </c>
    </row>
    <row r="247" spans="1:2" x14ac:dyDescent="0.25">
      <c r="A247" s="305" t="s">
        <v>1611</v>
      </c>
      <c r="B247" s="282">
        <f t="shared" si="2"/>
        <v>93</v>
      </c>
    </row>
    <row r="248" spans="1:2" x14ac:dyDescent="0.25">
      <c r="A248" s="305" t="s">
        <v>1610</v>
      </c>
      <c r="B248" s="282">
        <f t="shared" si="2"/>
        <v>94</v>
      </c>
    </row>
    <row r="249" spans="1:2" x14ac:dyDescent="0.25">
      <c r="A249" s="305" t="s">
        <v>1609</v>
      </c>
      <c r="B249" s="282">
        <f t="shared" si="2"/>
        <v>95</v>
      </c>
    </row>
    <row r="250" spans="1:2" x14ac:dyDescent="0.25">
      <c r="A250" s="305" t="s">
        <v>1608</v>
      </c>
      <c r="B250" s="282">
        <f t="shared" si="2"/>
        <v>96</v>
      </c>
    </row>
    <row r="251" spans="1:2" x14ac:dyDescent="0.25">
      <c r="A251" s="305" t="s">
        <v>1607</v>
      </c>
      <c r="B251" s="282">
        <f t="shared" ref="B251:B282" si="3">MATCH(A251,$A$8:$A$148,0)</f>
        <v>97</v>
      </c>
    </row>
    <row r="252" spans="1:2" x14ac:dyDescent="0.25">
      <c r="A252" s="305" t="s">
        <v>1606</v>
      </c>
      <c r="B252" s="282">
        <f t="shared" si="3"/>
        <v>98</v>
      </c>
    </row>
    <row r="253" spans="1:2" x14ac:dyDescent="0.25">
      <c r="A253" s="305" t="s">
        <v>1605</v>
      </c>
      <c r="B253" s="282">
        <f t="shared" si="3"/>
        <v>99</v>
      </c>
    </row>
    <row r="254" spans="1:2" x14ac:dyDescent="0.25">
      <c r="A254" s="305" t="s">
        <v>1604</v>
      </c>
      <c r="B254" s="282">
        <f t="shared" si="3"/>
        <v>100</v>
      </c>
    </row>
    <row r="255" spans="1:2" x14ac:dyDescent="0.25">
      <c r="A255" s="305" t="s">
        <v>1603</v>
      </c>
      <c r="B255" s="282">
        <f t="shared" si="3"/>
        <v>101</v>
      </c>
    </row>
    <row r="256" spans="1:2" x14ac:dyDescent="0.25">
      <c r="A256" s="305" t="s">
        <v>1602</v>
      </c>
      <c r="B256" s="282">
        <f t="shared" si="3"/>
        <v>102</v>
      </c>
    </row>
    <row r="257" spans="1:2" x14ac:dyDescent="0.25">
      <c r="A257" s="305" t="s">
        <v>1601</v>
      </c>
      <c r="B257" s="282">
        <f t="shared" si="3"/>
        <v>103</v>
      </c>
    </row>
    <row r="258" spans="1:2" x14ac:dyDescent="0.25">
      <c r="A258" s="305" t="s">
        <v>1600</v>
      </c>
      <c r="B258" s="282">
        <f t="shared" si="3"/>
        <v>104</v>
      </c>
    </row>
    <row r="259" spans="1:2" x14ac:dyDescent="0.25">
      <c r="A259" s="305" t="s">
        <v>1599</v>
      </c>
      <c r="B259" s="282">
        <f t="shared" si="3"/>
        <v>105</v>
      </c>
    </row>
    <row r="260" spans="1:2" x14ac:dyDescent="0.25">
      <c r="A260" s="305" t="s">
        <v>1598</v>
      </c>
      <c r="B260" s="282">
        <f t="shared" si="3"/>
        <v>106</v>
      </c>
    </row>
    <row r="261" spans="1:2" x14ac:dyDescent="0.25">
      <c r="A261" s="305" t="s">
        <v>1504</v>
      </c>
      <c r="B261" s="282">
        <f t="shared" si="3"/>
        <v>107</v>
      </c>
    </row>
    <row r="262" spans="1:2" x14ac:dyDescent="0.25">
      <c r="A262" s="305" t="s">
        <v>1503</v>
      </c>
      <c r="B262" s="282">
        <f t="shared" si="3"/>
        <v>108</v>
      </c>
    </row>
    <row r="263" spans="1:2" x14ac:dyDescent="0.25">
      <c r="A263" s="305" t="s">
        <v>1502</v>
      </c>
      <c r="B263" s="282">
        <f t="shared" si="3"/>
        <v>109</v>
      </c>
    </row>
    <row r="264" spans="1:2" x14ac:dyDescent="0.25">
      <c r="A264" s="305" t="s">
        <v>1501</v>
      </c>
      <c r="B264" s="282">
        <f t="shared" si="3"/>
        <v>110</v>
      </c>
    </row>
    <row r="265" spans="1:2" x14ac:dyDescent="0.25">
      <c r="A265" s="305" t="s">
        <v>1597</v>
      </c>
      <c r="B265" s="282">
        <f t="shared" si="3"/>
        <v>111</v>
      </c>
    </row>
    <row r="266" spans="1:2" x14ac:dyDescent="0.25">
      <c r="A266" s="305" t="s">
        <v>1596</v>
      </c>
      <c r="B266" s="282">
        <f t="shared" si="3"/>
        <v>112</v>
      </c>
    </row>
    <row r="267" spans="1:2" x14ac:dyDescent="0.25">
      <c r="A267" s="305" t="s">
        <v>1595</v>
      </c>
      <c r="B267" s="282">
        <f t="shared" si="3"/>
        <v>113</v>
      </c>
    </row>
    <row r="268" spans="1:2" x14ac:dyDescent="0.25">
      <c r="A268" s="305" t="s">
        <v>1594</v>
      </c>
      <c r="B268" s="282">
        <f t="shared" si="3"/>
        <v>114</v>
      </c>
    </row>
    <row r="269" spans="1:2" x14ac:dyDescent="0.25">
      <c r="A269" s="305" t="s">
        <v>1593</v>
      </c>
      <c r="B269" s="282">
        <f t="shared" si="3"/>
        <v>115</v>
      </c>
    </row>
    <row r="270" spans="1:2" x14ac:dyDescent="0.25">
      <c r="A270" s="305" t="s">
        <v>1592</v>
      </c>
      <c r="B270" s="282">
        <f t="shared" si="3"/>
        <v>116</v>
      </c>
    </row>
    <row r="271" spans="1:2" x14ac:dyDescent="0.25">
      <c r="A271" s="305" t="s">
        <v>1591</v>
      </c>
      <c r="B271" s="282">
        <f t="shared" si="3"/>
        <v>117</v>
      </c>
    </row>
    <row r="272" spans="1:2" x14ac:dyDescent="0.25">
      <c r="A272" s="305" t="s">
        <v>1590</v>
      </c>
      <c r="B272" s="282">
        <f t="shared" si="3"/>
        <v>118</v>
      </c>
    </row>
    <row r="273" spans="1:2" x14ac:dyDescent="0.25">
      <c r="A273" s="305" t="s">
        <v>1589</v>
      </c>
      <c r="B273" s="282">
        <f t="shared" si="3"/>
        <v>119</v>
      </c>
    </row>
    <row r="274" spans="1:2" x14ac:dyDescent="0.25">
      <c r="A274" s="305" t="s">
        <v>1588</v>
      </c>
      <c r="B274" s="282">
        <f t="shared" si="3"/>
        <v>120</v>
      </c>
    </row>
    <row r="275" spans="1:2" x14ac:dyDescent="0.25">
      <c r="A275" s="305" t="s">
        <v>1587</v>
      </c>
      <c r="B275" s="282">
        <f t="shared" si="3"/>
        <v>121</v>
      </c>
    </row>
    <row r="276" spans="1:2" x14ac:dyDescent="0.25">
      <c r="A276" s="305" t="s">
        <v>1586</v>
      </c>
      <c r="B276" s="282">
        <f t="shared" si="3"/>
        <v>122</v>
      </c>
    </row>
    <row r="277" spans="1:2" x14ac:dyDescent="0.25">
      <c r="A277" s="305" t="s">
        <v>1585</v>
      </c>
      <c r="B277" s="282">
        <f t="shared" si="3"/>
        <v>123</v>
      </c>
    </row>
    <row r="278" spans="1:2" x14ac:dyDescent="0.25">
      <c r="A278" s="305" t="s">
        <v>1584</v>
      </c>
      <c r="B278" s="282">
        <f t="shared" si="3"/>
        <v>124</v>
      </c>
    </row>
    <row r="279" spans="1:2" x14ac:dyDescent="0.25">
      <c r="A279" s="305" t="s">
        <v>1583</v>
      </c>
      <c r="B279" s="282">
        <f t="shared" si="3"/>
        <v>125</v>
      </c>
    </row>
    <row r="280" spans="1:2" x14ac:dyDescent="0.25">
      <c r="A280" s="305" t="s">
        <v>1582</v>
      </c>
      <c r="B280" s="282">
        <f t="shared" si="3"/>
        <v>126</v>
      </c>
    </row>
    <row r="281" spans="1:2" x14ac:dyDescent="0.25">
      <c r="A281" s="305" t="s">
        <v>1581</v>
      </c>
      <c r="B281" s="282">
        <f t="shared" si="3"/>
        <v>127</v>
      </c>
    </row>
    <row r="282" spans="1:2" x14ac:dyDescent="0.25">
      <c r="A282" s="305" t="s">
        <v>1580</v>
      </c>
      <c r="B282" s="282">
        <f t="shared" si="3"/>
        <v>128</v>
      </c>
    </row>
    <row r="283" spans="1:2" x14ac:dyDescent="0.25">
      <c r="A283" s="305" t="s">
        <v>1579</v>
      </c>
      <c r="B283" s="282">
        <f t="shared" ref="B283:B295" si="4">MATCH(A283,$A$8:$A$148,0)</f>
        <v>129</v>
      </c>
    </row>
    <row r="284" spans="1:2" x14ac:dyDescent="0.25">
      <c r="A284" s="305" t="s">
        <v>1578</v>
      </c>
      <c r="B284" s="282">
        <f t="shared" si="4"/>
        <v>130</v>
      </c>
    </row>
    <row r="285" spans="1:2" x14ac:dyDescent="0.25">
      <c r="A285" s="305" t="s">
        <v>1577</v>
      </c>
      <c r="B285" s="282">
        <f t="shared" si="4"/>
        <v>131</v>
      </c>
    </row>
    <row r="286" spans="1:2" x14ac:dyDescent="0.25">
      <c r="A286" s="305" t="s">
        <v>1576</v>
      </c>
      <c r="B286" s="282">
        <f t="shared" si="4"/>
        <v>132</v>
      </c>
    </row>
    <row r="287" spans="1:2" x14ac:dyDescent="0.25">
      <c r="A287" s="305" t="s">
        <v>1575</v>
      </c>
      <c r="B287" s="282">
        <f t="shared" si="4"/>
        <v>133</v>
      </c>
    </row>
    <row r="288" spans="1:2" x14ac:dyDescent="0.25">
      <c r="A288" s="305" t="s">
        <v>1574</v>
      </c>
      <c r="B288" s="282">
        <f t="shared" si="4"/>
        <v>134</v>
      </c>
    </row>
    <row r="289" spans="1:2" x14ac:dyDescent="0.25">
      <c r="A289" s="305" t="s">
        <v>1573</v>
      </c>
      <c r="B289" s="282">
        <f t="shared" si="4"/>
        <v>135</v>
      </c>
    </row>
    <row r="290" spans="1:2" x14ac:dyDescent="0.25">
      <c r="A290" s="305" t="s">
        <v>1572</v>
      </c>
      <c r="B290" s="282">
        <f t="shared" si="4"/>
        <v>136</v>
      </c>
    </row>
    <row r="291" spans="1:2" x14ac:dyDescent="0.25">
      <c r="A291" s="305" t="s">
        <v>1571</v>
      </c>
      <c r="B291" s="282">
        <f t="shared" si="4"/>
        <v>137</v>
      </c>
    </row>
    <row r="292" spans="1:2" x14ac:dyDescent="0.25">
      <c r="A292" s="305" t="s">
        <v>1570</v>
      </c>
      <c r="B292" s="282">
        <f t="shared" si="4"/>
        <v>138</v>
      </c>
    </row>
    <row r="293" spans="1:2" x14ac:dyDescent="0.25">
      <c r="A293" s="305" t="s">
        <v>1569</v>
      </c>
      <c r="B293" s="282">
        <f t="shared" si="4"/>
        <v>139</v>
      </c>
    </row>
    <row r="294" spans="1:2" x14ac:dyDescent="0.25">
      <c r="A294" s="305" t="s">
        <v>1568</v>
      </c>
      <c r="B294" s="282">
        <f t="shared" si="4"/>
        <v>140</v>
      </c>
    </row>
    <row r="295" spans="1:2" x14ac:dyDescent="0.25">
      <c r="A295" s="305" t="s">
        <v>1567</v>
      </c>
      <c r="B295" s="282">
        <f t="shared" si="4"/>
        <v>141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 workbookViewId="1"/>
  </sheetViews>
  <sheetFormatPr defaultRowHeight="15" x14ac:dyDescent="0.25"/>
  <cols>
    <col min="1" max="16384" width="9.140625" style="282"/>
  </cols>
  <sheetData>
    <row r="4" spans="3:29" x14ac:dyDescent="0.25">
      <c r="C4" s="315" t="s">
        <v>1731</v>
      </c>
      <c r="R4" s="315" t="s">
        <v>1730</v>
      </c>
    </row>
    <row r="5" spans="3:29" x14ac:dyDescent="0.25">
      <c r="D5" s="305" t="s">
        <v>1729</v>
      </c>
      <c r="E5" s="305" t="s">
        <v>1728</v>
      </c>
      <c r="F5" s="305" t="s">
        <v>1724</v>
      </c>
      <c r="G5" s="305" t="s">
        <v>1723</v>
      </c>
      <c r="H5" s="305" t="s">
        <v>1721</v>
      </c>
      <c r="I5" s="305" t="s">
        <v>1720</v>
      </c>
      <c r="J5" s="305" t="s">
        <v>1719</v>
      </c>
      <c r="K5" s="305" t="s">
        <v>1717</v>
      </c>
      <c r="L5" s="305" t="s">
        <v>1716</v>
      </c>
      <c r="M5" s="305" t="s">
        <v>1715</v>
      </c>
      <c r="S5" s="313" t="str">
        <f t="shared" ref="S5:AB5" si="0">D5</f>
        <v>aelec-cds</v>
      </c>
      <c r="T5" s="313" t="str">
        <f t="shared" si="0"/>
        <v>aelec-clw</v>
      </c>
      <c r="U5" s="313" t="str">
        <f t="shared" si="0"/>
        <v>aelec-nuc</v>
      </c>
      <c r="V5" s="313" t="str">
        <f t="shared" si="0"/>
        <v>aelec-hyd</v>
      </c>
      <c r="W5" s="313" t="str">
        <f t="shared" si="0"/>
        <v>aelec-spv</v>
      </c>
      <c r="X5" s="313" t="str">
        <f t="shared" si="0"/>
        <v>aelec-sth</v>
      </c>
      <c r="Y5" s="313" t="str">
        <f t="shared" si="0"/>
        <v>aelec-wnd</v>
      </c>
      <c r="Z5" s="313" t="str">
        <f t="shared" si="0"/>
        <v>aelec-was</v>
      </c>
      <c r="AA5" s="313" t="str">
        <f t="shared" si="0"/>
        <v>aelec-gas</v>
      </c>
      <c r="AB5" s="313" t="str">
        <f t="shared" si="0"/>
        <v>aelec-die</v>
      </c>
      <c r="AC5" s="313"/>
    </row>
    <row r="6" spans="3:29" x14ac:dyDescent="0.25">
      <c r="C6" s="305" t="s">
        <v>1504</v>
      </c>
      <c r="D6" s="321">
        <v>5.5359136974080028E-3</v>
      </c>
      <c r="E6" s="321">
        <v>635.43715472874203</v>
      </c>
      <c r="F6" s="321">
        <v>55.737684886956472</v>
      </c>
      <c r="G6" s="321">
        <v>15.558477645602791</v>
      </c>
      <c r="H6" s="321">
        <v>1.2638151456797704</v>
      </c>
      <c r="I6" s="321">
        <v>1.895722718519655</v>
      </c>
      <c r="J6" s="321">
        <v>0.19140148178998009</v>
      </c>
      <c r="K6" s="321">
        <v>0.4472884347779556</v>
      </c>
      <c r="L6" s="321">
        <v>2.2959613772860512E-4</v>
      </c>
      <c r="M6" s="321">
        <v>3.9462523706314645E-2</v>
      </c>
      <c r="N6" s="318">
        <f>SUM(D6:M6)</f>
        <v>710.57677307561016</v>
      </c>
      <c r="O6" s="320">
        <f>N6/N$10</f>
        <v>5.4339540384218087E-2</v>
      </c>
      <c r="R6" s="313" t="s">
        <v>1504</v>
      </c>
      <c r="S6" s="313">
        <f t="shared" ref="S6:AB9" si="1">D6/D$10</f>
        <v>5.3915698604368005E-2</v>
      </c>
      <c r="T6" s="313">
        <f t="shared" si="1"/>
        <v>5.3915698604367998E-2</v>
      </c>
      <c r="U6" s="313">
        <f t="shared" si="1"/>
        <v>7.2357539706410276E-2</v>
      </c>
      <c r="V6" s="313">
        <f t="shared" si="1"/>
        <v>3.4953557996307484E-2</v>
      </c>
      <c r="W6" s="313">
        <f t="shared" si="1"/>
        <v>5.1015312965539898E-2</v>
      </c>
      <c r="X6" s="313">
        <f t="shared" si="1"/>
        <v>5.1015312965539898E-2</v>
      </c>
      <c r="Y6" s="313">
        <f t="shared" si="1"/>
        <v>5.1015312965539905E-2</v>
      </c>
      <c r="Z6" s="313">
        <f t="shared" si="1"/>
        <v>5.1446971799438732E-2</v>
      </c>
      <c r="AA6" s="313">
        <f t="shared" si="1"/>
        <v>4.2105469099502892E-2</v>
      </c>
      <c r="AB6" s="313">
        <f t="shared" si="1"/>
        <v>4.2105469099502885E-2</v>
      </c>
      <c r="AC6" s="313"/>
    </row>
    <row r="7" spans="3:29" x14ac:dyDescent="0.25">
      <c r="C7" s="305" t="s">
        <v>1503</v>
      </c>
      <c r="D7" s="321">
        <v>1.4075299877593685E-2</v>
      </c>
      <c r="E7" s="321">
        <v>1615.6264340536309</v>
      </c>
      <c r="F7" s="321">
        <v>74.466442009088539</v>
      </c>
      <c r="G7" s="321">
        <v>52.01738821347557</v>
      </c>
      <c r="H7" s="321">
        <v>2.2502564995501264</v>
      </c>
      <c r="I7" s="321">
        <v>3.3753847493251894</v>
      </c>
      <c r="J7" s="321">
        <v>0.34079543190611572</v>
      </c>
      <c r="K7" s="321">
        <v>0.83080022656110253</v>
      </c>
      <c r="L7" s="321">
        <v>4.5136028857992275E-4</v>
      </c>
      <c r="M7" s="321">
        <v>7.7578901214918256E-2</v>
      </c>
      <c r="N7" s="318">
        <f>SUM(D7:M7)</f>
        <v>1748.9996067449185</v>
      </c>
      <c r="O7" s="320">
        <f>N7/N$10</f>
        <v>0.13375026930775313</v>
      </c>
      <c r="R7" s="313" t="s">
        <v>1503</v>
      </c>
      <c r="S7" s="313">
        <f t="shared" si="1"/>
        <v>0.13708299432517485</v>
      </c>
      <c r="T7" s="313">
        <f t="shared" si="1"/>
        <v>0.13708299432517485</v>
      </c>
      <c r="U7" s="313">
        <f t="shared" si="1"/>
        <v>9.6670834918883591E-2</v>
      </c>
      <c r="V7" s="313">
        <f t="shared" si="1"/>
        <v>0.11686187023895785</v>
      </c>
      <c r="W7" s="313">
        <f t="shared" si="1"/>
        <v>9.0834122355404792E-2</v>
      </c>
      <c r="X7" s="313">
        <f t="shared" si="1"/>
        <v>9.0834122355404806E-2</v>
      </c>
      <c r="Y7" s="313">
        <f t="shared" si="1"/>
        <v>9.0834122355404806E-2</v>
      </c>
      <c r="Z7" s="313">
        <f t="shared" si="1"/>
        <v>9.5558374649401673E-2</v>
      </c>
      <c r="AA7" s="313">
        <f t="shared" si="1"/>
        <v>8.2774635808592123E-2</v>
      </c>
      <c r="AB7" s="313">
        <f t="shared" si="1"/>
        <v>8.2774635808592109E-2</v>
      </c>
      <c r="AC7" s="313"/>
    </row>
    <row r="8" spans="3:29" x14ac:dyDescent="0.25">
      <c r="C8" s="305" t="s">
        <v>1502</v>
      </c>
      <c r="D8" s="321">
        <v>2.8465107778561496E-2</v>
      </c>
      <c r="E8" s="321">
        <v>3267.3535182322425</v>
      </c>
      <c r="F8" s="321">
        <v>163.07889768279941</v>
      </c>
      <c r="G8" s="321">
        <v>146.91144616507484</v>
      </c>
      <c r="H8" s="321">
        <v>5.6729007024829494</v>
      </c>
      <c r="I8" s="321">
        <v>8.5093510537244228</v>
      </c>
      <c r="J8" s="321">
        <v>0.85914589978950884</v>
      </c>
      <c r="K8" s="321">
        <v>2.1117680117216984</v>
      </c>
      <c r="L8" s="321">
        <v>1.2713935041133194E-3</v>
      </c>
      <c r="M8" s="321">
        <v>0.21852456575481582</v>
      </c>
      <c r="N8" s="318">
        <f>SUM(D8:M8)</f>
        <v>3594.7452888148728</v>
      </c>
      <c r="O8" s="320">
        <f>N8/N$10</f>
        <v>0.27489894715676039</v>
      </c>
      <c r="R8" s="313" t="s">
        <v>1502</v>
      </c>
      <c r="S8" s="313">
        <f t="shared" si="1"/>
        <v>0.27722906382163254</v>
      </c>
      <c r="T8" s="313">
        <f t="shared" si="1"/>
        <v>0.27722906382163248</v>
      </c>
      <c r="U8" s="313">
        <f t="shared" si="1"/>
        <v>0.21170573981127383</v>
      </c>
      <c r="V8" s="313">
        <f t="shared" si="1"/>
        <v>0.33005014184685655</v>
      </c>
      <c r="W8" s="313">
        <f t="shared" si="1"/>
        <v>0.22899298663170883</v>
      </c>
      <c r="X8" s="313">
        <f t="shared" si="1"/>
        <v>0.22899298663170883</v>
      </c>
      <c r="Y8" s="313">
        <f t="shared" si="1"/>
        <v>0.22899298663170886</v>
      </c>
      <c r="Z8" s="313">
        <f t="shared" si="1"/>
        <v>0.24289487699349183</v>
      </c>
      <c r="AA8" s="313">
        <f t="shared" si="1"/>
        <v>0.23315993217634387</v>
      </c>
      <c r="AB8" s="313">
        <f t="shared" si="1"/>
        <v>0.23315993217634384</v>
      </c>
      <c r="AC8" s="313"/>
    </row>
    <row r="9" spans="3:29" x14ac:dyDescent="0.25">
      <c r="C9" s="305" t="s">
        <v>1501</v>
      </c>
      <c r="D9" s="321">
        <v>5.4600892161379734E-2</v>
      </c>
      <c r="E9" s="321">
        <v>6267.336786142987</v>
      </c>
      <c r="F9" s="321">
        <v>477.02626334210146</v>
      </c>
      <c r="G9" s="321">
        <v>230.63125493965632</v>
      </c>
      <c r="H9" s="321">
        <v>15.586278509994507</v>
      </c>
      <c r="I9" s="321">
        <v>23.379417764991757</v>
      </c>
      <c r="J9" s="321">
        <v>2.3605009107559578</v>
      </c>
      <c r="K9" s="321">
        <v>5.3043078060784286</v>
      </c>
      <c r="L9" s="321">
        <v>3.5005316699713851E-3</v>
      </c>
      <c r="M9" s="321">
        <v>0.60166436324917461</v>
      </c>
      <c r="N9" s="318">
        <f>SUM(D9:M9)</f>
        <v>7022.2845752036455</v>
      </c>
      <c r="O9" s="320">
        <f>N9/N$10</f>
        <v>0.53701124315126847</v>
      </c>
      <c r="R9" s="313" t="s">
        <v>1501</v>
      </c>
      <c r="S9" s="313">
        <f t="shared" si="1"/>
        <v>0.53177224324882466</v>
      </c>
      <c r="T9" s="313">
        <f t="shared" si="1"/>
        <v>0.53177224324882466</v>
      </c>
      <c r="U9" s="313">
        <f t="shared" si="1"/>
        <v>0.61926588556343221</v>
      </c>
      <c r="V9" s="313">
        <f t="shared" si="1"/>
        <v>0.51813442991787817</v>
      </c>
      <c r="W9" s="313">
        <f t="shared" si="1"/>
        <v>0.62915757804734651</v>
      </c>
      <c r="X9" s="313">
        <f t="shared" si="1"/>
        <v>0.62915757804734651</v>
      </c>
      <c r="Y9" s="313">
        <f t="shared" si="1"/>
        <v>0.62915757804734651</v>
      </c>
      <c r="Z9" s="313">
        <f t="shared" si="1"/>
        <v>0.61009977655766767</v>
      </c>
      <c r="AA9" s="313">
        <f t="shared" si="1"/>
        <v>0.64195996291556112</v>
      </c>
      <c r="AB9" s="313">
        <f t="shared" si="1"/>
        <v>0.64195996291556112</v>
      </c>
      <c r="AC9" s="313"/>
    </row>
    <row r="10" spans="3:29" x14ac:dyDescent="0.25">
      <c r="D10" s="319">
        <f t="shared" ref="D10:M10" si="2">SUM(D6:D9)</f>
        <v>0.10267721351494291</v>
      </c>
      <c r="E10" s="319">
        <f t="shared" si="2"/>
        <v>11785.753893157602</v>
      </c>
      <c r="F10" s="319">
        <f t="shared" si="2"/>
        <v>770.30928792094596</v>
      </c>
      <c r="G10" s="319">
        <f t="shared" si="2"/>
        <v>445.11856696380949</v>
      </c>
      <c r="H10" s="319">
        <f t="shared" si="2"/>
        <v>24.773250857707353</v>
      </c>
      <c r="I10" s="319">
        <f t="shared" si="2"/>
        <v>37.159876286561023</v>
      </c>
      <c r="J10" s="319">
        <f t="shared" si="2"/>
        <v>3.7518437242415623</v>
      </c>
      <c r="K10" s="319">
        <f t="shared" si="2"/>
        <v>8.6941644791391859</v>
      </c>
      <c r="L10" s="319">
        <f t="shared" si="2"/>
        <v>5.4528816003932322E-3</v>
      </c>
      <c r="M10" s="319">
        <f t="shared" si="2"/>
        <v>0.93723035392522336</v>
      </c>
      <c r="N10" s="319">
        <f>SUM(D10:M10)</f>
        <v>13076.606243839045</v>
      </c>
      <c r="O10" s="318"/>
      <c r="S10" s="312">
        <f t="shared" ref="S10:AB10" si="3">SUM(S6:S9)</f>
        <v>1</v>
      </c>
      <c r="T10" s="312">
        <f t="shared" si="3"/>
        <v>1</v>
      </c>
      <c r="U10" s="312">
        <f t="shared" si="3"/>
        <v>0.99999999999999989</v>
      </c>
      <c r="V10" s="312">
        <f t="shared" si="3"/>
        <v>1</v>
      </c>
      <c r="W10" s="312">
        <f t="shared" si="3"/>
        <v>1</v>
      </c>
      <c r="X10" s="312">
        <f t="shared" si="3"/>
        <v>1</v>
      </c>
      <c r="Y10" s="312">
        <f t="shared" si="3"/>
        <v>1</v>
      </c>
      <c r="Z10" s="312">
        <f t="shared" si="3"/>
        <v>0.99999999999999989</v>
      </c>
      <c r="AA10" s="312">
        <f t="shared" si="3"/>
        <v>1</v>
      </c>
      <c r="AB10" s="312">
        <f t="shared" si="3"/>
        <v>1</v>
      </c>
      <c r="AC10" s="312"/>
    </row>
    <row r="11" spans="3:29" x14ac:dyDescent="0.25">
      <c r="D11" s="317">
        <f t="shared" ref="D11:M11" si="4">D10/$N10</f>
        <v>7.8519771567885657E-6</v>
      </c>
      <c r="E11" s="317">
        <f t="shared" si="4"/>
        <v>0.90128536971971451</v>
      </c>
      <c r="F11" s="317">
        <f t="shared" si="4"/>
        <v>5.89074316039662E-2</v>
      </c>
      <c r="G11" s="317">
        <f t="shared" si="4"/>
        <v>3.4039303368450367E-2</v>
      </c>
      <c r="H11" s="317">
        <f t="shared" si="4"/>
        <v>1.8944709656130469E-3</v>
      </c>
      <c r="I11" s="317">
        <f t="shared" si="4"/>
        <v>2.8417064484195695E-3</v>
      </c>
      <c r="J11" s="317">
        <f t="shared" si="4"/>
        <v>2.8691264799758106E-4</v>
      </c>
      <c r="K11" s="317">
        <f t="shared" si="4"/>
        <v>6.6486398053282228E-4</v>
      </c>
      <c r="L11" s="317">
        <f t="shared" si="4"/>
        <v>4.1699516669031161E-7</v>
      </c>
      <c r="M11" s="317">
        <f t="shared" si="4"/>
        <v>7.1672292982500187E-5</v>
      </c>
      <c r="N11" s="316"/>
    </row>
    <row r="13" spans="3:29" x14ac:dyDescent="0.25">
      <c r="C13" s="315" t="s">
        <v>1727</v>
      </c>
      <c r="R13" s="315" t="s">
        <v>1726</v>
      </c>
    </row>
    <row r="14" spans="3:29" x14ac:dyDescent="0.25">
      <c r="D14" s="313" t="s">
        <v>1725</v>
      </c>
      <c r="E14" s="313" t="s">
        <v>1724</v>
      </c>
      <c r="F14" s="313" t="s">
        <v>1723</v>
      </c>
      <c r="G14" s="313" t="s">
        <v>1722</v>
      </c>
      <c r="H14" s="314" t="s">
        <v>1721</v>
      </c>
      <c r="I14" s="314" t="s">
        <v>1720</v>
      </c>
      <c r="J14" s="313" t="s">
        <v>1719</v>
      </c>
      <c r="K14" s="313" t="s">
        <v>1718</v>
      </c>
      <c r="L14" s="313" t="s">
        <v>1717</v>
      </c>
      <c r="M14" s="313" t="s">
        <v>1716</v>
      </c>
      <c r="N14" s="313" t="s">
        <v>1715</v>
      </c>
      <c r="Q14" s="315"/>
      <c r="S14" s="313" t="s">
        <v>1725</v>
      </c>
      <c r="T14" s="313" t="s">
        <v>1724</v>
      </c>
      <c r="U14" s="313" t="s">
        <v>1723</v>
      </c>
      <c r="V14" s="313" t="s">
        <v>1722</v>
      </c>
      <c r="W14" s="314" t="s">
        <v>1721</v>
      </c>
      <c r="X14" s="314" t="s">
        <v>1720</v>
      </c>
      <c r="Y14" s="313" t="s">
        <v>1719</v>
      </c>
      <c r="Z14" s="313" t="s">
        <v>1718</v>
      </c>
      <c r="AA14" s="313" t="s">
        <v>1717</v>
      </c>
      <c r="AB14" s="313" t="s">
        <v>1716</v>
      </c>
      <c r="AC14" s="313" t="s">
        <v>1715</v>
      </c>
    </row>
    <row r="15" spans="3:29" x14ac:dyDescent="0.25">
      <c r="C15" s="313" t="s">
        <v>1504</v>
      </c>
      <c r="D15" s="313">
        <v>2.0988946467896567E-2</v>
      </c>
      <c r="E15" s="313">
        <v>3.7342682084227585E-2</v>
      </c>
      <c r="F15" s="313">
        <v>2.01836040539209E-2</v>
      </c>
      <c r="G15" s="313">
        <v>4.502978043009815E-2</v>
      </c>
      <c r="H15" s="314">
        <f t="shared" ref="H15:I18" si="5">$M15</f>
        <v>3.4816288385118299E-3</v>
      </c>
      <c r="I15" s="314">
        <f t="shared" si="5"/>
        <v>3.4816288385118299E-3</v>
      </c>
      <c r="J15" s="313">
        <v>4.502978043009815E-2</v>
      </c>
      <c r="K15" s="313">
        <v>4.502978043009815E-2</v>
      </c>
      <c r="L15" s="313">
        <v>1.6625926023373462E-2</v>
      </c>
      <c r="M15" s="313">
        <v>3.4816288385118299E-3</v>
      </c>
      <c r="N15" s="313">
        <v>3.4816288385118299E-3</v>
      </c>
      <c r="O15" s="312">
        <f>SUM(D15:N15)</f>
        <v>0.24415701527376027</v>
      </c>
      <c r="R15" s="313" t="s">
        <v>1504</v>
      </c>
      <c r="S15" s="313">
        <f t="shared" ref="S15:AC18" si="6">D15/D$19</f>
        <v>0.11233466409606033</v>
      </c>
      <c r="T15" s="313">
        <f t="shared" si="6"/>
        <v>0.15626248332023143</v>
      </c>
      <c r="U15" s="313">
        <f t="shared" si="6"/>
        <v>7.5896135778918419E-2</v>
      </c>
      <c r="V15" s="313">
        <f t="shared" si="6"/>
        <v>0.1140843831327949</v>
      </c>
      <c r="W15" s="313">
        <f t="shared" si="6"/>
        <v>9.6342431000296311E-2</v>
      </c>
      <c r="X15" s="313">
        <f t="shared" si="6"/>
        <v>9.6342431000296311E-2</v>
      </c>
      <c r="Y15" s="313">
        <f t="shared" si="6"/>
        <v>0.1140843831327949</v>
      </c>
      <c r="Z15" s="313">
        <f t="shared" si="6"/>
        <v>0.1140843831327949</v>
      </c>
      <c r="AA15" s="313">
        <f t="shared" si="6"/>
        <v>0.11396968150544153</v>
      </c>
      <c r="AB15" s="313">
        <f t="shared" si="6"/>
        <v>9.6342431000296311E-2</v>
      </c>
      <c r="AC15" s="313">
        <f t="shared" si="6"/>
        <v>9.6342431000296311E-2</v>
      </c>
    </row>
    <row r="16" spans="3:29" x14ac:dyDescent="0.25">
      <c r="C16" s="313" t="s">
        <v>1503</v>
      </c>
      <c r="D16" s="313">
        <v>4.8860588706519568E-2</v>
      </c>
      <c r="E16" s="313">
        <v>4.5679032344061413E-2</v>
      </c>
      <c r="F16" s="313">
        <v>6.178454751168351E-2</v>
      </c>
      <c r="G16" s="313">
        <v>7.3408780345723471E-2</v>
      </c>
      <c r="H16" s="314">
        <f t="shared" si="5"/>
        <v>6.2667295071805965E-3</v>
      </c>
      <c r="I16" s="314">
        <f t="shared" si="5"/>
        <v>6.2667295071805965E-3</v>
      </c>
      <c r="J16" s="313">
        <v>7.3408780345723471E-2</v>
      </c>
      <c r="K16" s="313">
        <v>7.3408780345723471E-2</v>
      </c>
      <c r="L16" s="313">
        <v>2.8274471187730181E-2</v>
      </c>
      <c r="M16" s="313">
        <v>6.2667295071805965E-3</v>
      </c>
      <c r="N16" s="313">
        <v>6.2667295071805965E-3</v>
      </c>
      <c r="O16" s="312">
        <f>SUM(D16:N16)</f>
        <v>0.42989189881588746</v>
      </c>
      <c r="R16" s="313" t="s">
        <v>1503</v>
      </c>
      <c r="S16" s="313">
        <f t="shared" si="6"/>
        <v>0.26150611362403914</v>
      </c>
      <c r="T16" s="313">
        <f t="shared" si="6"/>
        <v>0.1911463941890518</v>
      </c>
      <c r="U16" s="313">
        <f t="shared" si="6"/>
        <v>0.23232760583582865</v>
      </c>
      <c r="V16" s="313">
        <f t="shared" si="6"/>
        <v>0.18598348342544752</v>
      </c>
      <c r="W16" s="313">
        <f t="shared" si="6"/>
        <v>0.17341077499838617</v>
      </c>
      <c r="X16" s="313">
        <f t="shared" si="6"/>
        <v>0.17341077499838617</v>
      </c>
      <c r="Y16" s="313">
        <f t="shared" si="6"/>
        <v>0.18598348342544752</v>
      </c>
      <c r="Z16" s="313">
        <f t="shared" si="6"/>
        <v>0.18598348342544752</v>
      </c>
      <c r="AA16" s="313">
        <f t="shared" si="6"/>
        <v>0.19381972898653307</v>
      </c>
      <c r="AB16" s="313">
        <f t="shared" si="6"/>
        <v>0.17341077499838617</v>
      </c>
      <c r="AC16" s="313">
        <f t="shared" si="6"/>
        <v>0.17341077499838617</v>
      </c>
    </row>
    <row r="17" spans="3:29" x14ac:dyDescent="0.25">
      <c r="C17" s="313" t="s">
        <v>1502</v>
      </c>
      <c r="D17" s="313">
        <v>4.6410555151122454E-2</v>
      </c>
      <c r="E17" s="313">
        <v>4.6984753264650264E-2</v>
      </c>
      <c r="F17" s="313">
        <v>8.1957717247555767E-2</v>
      </c>
      <c r="G17" s="313">
        <v>8.6920868566911197E-2</v>
      </c>
      <c r="H17" s="314">
        <f t="shared" si="5"/>
        <v>8.2908772076434809E-3</v>
      </c>
      <c r="I17" s="314">
        <f t="shared" si="5"/>
        <v>8.2908772076434809E-3</v>
      </c>
      <c r="J17" s="313">
        <v>8.6920868566911197E-2</v>
      </c>
      <c r="K17" s="313">
        <v>8.6920868566911197E-2</v>
      </c>
      <c r="L17" s="313">
        <v>3.3755689528048284E-2</v>
      </c>
      <c r="M17" s="313">
        <v>8.2908772076434809E-3</v>
      </c>
      <c r="N17" s="313">
        <v>8.2908772076434809E-3</v>
      </c>
      <c r="O17" s="312">
        <f>SUM(D17:N17)</f>
        <v>0.50303482972268432</v>
      </c>
      <c r="R17" s="313" t="s">
        <v>1502</v>
      </c>
      <c r="S17" s="313">
        <f t="shared" si="6"/>
        <v>0.24839332128400543</v>
      </c>
      <c r="T17" s="313">
        <f t="shared" si="6"/>
        <v>0.19661025436690902</v>
      </c>
      <c r="U17" s="313">
        <f t="shared" si="6"/>
        <v>0.3081845055884524</v>
      </c>
      <c r="V17" s="313">
        <f t="shared" si="6"/>
        <v>0.22021678935824188</v>
      </c>
      <c r="W17" s="313">
        <f t="shared" si="6"/>
        <v>0.22942229122008903</v>
      </c>
      <c r="X17" s="313">
        <f t="shared" si="6"/>
        <v>0.22942229122008903</v>
      </c>
      <c r="Y17" s="313">
        <f t="shared" si="6"/>
        <v>0.22021678935824188</v>
      </c>
      <c r="Z17" s="313">
        <f t="shared" si="6"/>
        <v>0.22021678935824188</v>
      </c>
      <c r="AA17" s="313">
        <f t="shared" si="6"/>
        <v>0.23139313738673997</v>
      </c>
      <c r="AB17" s="313">
        <f t="shared" si="6"/>
        <v>0.22942229122008903</v>
      </c>
      <c r="AC17" s="313">
        <f t="shared" si="6"/>
        <v>0.22942229122008903</v>
      </c>
    </row>
    <row r="18" spans="3:29" x14ac:dyDescent="0.25">
      <c r="C18" s="313" t="s">
        <v>1501</v>
      </c>
      <c r="D18" s="313">
        <v>7.058291701143414E-2</v>
      </c>
      <c r="E18" s="313">
        <v>0.10896760523088964</v>
      </c>
      <c r="F18" s="313">
        <v>0.10201130765541143</v>
      </c>
      <c r="G18" s="313">
        <v>0.18934648213757221</v>
      </c>
      <c r="H18" s="314">
        <f t="shared" si="5"/>
        <v>1.8098827420195682E-2</v>
      </c>
      <c r="I18" s="314">
        <f t="shared" si="5"/>
        <v>1.8098827420195682E-2</v>
      </c>
      <c r="J18" s="313">
        <v>0.18934648213757221</v>
      </c>
      <c r="K18" s="313">
        <v>0.18934648213757221</v>
      </c>
      <c r="L18" s="313">
        <v>6.7224166708600777E-2</v>
      </c>
      <c r="M18" s="313">
        <v>1.8098827420195682E-2</v>
      </c>
      <c r="N18" s="313">
        <v>1.8098827420195682E-2</v>
      </c>
      <c r="O18" s="312">
        <f>SUM(D18:N18)</f>
        <v>0.98922075269983523</v>
      </c>
      <c r="R18" s="313" t="s">
        <v>1501</v>
      </c>
      <c r="S18" s="313">
        <f t="shared" si="6"/>
        <v>0.37776590099589508</v>
      </c>
      <c r="T18" s="313">
        <f t="shared" si="6"/>
        <v>0.45598086812380773</v>
      </c>
      <c r="U18" s="313">
        <f t="shared" si="6"/>
        <v>0.38359175279680047</v>
      </c>
      <c r="V18" s="313">
        <f t="shared" si="6"/>
        <v>0.47971534408351568</v>
      </c>
      <c r="W18" s="313">
        <f t="shared" si="6"/>
        <v>0.50082450278122848</v>
      </c>
      <c r="X18" s="313">
        <f t="shared" si="6"/>
        <v>0.50082450278122848</v>
      </c>
      <c r="Y18" s="313">
        <f t="shared" si="6"/>
        <v>0.47971534408351568</v>
      </c>
      <c r="Z18" s="313">
        <f t="shared" si="6"/>
        <v>0.47971534408351568</v>
      </c>
      <c r="AA18" s="313">
        <f t="shared" si="6"/>
        <v>0.46081745212128555</v>
      </c>
      <c r="AB18" s="313">
        <f t="shared" si="6"/>
        <v>0.50082450278122848</v>
      </c>
      <c r="AC18" s="313">
        <f t="shared" si="6"/>
        <v>0.50082450278122848</v>
      </c>
    </row>
    <row r="19" spans="3:29" x14ac:dyDescent="0.25">
      <c r="D19" s="312">
        <f t="shared" ref="D19:N19" si="7">SUM(D15:D18)</f>
        <v>0.18684300733697273</v>
      </c>
      <c r="E19" s="312">
        <f t="shared" si="7"/>
        <v>0.23897407292382891</v>
      </c>
      <c r="F19" s="312">
        <f t="shared" si="7"/>
        <v>0.26593717646857162</v>
      </c>
      <c r="G19" s="312">
        <f t="shared" si="7"/>
        <v>0.39470591148030504</v>
      </c>
      <c r="H19" s="312">
        <f t="shared" si="7"/>
        <v>3.6138062973531587E-2</v>
      </c>
      <c r="I19" s="312">
        <f t="shared" si="7"/>
        <v>3.6138062973531587E-2</v>
      </c>
      <c r="J19" s="312">
        <f t="shared" si="7"/>
        <v>0.39470591148030504</v>
      </c>
      <c r="K19" s="312">
        <f t="shared" si="7"/>
        <v>0.39470591148030504</v>
      </c>
      <c r="L19" s="312">
        <f t="shared" si="7"/>
        <v>0.14588025344775268</v>
      </c>
      <c r="M19" s="312">
        <f t="shared" si="7"/>
        <v>3.6138062973531587E-2</v>
      </c>
      <c r="N19" s="312">
        <f t="shared" si="7"/>
        <v>3.6138062973531587E-2</v>
      </c>
      <c r="S19" s="312">
        <f t="shared" ref="S19:AC19" si="8">SUM(S15:S18)</f>
        <v>1</v>
      </c>
      <c r="T19" s="312">
        <f t="shared" si="8"/>
        <v>1</v>
      </c>
      <c r="U19" s="312">
        <f t="shared" si="8"/>
        <v>1</v>
      </c>
      <c r="V19" s="312">
        <f t="shared" si="8"/>
        <v>1</v>
      </c>
      <c r="W19" s="312">
        <f t="shared" si="8"/>
        <v>1</v>
      </c>
      <c r="X19" s="312">
        <f t="shared" si="8"/>
        <v>1</v>
      </c>
      <c r="Y19" s="312">
        <f t="shared" si="8"/>
        <v>1</v>
      </c>
      <c r="Z19" s="312">
        <f t="shared" si="8"/>
        <v>1</v>
      </c>
      <c r="AA19" s="312">
        <f t="shared" si="8"/>
        <v>1</v>
      </c>
      <c r="AB19" s="312">
        <f t="shared" si="8"/>
        <v>1</v>
      </c>
      <c r="AC19" s="312">
        <f t="shared" si="8"/>
        <v>1</v>
      </c>
    </row>
    <row r="24" spans="3:29" x14ac:dyDescent="0.25">
      <c r="C24" s="282" t="s">
        <v>1714</v>
      </c>
    </row>
    <row r="26" spans="3:29" x14ac:dyDescent="0.25">
      <c r="C26" s="282" t="s">
        <v>1713</v>
      </c>
      <c r="I26" s="282" t="s">
        <v>1712</v>
      </c>
      <c r="M26" s="282" t="s">
        <v>1711</v>
      </c>
      <c r="Q26" s="282" t="s">
        <v>1710</v>
      </c>
      <c r="S26" s="282" t="s">
        <v>1709</v>
      </c>
      <c r="U26" s="282" t="s">
        <v>1708</v>
      </c>
    </row>
    <row r="27" spans="3:29" x14ac:dyDescent="0.25">
      <c r="F27" s="282">
        <v>2012</v>
      </c>
      <c r="G27" s="282" t="s">
        <v>1455</v>
      </c>
      <c r="J27" s="282">
        <v>2012</v>
      </c>
      <c r="N27" s="282">
        <v>2012</v>
      </c>
      <c r="V27" s="282" t="s">
        <v>1667</v>
      </c>
    </row>
    <row r="28" spans="3:29" x14ac:dyDescent="0.25">
      <c r="C28" s="282" t="s">
        <v>1504</v>
      </c>
      <c r="D28" s="282" t="s">
        <v>1500</v>
      </c>
      <c r="E28" s="282" t="s">
        <v>1499</v>
      </c>
      <c r="F28" s="282">
        <v>3.7305999999999999</v>
      </c>
      <c r="G28" s="282">
        <f>F28/$F$32</f>
        <v>5.1587548519758449E-2</v>
      </c>
      <c r="I28" s="282" t="s">
        <v>1504</v>
      </c>
      <c r="J28" s="282">
        <v>3.9E-2</v>
      </c>
      <c r="M28" s="282" t="s">
        <v>1504</v>
      </c>
      <c r="N28" s="282">
        <v>2.8210000000000002</v>
      </c>
      <c r="Q28" s="282">
        <f>J28*N28</f>
        <v>0.11001900000000001</v>
      </c>
      <c r="S28" s="311">
        <f>F28*J28*N28</f>
        <v>0.41043688140000001</v>
      </c>
      <c r="U28" s="282" t="s">
        <v>1504</v>
      </c>
      <c r="V28" s="282">
        <v>0.41</v>
      </c>
    </row>
    <row r="29" spans="3:29" x14ac:dyDescent="0.25">
      <c r="C29" s="282" t="s">
        <v>1503</v>
      </c>
      <c r="D29" s="282" t="s">
        <v>1500</v>
      </c>
      <c r="E29" s="282" t="s">
        <v>1499</v>
      </c>
      <c r="F29" s="282">
        <v>4.2457000000000003</v>
      </c>
      <c r="G29" s="282">
        <f>F29/$F$32</f>
        <v>5.8710463397399472E-2</v>
      </c>
      <c r="I29" s="282" t="s">
        <v>1503</v>
      </c>
      <c r="J29" s="282">
        <v>0.05</v>
      </c>
      <c r="M29" s="282" t="s">
        <v>1503</v>
      </c>
      <c r="N29" s="282">
        <v>2.2549999999999999</v>
      </c>
      <c r="Q29" s="282">
        <f>J29*N29</f>
        <v>0.11275</v>
      </c>
      <c r="S29" s="311">
        <f>F29*J29*N29</f>
        <v>0.47870267500000002</v>
      </c>
      <c r="U29" s="282" t="s">
        <v>1503</v>
      </c>
      <c r="V29" s="282">
        <v>0.48299999999999998</v>
      </c>
    </row>
    <row r="30" spans="3:29" x14ac:dyDescent="0.25">
      <c r="C30" s="282" t="s">
        <v>1502</v>
      </c>
      <c r="D30" s="282" t="s">
        <v>1500</v>
      </c>
      <c r="E30" s="282" t="s">
        <v>1499</v>
      </c>
      <c r="F30" s="282">
        <v>14.047700000000001</v>
      </c>
      <c r="G30" s="282">
        <f>F30/$F$32</f>
        <v>0.19425465215810078</v>
      </c>
      <c r="I30" s="282" t="s">
        <v>1502</v>
      </c>
      <c r="J30" s="282">
        <v>8.8999999999999996E-2</v>
      </c>
      <c r="M30" s="282" t="s">
        <v>1502</v>
      </c>
      <c r="N30" s="282">
        <v>1.946</v>
      </c>
      <c r="Q30" s="282">
        <f>J30*N30</f>
        <v>0.17319399999999999</v>
      </c>
      <c r="S30" s="311">
        <f>F30*J30*N30</f>
        <v>2.4329773538000001</v>
      </c>
      <c r="U30" s="282" t="s">
        <v>1502</v>
      </c>
      <c r="V30" s="282">
        <v>2.444</v>
      </c>
    </row>
    <row r="31" spans="3:29" x14ac:dyDescent="0.25">
      <c r="C31" s="282" t="s">
        <v>1501</v>
      </c>
      <c r="D31" s="282" t="s">
        <v>1500</v>
      </c>
      <c r="E31" s="282" t="s">
        <v>1499</v>
      </c>
      <c r="F31" s="282">
        <v>50.291899999999998</v>
      </c>
      <c r="G31" s="282">
        <f>F31/$F$32</f>
        <v>0.69544733592474128</v>
      </c>
      <c r="I31" s="282" t="s">
        <v>1501</v>
      </c>
      <c r="J31" s="282">
        <v>0.17699999999999999</v>
      </c>
      <c r="M31" s="282" t="s">
        <v>1501</v>
      </c>
      <c r="N31" s="282">
        <v>2.2360000000000002</v>
      </c>
      <c r="Q31" s="282">
        <f>J31*N31</f>
        <v>0.39577200000000001</v>
      </c>
      <c r="S31" s="311">
        <f>F31*J31*N31</f>
        <v>19.9041258468</v>
      </c>
      <c r="U31" s="282" t="s">
        <v>1501</v>
      </c>
      <c r="V31" s="282">
        <v>19.861000000000001</v>
      </c>
    </row>
    <row r="32" spans="3:29" x14ac:dyDescent="0.25">
      <c r="F32" s="282">
        <f>SUM(F28:F31)</f>
        <v>72.315899999999999</v>
      </c>
      <c r="V32" s="282">
        <f>SUM(V28:V31)</f>
        <v>23.198</v>
      </c>
    </row>
    <row r="33" spans="5:22" x14ac:dyDescent="0.25">
      <c r="U33" s="282" t="s">
        <v>1707</v>
      </c>
      <c r="V33" s="311">
        <f>V32/F32</f>
        <v>0.32078699151915419</v>
      </c>
    </row>
    <row r="35" spans="5:22" x14ac:dyDescent="0.25">
      <c r="F35" s="282">
        <v>4.2256</v>
      </c>
    </row>
    <row r="36" spans="5:22" x14ac:dyDescent="0.25">
      <c r="F36" s="282">
        <v>3.7132999999999998</v>
      </c>
    </row>
    <row r="37" spans="5:22" x14ac:dyDescent="0.25">
      <c r="F37" s="282">
        <v>13.982200000000001</v>
      </c>
    </row>
    <row r="38" spans="5:22" x14ac:dyDescent="0.25">
      <c r="F38" s="282">
        <v>50.058300000000003</v>
      </c>
    </row>
    <row r="39" spans="5:22" x14ac:dyDescent="0.25">
      <c r="F39" s="282" t="s">
        <v>1706</v>
      </c>
      <c r="K39" s="282" t="s">
        <v>1705</v>
      </c>
      <c r="N39" s="282" t="s">
        <v>1704</v>
      </c>
    </row>
    <row r="40" spans="5:22" x14ac:dyDescent="0.25">
      <c r="F40" s="282" t="s">
        <v>1504</v>
      </c>
      <c r="G40" s="282" t="s">
        <v>1503</v>
      </c>
      <c r="H40" s="282" t="s">
        <v>1502</v>
      </c>
      <c r="I40" s="282" t="s">
        <v>1501</v>
      </c>
      <c r="L40" s="282" t="s">
        <v>1667</v>
      </c>
      <c r="Q40" s="282">
        <v>2012</v>
      </c>
    </row>
    <row r="41" spans="5:22" x14ac:dyDescent="0.25">
      <c r="E41" s="282">
        <v>2012</v>
      </c>
      <c r="F41" s="282">
        <v>4.4299999999999999E-2</v>
      </c>
      <c r="G41" s="282">
        <v>5.04E-2</v>
      </c>
      <c r="H41" s="282">
        <v>0.16669999999999999</v>
      </c>
      <c r="I41" s="282">
        <v>0.59689999999999999</v>
      </c>
      <c r="K41" s="282">
        <v>2012</v>
      </c>
      <c r="L41" s="282">
        <v>0.11017</v>
      </c>
      <c r="N41" s="282" t="s">
        <v>1667</v>
      </c>
      <c r="O41" s="282" t="s">
        <v>1499</v>
      </c>
      <c r="P41" s="282">
        <v>2050</v>
      </c>
      <c r="Q41" s="282">
        <v>765</v>
      </c>
    </row>
    <row r="42" spans="5:22" x14ac:dyDescent="0.25">
      <c r="E42" s="282" t="s">
        <v>166</v>
      </c>
      <c r="F42" s="311">
        <f>F41*$L$41*$Q$41</f>
        <v>3.7336062150000005</v>
      </c>
      <c r="G42" s="311">
        <f>G41*$L$41*$Q$41</f>
        <v>4.2477145199999997</v>
      </c>
      <c r="H42" s="311">
        <f>H41*$L$41*$Q$41</f>
        <v>14.049484334999999</v>
      </c>
      <c r="I42" s="311">
        <f>I41*$L$41*$Q$41</f>
        <v>50.306761844999997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 workbookViewId="1"/>
  </sheetViews>
  <sheetFormatPr defaultRowHeight="15" x14ac:dyDescent="0.25"/>
  <cols>
    <col min="1" max="3" width="9.140625" style="282"/>
    <col min="4" max="4" width="13.42578125" style="282" bestFit="1" customWidth="1"/>
    <col min="5" max="5" width="33.28515625" style="282" customWidth="1"/>
    <col min="6" max="6" width="9.140625" style="282"/>
    <col min="7" max="7" width="12.42578125" style="282" customWidth="1"/>
    <col min="8" max="11" width="9.140625" style="282"/>
    <col min="12" max="12" width="9.7109375" style="282" bestFit="1" customWidth="1"/>
    <col min="13" max="14" width="9.140625" style="282"/>
    <col min="15" max="15" width="14.28515625" style="282" bestFit="1" customWidth="1"/>
    <col min="16" max="16" width="13.42578125" style="282" bestFit="1" customWidth="1"/>
    <col min="17" max="18" width="9.140625" style="282"/>
    <col min="19" max="19" width="30.140625" style="282" customWidth="1"/>
    <col min="20" max="16384" width="9.140625" style="282"/>
  </cols>
  <sheetData>
    <row r="1" spans="4:23" x14ac:dyDescent="0.25">
      <c r="M1" s="282">
        <f>35*1.172</f>
        <v>41.019999999999996</v>
      </c>
    </row>
    <row r="2" spans="4:23" x14ac:dyDescent="0.25">
      <c r="D2" s="308"/>
    </row>
    <row r="3" spans="4:23" x14ac:dyDescent="0.25">
      <c r="E3" s="315"/>
      <c r="W3" s="278"/>
    </row>
    <row r="4" spans="4:23" x14ac:dyDescent="0.25">
      <c r="E4" s="315"/>
      <c r="H4" s="315" t="s">
        <v>145</v>
      </c>
      <c r="W4" s="278"/>
    </row>
    <row r="5" spans="4:23" x14ac:dyDescent="0.25">
      <c r="E5" s="315" t="s">
        <v>1790</v>
      </c>
      <c r="F5" s="282" t="s">
        <v>135</v>
      </c>
      <c r="G5" s="308">
        <f>SAM!AL119</f>
        <v>61052.790993083603</v>
      </c>
      <c r="H5" s="282" t="s">
        <v>1783</v>
      </c>
      <c r="W5" s="278"/>
    </row>
    <row r="6" spans="4:23" x14ac:dyDescent="0.25">
      <c r="E6" s="315" t="s">
        <v>1789</v>
      </c>
      <c r="F6" s="282" t="s">
        <v>135</v>
      </c>
      <c r="G6" s="308">
        <f>G5*1.172</f>
        <v>71553.871043893974</v>
      </c>
      <c r="H6" s="282" t="s">
        <v>1781</v>
      </c>
      <c r="W6" s="278"/>
    </row>
    <row r="7" spans="4:23" x14ac:dyDescent="0.25">
      <c r="E7" s="315" t="s">
        <v>1757</v>
      </c>
      <c r="F7" s="282" t="s">
        <v>135</v>
      </c>
      <c r="G7" s="308">
        <f>H51*$G$6</f>
        <v>26551.502063613778</v>
      </c>
      <c r="W7" s="278"/>
    </row>
    <row r="8" spans="4:23" x14ac:dyDescent="0.25">
      <c r="E8" s="315" t="s">
        <v>1761</v>
      </c>
      <c r="F8" s="282" t="s">
        <v>135</v>
      </c>
      <c r="G8" s="308">
        <f>H52*$G$6</f>
        <v>10262.042713754645</v>
      </c>
      <c r="W8" s="278"/>
    </row>
    <row r="9" spans="4:23" x14ac:dyDescent="0.25">
      <c r="E9" s="315" t="s">
        <v>1785</v>
      </c>
      <c r="F9" s="282" t="s">
        <v>135</v>
      </c>
      <c r="G9" s="308">
        <f>H53*$G$6</f>
        <v>34740.326266525561</v>
      </c>
      <c r="W9" s="278"/>
    </row>
    <row r="10" spans="4:23" x14ac:dyDescent="0.25">
      <c r="E10" s="315" t="s">
        <v>1788</v>
      </c>
      <c r="F10" s="282" t="s">
        <v>135</v>
      </c>
      <c r="G10" s="308">
        <f>SUM(SAM!AL59:AL117)-SAM!AL79-SAM!AL62-SAM!AL65-SAM!AL67-SAM!AL103</f>
        <v>41635.018826606982</v>
      </c>
      <c r="W10" s="278"/>
    </row>
    <row r="11" spans="4:23" x14ac:dyDescent="0.25">
      <c r="E11" s="315" t="s">
        <v>1787</v>
      </c>
      <c r="F11" s="282" t="s">
        <v>135</v>
      </c>
      <c r="G11" s="308">
        <f>G10*1.172</f>
        <v>48796.242064783379</v>
      </c>
      <c r="H11" s="282" t="s">
        <v>1781</v>
      </c>
      <c r="W11" s="278"/>
    </row>
    <row r="12" spans="4:23" x14ac:dyDescent="0.25">
      <c r="E12" s="315" t="s">
        <v>1757</v>
      </c>
      <c r="F12" s="282" t="s">
        <v>135</v>
      </c>
      <c r="G12" s="308">
        <f>H51*$G$11</f>
        <v>18106.826408943169</v>
      </c>
      <c r="W12" s="278"/>
    </row>
    <row r="13" spans="4:23" x14ac:dyDescent="0.25">
      <c r="E13" s="315" t="s">
        <v>1786</v>
      </c>
      <c r="F13" s="282" t="s">
        <v>135</v>
      </c>
      <c r="G13" s="308">
        <f>H52*$G$11</f>
        <v>6998.2114598990574</v>
      </c>
      <c r="W13" s="278"/>
    </row>
    <row r="14" spans="4:23" x14ac:dyDescent="0.25">
      <c r="E14" s="315" t="s">
        <v>1785</v>
      </c>
      <c r="F14" s="282" t="s">
        <v>135</v>
      </c>
      <c r="G14" s="308">
        <f>H53*$G$11</f>
        <v>23691.204195941154</v>
      </c>
    </row>
    <row r="15" spans="4:23" x14ac:dyDescent="0.25">
      <c r="E15" s="315" t="s">
        <v>1784</v>
      </c>
      <c r="F15" s="282" t="s">
        <v>135</v>
      </c>
      <c r="G15" s="308">
        <f>SAM!AL62+SAM!AL79+SAM!AL103+SAM!AL142</f>
        <v>38479.313744107218</v>
      </c>
      <c r="H15" s="282" t="s">
        <v>1783</v>
      </c>
      <c r="J15" s="308"/>
    </row>
    <row r="16" spans="4:23" x14ac:dyDescent="0.25">
      <c r="E16" s="315" t="s">
        <v>1782</v>
      </c>
      <c r="F16" s="282" t="s">
        <v>135</v>
      </c>
      <c r="G16" s="308">
        <f>G15*1.172</f>
        <v>45097.755708093653</v>
      </c>
      <c r="H16" s="282" t="s">
        <v>1781</v>
      </c>
    </row>
    <row r="17" spans="5:9" x14ac:dyDescent="0.25">
      <c r="E17" s="315" t="s">
        <v>116</v>
      </c>
      <c r="F17" s="282" t="s">
        <v>135</v>
      </c>
      <c r="G17" s="308">
        <f>G16+G11+G6</f>
        <v>165447.86881677102</v>
      </c>
      <c r="H17" s="308">
        <f>G5+G10+G15</f>
        <v>141167.1235637978</v>
      </c>
    </row>
    <row r="18" spans="5:9" x14ac:dyDescent="0.25">
      <c r="E18" s="315" t="s">
        <v>43</v>
      </c>
      <c r="F18" s="282" t="s">
        <v>139</v>
      </c>
      <c r="G18" s="322">
        <v>208</v>
      </c>
      <c r="H18" s="282">
        <f>764/3.6</f>
        <v>212.22222222222223</v>
      </c>
    </row>
    <row r="19" spans="5:9" x14ac:dyDescent="0.25">
      <c r="E19" s="315" t="s">
        <v>1780</v>
      </c>
      <c r="F19" s="282" t="s">
        <v>162</v>
      </c>
      <c r="G19" s="311">
        <f>G17/G18/1000</f>
        <v>0.79542244623447611</v>
      </c>
      <c r="H19" s="311">
        <f>H17/H18/1000</f>
        <v>0.66518539899171736</v>
      </c>
      <c r="I19" s="282">
        <f>0.183*3.6</f>
        <v>0.65880000000000005</v>
      </c>
    </row>
    <row r="20" spans="5:9" x14ac:dyDescent="0.25">
      <c r="E20" s="315" t="s">
        <v>1779</v>
      </c>
      <c r="F20" s="282" t="s">
        <v>162</v>
      </c>
      <c r="G20" s="311">
        <f>G19/1.172</f>
        <v>0.67868809405672026</v>
      </c>
      <c r="H20" s="311"/>
    </row>
    <row r="21" spans="5:9" x14ac:dyDescent="0.25">
      <c r="E21" s="315" t="s">
        <v>530</v>
      </c>
      <c r="G21" s="282" t="s">
        <v>1778</v>
      </c>
      <c r="H21" s="282" t="s">
        <v>145</v>
      </c>
    </row>
    <row r="22" spans="5:9" x14ac:dyDescent="0.25">
      <c r="E22" s="315" t="s">
        <v>1488</v>
      </c>
      <c r="F22" s="282" t="s">
        <v>135</v>
      </c>
      <c r="G22" s="282">
        <v>9894</v>
      </c>
      <c r="H22" s="282" t="s">
        <v>1777</v>
      </c>
    </row>
    <row r="23" spans="5:9" x14ac:dyDescent="0.25">
      <c r="E23" s="315" t="s">
        <v>129</v>
      </c>
      <c r="F23" s="282" t="s">
        <v>135</v>
      </c>
      <c r="G23" s="282">
        <v>397</v>
      </c>
    </row>
    <row r="24" spans="5:9" x14ac:dyDescent="0.25">
      <c r="E24" s="315" t="s">
        <v>1482</v>
      </c>
      <c r="F24" s="282" t="s">
        <v>135</v>
      </c>
      <c r="G24" s="282">
        <v>8298</v>
      </c>
    </row>
    <row r="25" spans="5:9" x14ac:dyDescent="0.25">
      <c r="E25" s="315" t="s">
        <v>1776</v>
      </c>
      <c r="F25" s="282" t="s">
        <v>135</v>
      </c>
      <c r="G25" s="282">
        <v>211</v>
      </c>
    </row>
    <row r="26" spans="5:9" x14ac:dyDescent="0.25">
      <c r="E26" s="315" t="s">
        <v>1775</v>
      </c>
      <c r="F26" s="282" t="s">
        <v>135</v>
      </c>
      <c r="G26" s="282">
        <v>18801</v>
      </c>
    </row>
    <row r="27" spans="5:9" x14ac:dyDescent="0.25">
      <c r="E27" s="315" t="s">
        <v>1774</v>
      </c>
      <c r="F27" s="282" t="s">
        <v>135</v>
      </c>
      <c r="G27" s="282">
        <v>-5542</v>
      </c>
    </row>
    <row r="28" spans="5:9" x14ac:dyDescent="0.25">
      <c r="E28" s="315" t="s">
        <v>1773</v>
      </c>
      <c r="F28" s="282" t="s">
        <v>135</v>
      </c>
    </row>
    <row r="29" spans="5:9" x14ac:dyDescent="0.25">
      <c r="E29" s="315" t="s">
        <v>1772</v>
      </c>
      <c r="F29" s="282" t="s">
        <v>135</v>
      </c>
      <c r="G29" s="282">
        <v>-2815</v>
      </c>
    </row>
    <row r="30" spans="5:9" x14ac:dyDescent="0.25">
      <c r="E30" s="315" t="s">
        <v>1771</v>
      </c>
      <c r="F30" s="282" t="s">
        <v>135</v>
      </c>
      <c r="G30" s="282">
        <v>10443</v>
      </c>
    </row>
    <row r="31" spans="5:9" x14ac:dyDescent="0.25">
      <c r="E31" s="315"/>
    </row>
    <row r="32" spans="5:9" x14ac:dyDescent="0.25">
      <c r="E32" s="315"/>
    </row>
    <row r="33" spans="5:23" x14ac:dyDescent="0.25">
      <c r="E33" s="315" t="s">
        <v>1770</v>
      </c>
    </row>
    <row r="34" spans="5:23" x14ac:dyDescent="0.25">
      <c r="E34" s="315" t="s">
        <v>1769</v>
      </c>
      <c r="F34" s="282" t="s">
        <v>124</v>
      </c>
      <c r="G34" s="308">
        <v>784</v>
      </c>
      <c r="I34" s="282" t="s">
        <v>1768</v>
      </c>
    </row>
    <row r="35" spans="5:23" x14ac:dyDescent="0.25">
      <c r="E35" s="315" t="s">
        <v>530</v>
      </c>
      <c r="F35" s="282" t="s">
        <v>124</v>
      </c>
      <c r="G35" s="308">
        <v>40329</v>
      </c>
      <c r="I35" s="282" t="s">
        <v>1767</v>
      </c>
    </row>
    <row r="36" spans="5:23" x14ac:dyDescent="0.25">
      <c r="E36" s="315" t="s">
        <v>161</v>
      </c>
      <c r="F36" s="282" t="s">
        <v>124</v>
      </c>
      <c r="G36" s="308">
        <f>G35+G34</f>
        <v>41113</v>
      </c>
    </row>
    <row r="37" spans="5:23" x14ac:dyDescent="0.25">
      <c r="E37" s="315"/>
      <c r="G37" s="308"/>
    </row>
    <row r="38" spans="5:23" x14ac:dyDescent="0.25">
      <c r="E38" s="315" t="s">
        <v>1482</v>
      </c>
      <c r="G38" s="308"/>
    </row>
    <row r="39" spans="5:23" x14ac:dyDescent="0.25">
      <c r="E39" s="315" t="s">
        <v>530</v>
      </c>
      <c r="F39" s="282" t="s">
        <v>1138</v>
      </c>
      <c r="G39" s="308">
        <f>212107-92140-626</f>
        <v>119341</v>
      </c>
      <c r="I39" s="282" t="s">
        <v>1766</v>
      </c>
    </row>
    <row r="40" spans="5:23" x14ac:dyDescent="0.25">
      <c r="E40" s="315" t="s">
        <v>1765</v>
      </c>
      <c r="F40" s="282" t="s">
        <v>1138</v>
      </c>
      <c r="G40" s="308">
        <f>96537-2290</f>
        <v>94247</v>
      </c>
      <c r="I40" s="282" t="s">
        <v>1764</v>
      </c>
    </row>
    <row r="41" spans="5:23" x14ac:dyDescent="0.25">
      <c r="E41" s="315" t="s">
        <v>116</v>
      </c>
      <c r="F41" s="282" t="s">
        <v>1138</v>
      </c>
      <c r="G41" s="308">
        <f>G40+G39</f>
        <v>213588</v>
      </c>
    </row>
    <row r="42" spans="5:23" x14ac:dyDescent="0.25">
      <c r="E42" s="315"/>
      <c r="G42" s="308"/>
      <c r="W42" s="313"/>
    </row>
    <row r="43" spans="5:23" x14ac:dyDescent="0.25">
      <c r="E43" s="315"/>
      <c r="G43" s="308"/>
      <c r="W43" s="313"/>
    </row>
    <row r="44" spans="5:23" x14ac:dyDescent="0.25">
      <c r="E44" s="315" t="s">
        <v>1763</v>
      </c>
      <c r="G44" s="308"/>
    </row>
    <row r="45" spans="5:23" x14ac:dyDescent="0.25">
      <c r="E45" s="315" t="s">
        <v>1757</v>
      </c>
      <c r="G45" s="308">
        <f>G22*G36/G35</f>
        <v>10086.340400208286</v>
      </c>
      <c r="H45" s="282" t="s">
        <v>1762</v>
      </c>
    </row>
    <row r="46" spans="5:23" x14ac:dyDescent="0.25">
      <c r="E46" s="315" t="s">
        <v>1761</v>
      </c>
      <c r="G46" s="308">
        <f>G23+G25</f>
        <v>608</v>
      </c>
      <c r="H46" s="282" t="s">
        <v>1760</v>
      </c>
      <c r="W46" s="313"/>
    </row>
    <row r="47" spans="5:23" x14ac:dyDescent="0.25">
      <c r="E47" s="315" t="s">
        <v>1755</v>
      </c>
      <c r="G47" s="308">
        <f>G24*G41/G39</f>
        <v>14851.167863517148</v>
      </c>
      <c r="H47" s="282" t="s">
        <v>1759</v>
      </c>
      <c r="W47" s="313"/>
    </row>
    <row r="48" spans="5:23" x14ac:dyDescent="0.25">
      <c r="E48" s="315" t="s">
        <v>116</v>
      </c>
      <c r="G48" s="308">
        <f>SUM(G45:G47)</f>
        <v>25545.508263725435</v>
      </c>
    </row>
    <row r="49" spans="4:23" x14ac:dyDescent="0.25">
      <c r="E49" s="315" t="s">
        <v>1548</v>
      </c>
      <c r="G49" s="308">
        <f>G10-G48</f>
        <v>16089.510562881547</v>
      </c>
      <c r="W49" s="313"/>
    </row>
    <row r="50" spans="4:23" x14ac:dyDescent="0.25">
      <c r="E50" s="315" t="s">
        <v>1758</v>
      </c>
      <c r="G50" s="308"/>
      <c r="W50" s="313"/>
    </row>
    <row r="51" spans="4:23" x14ac:dyDescent="0.25">
      <c r="E51" s="315" t="s">
        <v>1757</v>
      </c>
      <c r="G51" s="308">
        <f>G$49/3+G45</f>
        <v>15449.51058783547</v>
      </c>
      <c r="H51" s="278">
        <f>G51/$G$10</f>
        <v>0.37107009972005617</v>
      </c>
      <c r="W51" s="313"/>
    </row>
    <row r="52" spans="4:23" x14ac:dyDescent="0.25">
      <c r="E52" s="315" t="s">
        <v>1756</v>
      </c>
      <c r="G52" s="308">
        <f>G$49/3+G46</f>
        <v>5971.1701876271827</v>
      </c>
      <c r="H52" s="278">
        <f>G52/$G$10</f>
        <v>0.14341701663435513</v>
      </c>
      <c r="W52" s="313"/>
    </row>
    <row r="53" spans="4:23" x14ac:dyDescent="0.25">
      <c r="E53" s="315" t="s">
        <v>1755</v>
      </c>
      <c r="G53" s="308">
        <f>G$49/3+G47</f>
        <v>20214.338051144332</v>
      </c>
      <c r="H53" s="278">
        <f>G53/$G$10</f>
        <v>0.48551288364558876</v>
      </c>
    </row>
    <row r="54" spans="4:23" x14ac:dyDescent="0.25">
      <c r="E54" s="315"/>
    </row>
    <row r="55" spans="4:23" x14ac:dyDescent="0.25">
      <c r="E55" s="315"/>
      <c r="J55" s="315" t="s">
        <v>163</v>
      </c>
      <c r="K55" s="282">
        <v>60</v>
      </c>
      <c r="L55" s="315" t="s">
        <v>1754</v>
      </c>
      <c r="M55" s="282">
        <f>M74/L73</f>
        <v>0.74295187856469103</v>
      </c>
    </row>
    <row r="56" spans="4:23" x14ac:dyDescent="0.25">
      <c r="E56" s="315" t="s">
        <v>1482</v>
      </c>
      <c r="J56" s="315" t="s">
        <v>1753</v>
      </c>
      <c r="K56" s="328">
        <v>8.2000000000000003E-2</v>
      </c>
      <c r="W56" s="313"/>
    </row>
    <row r="57" spans="4:23" s="324" customFormat="1" ht="60" x14ac:dyDescent="0.25">
      <c r="E57" s="325" t="s">
        <v>384</v>
      </c>
      <c r="F57" s="325" t="s">
        <v>1747</v>
      </c>
      <c r="G57" s="325" t="s">
        <v>1752</v>
      </c>
      <c r="H57" s="325" t="s">
        <v>1751</v>
      </c>
      <c r="I57" s="325" t="s">
        <v>166</v>
      </c>
      <c r="J57" s="327">
        <f>PMT(8.2%,60,-1,0,1)</f>
        <v>7.6461363904318166E-2</v>
      </c>
      <c r="K57" s="325" t="s">
        <v>1745</v>
      </c>
      <c r="L57" s="325" t="s">
        <v>1744</v>
      </c>
      <c r="M57" s="325" t="s">
        <v>1743</v>
      </c>
      <c r="N57" s="325" t="s">
        <v>1742</v>
      </c>
      <c r="O57" s="325" t="s">
        <v>166</v>
      </c>
      <c r="P57" s="325" t="s">
        <v>1739</v>
      </c>
      <c r="Q57" s="325" t="s">
        <v>1750</v>
      </c>
      <c r="W57" s="326"/>
    </row>
    <row r="58" spans="4:23" x14ac:dyDescent="0.25">
      <c r="D58" s="282" t="s">
        <v>215</v>
      </c>
      <c r="E58" s="308">
        <v>30869.197499999998</v>
      </c>
      <c r="F58" s="282">
        <v>0.91200000000000003</v>
      </c>
      <c r="G58" s="282">
        <v>0.91200000000000003</v>
      </c>
      <c r="H58" s="308">
        <v>2152.5410000000002</v>
      </c>
      <c r="I58" s="308">
        <f t="shared" ref="I58:I71" si="0">IF(G58=F58,H58/F58,"")</f>
        <v>2360.2423245614036</v>
      </c>
      <c r="J58" s="282">
        <f t="shared" ref="J58:J71" si="1">IF(I58&lt;&gt;"",H58/E58/G58)</f>
        <v>7.6459464958925596E-2</v>
      </c>
      <c r="K58" s="282">
        <f t="shared" ref="K58:K71" si="2">PMT($K$56,$K$55,-1,0,1)</f>
        <v>7.646136390431818E-2</v>
      </c>
      <c r="L58" s="308">
        <f t="shared" ref="L58:L71" si="3">K58*G58*E58</f>
        <v>2152.5944604553733</v>
      </c>
      <c r="M58" s="282">
        <f t="shared" ref="M58:M71" si="4">L58*$M$55</f>
        <v>1599.2740981832671</v>
      </c>
      <c r="N58" s="308">
        <f t="shared" ref="N58:N71" si="5">M58/K58/G58</f>
        <v>22934.328272409461</v>
      </c>
      <c r="O58" s="308">
        <f t="shared" ref="O58:O71" si="6">E58*$M$55</f>
        <v>22934.328272409464</v>
      </c>
      <c r="P58" s="308">
        <f t="shared" ref="P58:P71" si="7">M58/$M$73*$P$74</f>
        <v>1090.6267527443324</v>
      </c>
      <c r="Q58" s="308">
        <f t="shared" ref="Q58:Q71" si="8">P58/G58</f>
        <v>1195.8626674828206</v>
      </c>
      <c r="W58" s="313"/>
    </row>
    <row r="59" spans="4:23" x14ac:dyDescent="0.25">
      <c r="D59" s="282" t="s">
        <v>213</v>
      </c>
      <c r="E59" s="308">
        <v>15434.5988</v>
      </c>
      <c r="F59" s="282">
        <v>6.0609000000000002</v>
      </c>
      <c r="G59" s="282">
        <v>6.0609000000000002</v>
      </c>
      <c r="H59" s="308">
        <v>6933.335</v>
      </c>
      <c r="I59" s="308">
        <f t="shared" si="0"/>
        <v>1143.9447936775066</v>
      </c>
      <c r="J59" s="282">
        <f t="shared" si="1"/>
        <v>7.4115615734534457E-2</v>
      </c>
      <c r="K59" s="282">
        <f t="shared" si="2"/>
        <v>7.646136390431818E-2</v>
      </c>
      <c r="L59" s="308">
        <f t="shared" si="3"/>
        <v>7152.7740173455613</v>
      </c>
      <c r="M59" s="282">
        <f t="shared" si="4"/>
        <v>5314.1668931355971</v>
      </c>
      <c r="N59" s="308">
        <f t="shared" si="5"/>
        <v>11467.164173352327</v>
      </c>
      <c r="O59" s="308">
        <f t="shared" si="6"/>
        <v>11467.164173352327</v>
      </c>
      <c r="P59" s="308">
        <f t="shared" si="7"/>
        <v>3624.0020324131788</v>
      </c>
      <c r="Q59" s="308">
        <f t="shared" si="8"/>
        <v>597.93133567839402</v>
      </c>
      <c r="W59" s="313"/>
    </row>
    <row r="60" spans="4:23" x14ac:dyDescent="0.25">
      <c r="D60" s="282" t="s">
        <v>211</v>
      </c>
      <c r="E60" s="308">
        <v>7336.7520000000004</v>
      </c>
      <c r="F60" s="282">
        <v>1.2666999999999999</v>
      </c>
      <c r="G60" s="282">
        <v>1.2666999999999999</v>
      </c>
      <c r="H60" s="308">
        <v>710.59090000000003</v>
      </c>
      <c r="I60" s="308">
        <f t="shared" si="0"/>
        <v>560.97805320912607</v>
      </c>
      <c r="J60" s="282">
        <f t="shared" si="1"/>
        <v>7.6461362358864804E-2</v>
      </c>
      <c r="K60" s="282">
        <f t="shared" si="2"/>
        <v>7.646136390431818E-2</v>
      </c>
      <c r="L60" s="308">
        <f t="shared" si="3"/>
        <v>710.59091436261485</v>
      </c>
      <c r="M60" s="282">
        <f t="shared" si="4"/>
        <v>527.93485471670624</v>
      </c>
      <c r="N60" s="308">
        <f t="shared" si="5"/>
        <v>5450.8536809632542</v>
      </c>
      <c r="O60" s="308">
        <f t="shared" si="6"/>
        <v>5450.8536809632542</v>
      </c>
      <c r="P60" s="308">
        <f t="shared" si="7"/>
        <v>360.02576225945438</v>
      </c>
      <c r="Q60" s="308">
        <f t="shared" si="8"/>
        <v>284.22338537890141</v>
      </c>
    </row>
    <row r="61" spans="4:23" x14ac:dyDescent="0.25">
      <c r="D61" s="282" t="s">
        <v>209</v>
      </c>
      <c r="E61" s="308">
        <v>7336.7520000000004</v>
      </c>
      <c r="F61" s="282">
        <v>0</v>
      </c>
      <c r="G61" s="282">
        <v>1.7473000000000001</v>
      </c>
      <c r="H61" s="308">
        <v>980.2029</v>
      </c>
      <c r="I61" s="308" t="str">
        <f t="shared" si="0"/>
        <v/>
      </c>
      <c r="J61" s="282" t="b">
        <f t="shared" si="1"/>
        <v>0</v>
      </c>
      <c r="K61" s="282">
        <f t="shared" si="2"/>
        <v>7.646136390431818E-2</v>
      </c>
      <c r="L61" s="308">
        <f t="shared" si="3"/>
        <v>980.19697218425608</v>
      </c>
      <c r="M61" s="282">
        <f t="shared" si="4"/>
        <v>728.23918184771526</v>
      </c>
      <c r="N61" s="308">
        <f t="shared" si="5"/>
        <v>5450.8536809632542</v>
      </c>
      <c r="O61" s="308">
        <f t="shared" si="6"/>
        <v>5450.8536809632542</v>
      </c>
      <c r="P61" s="308">
        <f t="shared" si="7"/>
        <v>496.6235212725544</v>
      </c>
      <c r="Q61" s="308">
        <f t="shared" si="8"/>
        <v>284.22338537890136</v>
      </c>
    </row>
    <row r="62" spans="4:23" x14ac:dyDescent="0.25">
      <c r="D62" s="282" t="s">
        <v>207</v>
      </c>
      <c r="E62" s="308">
        <v>11787.442499999999</v>
      </c>
      <c r="F62" s="282">
        <v>0.54330000000000001</v>
      </c>
      <c r="G62" s="282">
        <v>0.56020000000000003</v>
      </c>
      <c r="H62" s="308">
        <v>489.66750000000002</v>
      </c>
      <c r="I62" s="308" t="str">
        <f t="shared" si="0"/>
        <v/>
      </c>
      <c r="J62" s="282" t="b">
        <f t="shared" si="1"/>
        <v>0</v>
      </c>
      <c r="K62" s="282">
        <f t="shared" si="2"/>
        <v>7.646136390431818E-2</v>
      </c>
      <c r="L62" s="308">
        <f t="shared" si="3"/>
        <v>504.89925786258533</v>
      </c>
      <c r="M62" s="282">
        <f t="shared" si="4"/>
        <v>375.1158521149261</v>
      </c>
      <c r="N62" s="308">
        <f t="shared" si="5"/>
        <v>8757.502548848277</v>
      </c>
      <c r="O62" s="308">
        <f t="shared" si="6"/>
        <v>8757.502548848277</v>
      </c>
      <c r="P62" s="308">
        <f t="shared" si="7"/>
        <v>255.81067320465249</v>
      </c>
      <c r="Q62" s="308">
        <f t="shared" si="8"/>
        <v>456.64168726285698</v>
      </c>
    </row>
    <row r="63" spans="4:23" x14ac:dyDescent="0.25">
      <c r="D63" s="282" t="s">
        <v>205</v>
      </c>
      <c r="E63" s="308">
        <v>7336.7520000000004</v>
      </c>
      <c r="F63" s="282">
        <v>3.5015000000000001</v>
      </c>
      <c r="G63" s="282">
        <v>3.5015000000000001</v>
      </c>
      <c r="H63" s="308">
        <v>1964.2650000000001</v>
      </c>
      <c r="I63" s="308">
        <f t="shared" si="0"/>
        <v>560.978152220477</v>
      </c>
      <c r="J63" s="282">
        <f t="shared" si="1"/>
        <v>7.6461375854121411E-2</v>
      </c>
      <c r="K63" s="282">
        <f t="shared" si="2"/>
        <v>7.646136390431818E-2</v>
      </c>
      <c r="L63" s="308">
        <f t="shared" si="3"/>
        <v>1964.2646930138915</v>
      </c>
      <c r="M63" s="282">
        <f t="shared" si="4"/>
        <v>1459.3541436729668</v>
      </c>
      <c r="N63" s="308">
        <f t="shared" si="5"/>
        <v>5450.8536809632542</v>
      </c>
      <c r="O63" s="308">
        <f t="shared" si="6"/>
        <v>5450.8536809632542</v>
      </c>
      <c r="P63" s="308">
        <f t="shared" si="7"/>
        <v>995.20818390422323</v>
      </c>
      <c r="Q63" s="308">
        <f t="shared" si="8"/>
        <v>284.22338537890141</v>
      </c>
    </row>
    <row r="64" spans="4:23" x14ac:dyDescent="0.25">
      <c r="D64" s="282" t="s">
        <v>203</v>
      </c>
      <c r="E64" s="308">
        <v>7336.7520000000004</v>
      </c>
      <c r="F64" s="282">
        <v>4.1947999999999999</v>
      </c>
      <c r="G64" s="282">
        <v>4.1947999999999999</v>
      </c>
      <c r="H64" s="308">
        <v>2353.1909999999998</v>
      </c>
      <c r="I64" s="308">
        <f t="shared" si="0"/>
        <v>560.97811576237245</v>
      </c>
      <c r="J64" s="282">
        <f t="shared" si="1"/>
        <v>7.6461370884878269E-2</v>
      </c>
      <c r="K64" s="282">
        <f t="shared" si="2"/>
        <v>7.646136390431818E-2</v>
      </c>
      <c r="L64" s="308">
        <f t="shared" si="3"/>
        <v>2353.1907851648357</v>
      </c>
      <c r="M64" s="282">
        <f t="shared" si="4"/>
        <v>1748.3075144593349</v>
      </c>
      <c r="N64" s="308">
        <f t="shared" si="5"/>
        <v>5450.8536809632551</v>
      </c>
      <c r="O64" s="308">
        <f t="shared" si="6"/>
        <v>5450.8536809632542</v>
      </c>
      <c r="P64" s="308">
        <f t="shared" si="7"/>
        <v>1192.2602569874157</v>
      </c>
      <c r="Q64" s="308">
        <f t="shared" si="8"/>
        <v>284.22338537890141</v>
      </c>
    </row>
    <row r="65" spans="4:18" x14ac:dyDescent="0.25">
      <c r="D65" s="282" t="s">
        <v>201</v>
      </c>
      <c r="E65" s="308">
        <v>7336.7520000000004</v>
      </c>
      <c r="F65" s="282">
        <v>2.8782000000000001</v>
      </c>
      <c r="G65" s="282">
        <v>2.8782000000000001</v>
      </c>
      <c r="H65" s="308">
        <v>1614.607</v>
      </c>
      <c r="I65" s="308">
        <f t="shared" si="0"/>
        <v>560.97804183170035</v>
      </c>
      <c r="J65" s="282">
        <f t="shared" si="1"/>
        <v>7.646136080812059E-2</v>
      </c>
      <c r="K65" s="282">
        <f t="shared" si="2"/>
        <v>7.646136390431818E-2</v>
      </c>
      <c r="L65" s="308">
        <f t="shared" si="3"/>
        <v>1614.6070653812887</v>
      </c>
      <c r="M65" s="282">
        <f t="shared" si="4"/>
        <v>1199.5753523688513</v>
      </c>
      <c r="N65" s="308">
        <f t="shared" si="5"/>
        <v>5450.8536809632542</v>
      </c>
      <c r="O65" s="308">
        <f t="shared" si="6"/>
        <v>5450.8536809632542</v>
      </c>
      <c r="P65" s="308">
        <f t="shared" si="7"/>
        <v>818.05174779755396</v>
      </c>
      <c r="Q65" s="308">
        <f t="shared" si="8"/>
        <v>284.22338537890136</v>
      </c>
    </row>
    <row r="66" spans="4:18" x14ac:dyDescent="0.25">
      <c r="D66" s="282" t="s">
        <v>199</v>
      </c>
      <c r="E66" s="308">
        <v>7336.7520000000004</v>
      </c>
      <c r="F66" s="282">
        <v>0.8427</v>
      </c>
      <c r="G66" s="282">
        <v>0.8427</v>
      </c>
      <c r="H66" s="308">
        <v>472.7362</v>
      </c>
      <c r="I66" s="308">
        <f t="shared" si="0"/>
        <v>560.97804675447969</v>
      </c>
      <c r="J66" s="282">
        <f t="shared" si="1"/>
        <v>7.646136147909588E-2</v>
      </c>
      <c r="K66" s="282">
        <f t="shared" si="2"/>
        <v>7.646136390431818E-2</v>
      </c>
      <c r="L66" s="308">
        <f t="shared" si="3"/>
        <v>472.73621499437564</v>
      </c>
      <c r="M66" s="282">
        <f t="shared" si="4"/>
        <v>351.22025899563306</v>
      </c>
      <c r="N66" s="308">
        <f t="shared" si="5"/>
        <v>5450.8536809632551</v>
      </c>
      <c r="O66" s="308">
        <f t="shared" si="6"/>
        <v>5450.8536809632542</v>
      </c>
      <c r="P66" s="308">
        <f t="shared" si="7"/>
        <v>239.51504685880022</v>
      </c>
      <c r="Q66" s="308">
        <f t="shared" si="8"/>
        <v>284.22338537890141</v>
      </c>
    </row>
    <row r="67" spans="4:18" x14ac:dyDescent="0.25">
      <c r="D67" s="282" t="s">
        <v>197</v>
      </c>
      <c r="E67" s="308">
        <v>11787.442499999999</v>
      </c>
      <c r="F67" s="282">
        <v>0.90400000000000003</v>
      </c>
      <c r="G67" s="282">
        <v>1.4596</v>
      </c>
      <c r="H67" s="308">
        <v>1197.7860000000001</v>
      </c>
      <c r="I67" s="308" t="str">
        <f t="shared" si="0"/>
        <v/>
      </c>
      <c r="J67" s="282" t="b">
        <f t="shared" si="1"/>
        <v>0</v>
      </c>
      <c r="K67" s="282">
        <f t="shared" si="2"/>
        <v>7.646136390431818E-2</v>
      </c>
      <c r="L67" s="308">
        <f t="shared" si="3"/>
        <v>1315.5140249486424</v>
      </c>
      <c r="M67" s="282">
        <f t="shared" si="4"/>
        <v>977.36361611379164</v>
      </c>
      <c r="N67" s="308">
        <f t="shared" si="5"/>
        <v>8757.502548848277</v>
      </c>
      <c r="O67" s="308">
        <f t="shared" si="6"/>
        <v>8757.502548848277</v>
      </c>
      <c r="P67" s="308">
        <f t="shared" si="7"/>
        <v>666.51420672886593</v>
      </c>
      <c r="Q67" s="308">
        <f t="shared" si="8"/>
        <v>456.64168726285692</v>
      </c>
    </row>
    <row r="68" spans="4:18" x14ac:dyDescent="0.25">
      <c r="D68" s="282" t="s">
        <v>195</v>
      </c>
      <c r="E68" s="308">
        <v>11787.442499999999</v>
      </c>
      <c r="F68" s="282">
        <v>1.3541000000000001</v>
      </c>
      <c r="G68" s="282">
        <v>1.3541000000000001</v>
      </c>
      <c r="H68" s="308">
        <v>1220.4290000000001</v>
      </c>
      <c r="I68" s="308">
        <f t="shared" si="0"/>
        <v>901.28424783989362</v>
      </c>
      <c r="J68" s="282">
        <f t="shared" si="1"/>
        <v>7.6461390826711884E-2</v>
      </c>
      <c r="K68" s="282">
        <f t="shared" si="2"/>
        <v>7.646136390431818E-2</v>
      </c>
      <c r="L68" s="308">
        <f t="shared" si="3"/>
        <v>1220.4285702815544</v>
      </c>
      <c r="M68" s="282">
        <f t="shared" si="4"/>
        <v>906.71969894470089</v>
      </c>
      <c r="N68" s="308">
        <f t="shared" si="5"/>
        <v>8757.502548848277</v>
      </c>
      <c r="O68" s="308">
        <f t="shared" si="6"/>
        <v>8757.502548848277</v>
      </c>
      <c r="P68" s="308">
        <f t="shared" si="7"/>
        <v>618.33850872263463</v>
      </c>
      <c r="Q68" s="308">
        <f t="shared" si="8"/>
        <v>456.64168726285692</v>
      </c>
    </row>
    <row r="69" spans="4:18" x14ac:dyDescent="0.25">
      <c r="D69" s="282" t="s">
        <v>193</v>
      </c>
      <c r="E69" s="308">
        <v>30869.197499999998</v>
      </c>
      <c r="F69" s="282">
        <v>10.6821</v>
      </c>
      <c r="G69" s="282">
        <v>10.6821</v>
      </c>
      <c r="H69" s="308">
        <v>23457.83</v>
      </c>
      <c r="I69" s="308">
        <f t="shared" si="0"/>
        <v>2195.9942333436311</v>
      </c>
      <c r="J69" s="282">
        <f t="shared" si="1"/>
        <v>7.113868876389258E-2</v>
      </c>
      <c r="K69" s="282">
        <f t="shared" si="2"/>
        <v>7.646136390431818E-2</v>
      </c>
      <c r="L69" s="308">
        <f t="shared" si="3"/>
        <v>25212.970708366604</v>
      </c>
      <c r="M69" s="282">
        <f t="shared" si="4"/>
        <v>18732.023951977495</v>
      </c>
      <c r="N69" s="308">
        <f t="shared" si="5"/>
        <v>22934.328272409461</v>
      </c>
      <c r="O69" s="308">
        <f t="shared" si="6"/>
        <v>22934.328272409464</v>
      </c>
      <c r="P69" s="308">
        <f t="shared" si="7"/>
        <v>12774.324600318236</v>
      </c>
      <c r="Q69" s="308">
        <f t="shared" si="8"/>
        <v>1195.8626674828204</v>
      </c>
    </row>
    <row r="70" spans="4:18" x14ac:dyDescent="0.25">
      <c r="D70" s="282" t="s">
        <v>191</v>
      </c>
      <c r="E70" s="308">
        <v>15434.5988</v>
      </c>
      <c r="F70" s="282">
        <v>9.9384999999999994</v>
      </c>
      <c r="G70" s="282">
        <v>0.45069999999999999</v>
      </c>
      <c r="H70" s="308">
        <v>11728.91</v>
      </c>
      <c r="I70" s="308" t="str">
        <f t="shared" si="0"/>
        <v/>
      </c>
      <c r="J70" s="282" t="b">
        <f t="shared" si="1"/>
        <v>0</v>
      </c>
      <c r="K70" s="282">
        <f t="shared" si="2"/>
        <v>7.646136390431818E-2</v>
      </c>
      <c r="L70" s="308">
        <f t="shared" si="3"/>
        <v>531.89381933667346</v>
      </c>
      <c r="M70" s="282">
        <f t="shared" si="4"/>
        <v>395.17151227312991</v>
      </c>
      <c r="N70" s="308">
        <f t="shared" si="5"/>
        <v>11467.164173352325</v>
      </c>
      <c r="O70" s="308">
        <f t="shared" si="6"/>
        <v>11467.164173352327</v>
      </c>
      <c r="P70" s="308">
        <f t="shared" si="7"/>
        <v>269.48765299025217</v>
      </c>
      <c r="Q70" s="308">
        <f t="shared" si="8"/>
        <v>597.93133567839402</v>
      </c>
    </row>
    <row r="71" spans="4:18" x14ac:dyDescent="0.25">
      <c r="D71" s="282" t="s">
        <v>189</v>
      </c>
      <c r="E71" s="308">
        <v>7717.2993999999999</v>
      </c>
      <c r="F71" s="282">
        <v>0.77349999999999997</v>
      </c>
      <c r="G71" s="282">
        <v>0.97140000000000004</v>
      </c>
      <c r="H71" s="308">
        <v>572.44619999999998</v>
      </c>
      <c r="I71" s="308" t="str">
        <f t="shared" si="0"/>
        <v/>
      </c>
      <c r="J71" s="282" t="b">
        <f t="shared" si="1"/>
        <v>0</v>
      </c>
      <c r="K71" s="282">
        <f t="shared" si="2"/>
        <v>7.646136390431818E-2</v>
      </c>
      <c r="L71" s="308">
        <f t="shared" si="3"/>
        <v>573.19908598141183</v>
      </c>
      <c r="M71" s="282">
        <f t="shared" si="4"/>
        <v>425.85933772145376</v>
      </c>
      <c r="N71" s="308">
        <f t="shared" si="5"/>
        <v>5733.5820866761624</v>
      </c>
      <c r="O71" s="308">
        <f t="shared" si="6"/>
        <v>5733.5820866761633</v>
      </c>
      <c r="P71" s="308">
        <f t="shared" si="7"/>
        <v>290.41524973899595</v>
      </c>
      <c r="Q71" s="308">
        <f t="shared" si="8"/>
        <v>298.96566783919695</v>
      </c>
    </row>
    <row r="73" spans="4:18" x14ac:dyDescent="0.25">
      <c r="D73" s="282" t="s">
        <v>116</v>
      </c>
      <c r="L73" s="308">
        <f>SUM(L58:L71)</f>
        <v>46759.860589679658</v>
      </c>
      <c r="M73" s="308">
        <f>SUM(M58:M71)</f>
        <v>34740.326266525575</v>
      </c>
      <c r="P73" s="308">
        <f>SUM(P58:P71)</f>
        <v>23691.204195941151</v>
      </c>
    </row>
    <row r="74" spans="4:18" x14ac:dyDescent="0.25">
      <c r="D74" s="282" t="s">
        <v>558</v>
      </c>
      <c r="M74" s="308">
        <f>G9</f>
        <v>34740.326266525561</v>
      </c>
      <c r="P74" s="308">
        <f>G14</f>
        <v>23691.204195941154</v>
      </c>
    </row>
    <row r="76" spans="4:18" x14ac:dyDescent="0.25">
      <c r="E76" s="315" t="s">
        <v>129</v>
      </c>
      <c r="F76" s="315"/>
      <c r="G76" s="315"/>
      <c r="H76" s="315"/>
      <c r="I76" s="315"/>
      <c r="J76" s="315"/>
      <c r="K76" s="315"/>
      <c r="L76" s="315"/>
      <c r="M76" s="315">
        <v>2012</v>
      </c>
      <c r="N76" s="315" t="s">
        <v>1742</v>
      </c>
      <c r="O76" s="315"/>
      <c r="P76" s="315"/>
      <c r="Q76" s="315" t="s">
        <v>1749</v>
      </c>
    </row>
    <row r="77" spans="4:18" x14ac:dyDescent="0.25">
      <c r="D77" s="282" t="s">
        <v>217</v>
      </c>
      <c r="F77" s="282">
        <v>34.200000000000003</v>
      </c>
      <c r="G77" s="282">
        <f>F77</f>
        <v>34.200000000000003</v>
      </c>
      <c r="K77" s="282">
        <f>PMT($K$56,$K$55,-1,0,1)</f>
        <v>7.646136390431818E-2</v>
      </c>
      <c r="N77" s="318">
        <f>M78/K77/G77</f>
        <v>3924.3313635870418</v>
      </c>
      <c r="Q77" s="322">
        <f>P78/G77</f>
        <v>204.62606607891979</v>
      </c>
    </row>
    <row r="78" spans="4:18" x14ac:dyDescent="0.25">
      <c r="D78" s="282" t="s">
        <v>558</v>
      </c>
      <c r="M78" s="308">
        <f>G8</f>
        <v>10262.042713754645</v>
      </c>
      <c r="P78" s="308">
        <f>G13</f>
        <v>6998.2114598990574</v>
      </c>
    </row>
    <row r="80" spans="4:18" x14ac:dyDescent="0.25">
      <c r="E80" s="325" t="s">
        <v>1488</v>
      </c>
      <c r="F80" s="315"/>
      <c r="G80" s="315"/>
      <c r="H80" s="315"/>
      <c r="I80" s="315"/>
      <c r="J80" s="315"/>
      <c r="K80" s="315"/>
      <c r="L80" s="315"/>
      <c r="M80" s="315"/>
      <c r="N80" s="315"/>
      <c r="O80" s="315"/>
      <c r="P80" s="315"/>
      <c r="Q80" s="315"/>
      <c r="R80" s="315"/>
    </row>
    <row r="81" spans="4:27" s="324" customFormat="1" ht="60" x14ac:dyDescent="0.25">
      <c r="E81" s="325" t="s">
        <v>1748</v>
      </c>
      <c r="F81" s="325" t="s">
        <v>1747</v>
      </c>
      <c r="G81" s="325" t="s">
        <v>1746</v>
      </c>
      <c r="H81" s="325" t="s">
        <v>1745</v>
      </c>
      <c r="I81" s="325" t="s">
        <v>1744</v>
      </c>
      <c r="J81" s="325" t="s">
        <v>1743</v>
      </c>
      <c r="K81" s="325" t="s">
        <v>1742</v>
      </c>
      <c r="L81" s="325" t="s">
        <v>1741</v>
      </c>
      <c r="M81" s="325" t="s">
        <v>1740</v>
      </c>
      <c r="N81" s="325" t="s">
        <v>1739</v>
      </c>
      <c r="O81" s="325" t="s">
        <v>1738</v>
      </c>
      <c r="P81" s="324" t="s">
        <v>1737</v>
      </c>
      <c r="Q81" s="324" t="s">
        <v>1736</v>
      </c>
      <c r="R81" s="324" t="s">
        <v>120</v>
      </c>
      <c r="S81" s="324" t="s">
        <v>1735</v>
      </c>
    </row>
    <row r="82" spans="4:27" x14ac:dyDescent="0.25">
      <c r="D82" s="282" t="s">
        <v>285</v>
      </c>
      <c r="E82" s="313">
        <v>22451</v>
      </c>
      <c r="F82" s="282">
        <f>INDEX(ProcDataGenPre2012!$AI$9:$AI$30,MATCH(D82,ProcDataGenPre2012!$B$9:$B$30,0))</f>
        <v>1.58</v>
      </c>
      <c r="G82" s="282">
        <f>INDEX(ProcDataGenPre2012!$M$9:$M$30,MATCH(D82,ProcDataGenPre2012!$B$9:$B$30,0))</f>
        <v>50</v>
      </c>
      <c r="H82" s="323">
        <f t="shared" ref="H82:H103" si="9">PMT($K$56,G82,-1,0,1)</f>
        <v>7.7287852981086286E-2</v>
      </c>
      <c r="I82" s="322">
        <f t="shared" ref="I82:I103" si="10">E82*F82*H82</f>
        <v>2741.599547899822</v>
      </c>
      <c r="J82" s="308">
        <f t="shared" ref="J82:J103" si="11">I82*$I$107</f>
        <v>516.47738606844553</v>
      </c>
      <c r="K82" s="318">
        <f t="shared" ref="K82:K103" si="12">J82/H82/F82</f>
        <v>4229.441095255961</v>
      </c>
      <c r="L82" s="282">
        <v>9.89</v>
      </c>
      <c r="M82" s="308">
        <f t="shared" ref="M82:M103" si="13">F82*L82</f>
        <v>15.626200000000001</v>
      </c>
      <c r="N82" s="318">
        <f t="shared" ref="N82:N103" si="14">M82*$M$107</f>
        <v>5.723208413152256</v>
      </c>
      <c r="O82" s="318">
        <f t="shared" ref="O82:O103" si="15">N82/F82</f>
        <v>3.6222838057925668</v>
      </c>
      <c r="P82" s="282">
        <v>0</v>
      </c>
      <c r="Q82" s="282">
        <f t="shared" ref="Q82:Q103" si="16">P82*$M$107</f>
        <v>0</v>
      </c>
      <c r="R82" s="282">
        <v>0</v>
      </c>
      <c r="S82" s="311">
        <f t="shared" ref="S82:S103" si="17">R82*$M$107</f>
        <v>0</v>
      </c>
      <c r="Z82" s="282">
        <v>2011</v>
      </c>
      <c r="AA82" s="282">
        <v>2012</v>
      </c>
    </row>
    <row r="83" spans="4:27" x14ac:dyDescent="0.25">
      <c r="D83" s="282" t="s">
        <v>291</v>
      </c>
      <c r="E83" s="313">
        <v>22781.423999999999</v>
      </c>
      <c r="F83" s="282">
        <f>INDEX(ProcDataGenPre2012!$AI$9:$AI$30,MATCH(D83,ProcDataGenPre2012!$B$9:$B$30,0))</f>
        <v>0.66500000000000004</v>
      </c>
      <c r="G83" s="282">
        <f>INDEX(ProcDataGenPre2012!$M$9:$M$30,MATCH(D83,ProcDataGenPre2012!$B$9:$B$30,0))</f>
        <v>50</v>
      </c>
      <c r="H83" s="323">
        <f t="shared" si="9"/>
        <v>7.7287852981086286E-2</v>
      </c>
      <c r="I83" s="322">
        <f t="shared" si="10"/>
        <v>1170.8836869598408</v>
      </c>
      <c r="J83" s="308">
        <f t="shared" si="11"/>
        <v>220.57741674726148</v>
      </c>
      <c r="K83" s="318">
        <f t="shared" si="12"/>
        <v>4291.6881597278716</v>
      </c>
      <c r="L83" s="282">
        <v>91.438000000000002</v>
      </c>
      <c r="M83" s="308">
        <f t="shared" si="13"/>
        <v>60.806270000000005</v>
      </c>
      <c r="N83" s="318">
        <f t="shared" si="14"/>
        <v>22.270734793897919</v>
      </c>
      <c r="O83" s="318">
        <f t="shared" si="15"/>
        <v>33.489826757741227</v>
      </c>
      <c r="P83" s="282">
        <v>0</v>
      </c>
      <c r="Q83" s="282">
        <f t="shared" si="16"/>
        <v>0</v>
      </c>
      <c r="R83" s="282">
        <v>0</v>
      </c>
      <c r="S83" s="311">
        <f t="shared" si="17"/>
        <v>0</v>
      </c>
      <c r="Y83" s="282" t="s">
        <v>267</v>
      </c>
      <c r="AA83" s="282">
        <v>30</v>
      </c>
    </row>
    <row r="84" spans="4:27" x14ac:dyDescent="0.25">
      <c r="D84" s="282" t="s">
        <v>289</v>
      </c>
      <c r="E84" s="313">
        <v>22781.423999999999</v>
      </c>
      <c r="F84" s="282">
        <f>INDEX(ProcDataGenPre2012!$AI$9:$AI$30,MATCH(D84,ProcDataGenPre2012!$B$9:$B$30,0))</f>
        <v>1.5</v>
      </c>
      <c r="G84" s="282">
        <f>INDEX(ProcDataGenPre2012!$M$9:$M$30,MATCH(D84,ProcDataGenPre2012!$B$9:$B$30,0))</f>
        <v>50</v>
      </c>
      <c r="H84" s="323">
        <f t="shared" si="9"/>
        <v>7.7287852981086286E-2</v>
      </c>
      <c r="I84" s="322">
        <f t="shared" si="10"/>
        <v>2641.0910232176857</v>
      </c>
      <c r="J84" s="308">
        <f t="shared" si="11"/>
        <v>497.54304529457465</v>
      </c>
      <c r="K84" s="318">
        <f t="shared" si="12"/>
        <v>4291.6881597278707</v>
      </c>
      <c r="L84" s="282">
        <v>91.438000000000002</v>
      </c>
      <c r="M84" s="308">
        <f t="shared" si="13"/>
        <v>137.15700000000001</v>
      </c>
      <c r="N84" s="318">
        <f t="shared" si="14"/>
        <v>50.23474013661184</v>
      </c>
      <c r="O84" s="318">
        <f t="shared" si="15"/>
        <v>33.489826757741227</v>
      </c>
      <c r="P84" s="282">
        <v>0</v>
      </c>
      <c r="Q84" s="282">
        <f t="shared" si="16"/>
        <v>0</v>
      </c>
      <c r="R84" s="282">
        <v>0</v>
      </c>
      <c r="S84" s="311">
        <f t="shared" si="17"/>
        <v>0</v>
      </c>
      <c r="Y84" s="282" t="s">
        <v>317</v>
      </c>
      <c r="Z84" s="282">
        <v>10</v>
      </c>
      <c r="AA84" s="282">
        <v>10</v>
      </c>
    </row>
    <row r="85" spans="4:27" x14ac:dyDescent="0.25">
      <c r="D85" s="282" t="s">
        <v>317</v>
      </c>
      <c r="E85" s="313">
        <v>38904</v>
      </c>
      <c r="F85" s="282">
        <f>INDEX(ProcDataGenPre2012!$AI$9:$AI$30,MATCH(D85,ProcDataGenPre2012!$B$9:$B$30,0))</f>
        <v>2.2320000000000002</v>
      </c>
      <c r="G85" s="282">
        <f>INDEX(ProcDataGenPre2012!$M$9:$M$30,MATCH(D85,ProcDataGenPre2012!$B$9:$B$30,0))</f>
        <v>30</v>
      </c>
      <c r="H85" s="323">
        <f t="shared" si="9"/>
        <v>8.3649631192199009E-2</v>
      </c>
      <c r="I85" s="322">
        <f t="shared" si="10"/>
        <v>7263.6093222437248</v>
      </c>
      <c r="J85" s="308">
        <f t="shared" si="11"/>
        <v>1368.3581028632093</v>
      </c>
      <c r="K85" s="318">
        <f t="shared" si="12"/>
        <v>7328.9464331137997</v>
      </c>
      <c r="L85" s="282">
        <v>845</v>
      </c>
      <c r="M85" s="308">
        <f t="shared" si="13"/>
        <v>1886.0400000000002</v>
      </c>
      <c r="N85" s="318">
        <f t="shared" si="14"/>
        <v>690.77574813721071</v>
      </c>
      <c r="O85" s="318">
        <f t="shared" si="15"/>
        <v>309.48734235538109</v>
      </c>
      <c r="P85" s="282">
        <v>993.75189999999998</v>
      </c>
      <c r="Q85" s="282">
        <f t="shared" si="16"/>
        <v>363.96879821492359</v>
      </c>
      <c r="R85" s="282">
        <v>20.277799999999999</v>
      </c>
      <c r="S85" s="311">
        <f t="shared" si="17"/>
        <v>7.4268904506673925</v>
      </c>
      <c r="Y85" s="282" t="s">
        <v>323</v>
      </c>
      <c r="Z85" s="282">
        <v>10</v>
      </c>
      <c r="AA85" s="282">
        <v>10</v>
      </c>
    </row>
    <row r="86" spans="4:27" x14ac:dyDescent="0.25">
      <c r="D86" s="282" t="s">
        <v>323</v>
      </c>
      <c r="E86" s="313">
        <v>38904</v>
      </c>
      <c r="F86" s="282">
        <f>INDEX(ProcDataGenPre2012!$AI$9:$AI$30,MATCH(D86,ProcDataGenPre2012!$B$9:$B$30,0))</f>
        <v>1.45</v>
      </c>
      <c r="G86" s="282">
        <f>INDEX(ProcDataGenPre2012!$M$9:$M$30,MATCH(D86,ProcDataGenPre2012!$B$9:$B$30,0))</f>
        <v>30</v>
      </c>
      <c r="H86" s="323">
        <f t="shared" si="9"/>
        <v>8.3649631192199009E-2</v>
      </c>
      <c r="I86" s="322">
        <f t="shared" si="10"/>
        <v>4718.7426152568996</v>
      </c>
      <c r="J86" s="308">
        <f t="shared" si="11"/>
        <v>888.94231592816004</v>
      </c>
      <c r="K86" s="318">
        <f t="shared" si="12"/>
        <v>7328.9464331138006</v>
      </c>
      <c r="L86" s="282">
        <v>845</v>
      </c>
      <c r="M86" s="308">
        <f t="shared" si="13"/>
        <v>1225.25</v>
      </c>
      <c r="N86" s="318">
        <f t="shared" si="14"/>
        <v>448.75664641530255</v>
      </c>
      <c r="O86" s="318">
        <f t="shared" si="15"/>
        <v>309.48734235538109</v>
      </c>
      <c r="P86" s="282">
        <v>680.4067</v>
      </c>
      <c r="Q86" s="282">
        <f t="shared" si="16"/>
        <v>249.20385953111844</v>
      </c>
      <c r="R86" s="282">
        <v>20.277799999999999</v>
      </c>
      <c r="S86" s="311">
        <f t="shared" si="17"/>
        <v>7.4268904506673925</v>
      </c>
      <c r="Y86" s="282" t="s">
        <v>315</v>
      </c>
      <c r="Z86" s="282">
        <v>9</v>
      </c>
      <c r="AA86" s="282">
        <v>9</v>
      </c>
    </row>
    <row r="87" spans="4:27" x14ac:dyDescent="0.25">
      <c r="D87" s="282" t="s">
        <v>315</v>
      </c>
      <c r="E87" s="313">
        <v>38904</v>
      </c>
      <c r="F87" s="282">
        <f>INDEX(ProcDataGenPre2012!$AI$9:$AI$30,MATCH(D87,ProcDataGenPre2012!$B$9:$B$30,0))</f>
        <v>3.45</v>
      </c>
      <c r="G87" s="282">
        <f>INDEX(ProcDataGenPre2012!$M$9:$M$30,MATCH(D87,ProcDataGenPre2012!$B$9:$B$30,0))</f>
        <v>30</v>
      </c>
      <c r="H87" s="323">
        <f t="shared" si="9"/>
        <v>8.3649631192199009E-2</v>
      </c>
      <c r="I87" s="322">
        <f t="shared" si="10"/>
        <v>11227.353119059522</v>
      </c>
      <c r="J87" s="308">
        <f t="shared" si="11"/>
        <v>2115.0696482428639</v>
      </c>
      <c r="K87" s="318">
        <f t="shared" si="12"/>
        <v>7328.9464331137997</v>
      </c>
      <c r="L87" s="282">
        <v>845</v>
      </c>
      <c r="M87" s="308">
        <f t="shared" si="13"/>
        <v>2915.25</v>
      </c>
      <c r="N87" s="318">
        <f t="shared" si="14"/>
        <v>1067.7313311260648</v>
      </c>
      <c r="O87" s="318">
        <f t="shared" si="15"/>
        <v>309.48734235538109</v>
      </c>
      <c r="P87" s="282">
        <v>1557.7729999999999</v>
      </c>
      <c r="Q87" s="282">
        <f t="shared" si="16"/>
        <v>570.54559261889824</v>
      </c>
      <c r="R87" s="282">
        <v>20.277799999999999</v>
      </c>
      <c r="S87" s="311">
        <f t="shared" si="17"/>
        <v>7.4268904506673925</v>
      </c>
      <c r="Y87" s="282" t="s">
        <v>321</v>
      </c>
      <c r="Z87" s="282">
        <v>10</v>
      </c>
      <c r="AA87" s="282">
        <v>10</v>
      </c>
    </row>
    <row r="88" spans="4:27" x14ac:dyDescent="0.25">
      <c r="D88" s="282" t="s">
        <v>321</v>
      </c>
      <c r="E88" s="313">
        <v>38904</v>
      </c>
      <c r="F88" s="282">
        <f>INDEX(ProcDataGenPre2012!$AI$9:$AI$30,MATCH(D88,ProcDataGenPre2012!$B$9:$B$30,0))</f>
        <v>1.0900000000000001</v>
      </c>
      <c r="G88" s="282">
        <f>INDEX(ProcDataGenPre2012!$M$9:$M$30,MATCH(D88,ProcDataGenPre2012!$B$9:$B$30,0))</f>
        <v>30</v>
      </c>
      <c r="H88" s="323">
        <f t="shared" si="9"/>
        <v>8.3649631192199009E-2</v>
      </c>
      <c r="I88" s="322">
        <f t="shared" si="10"/>
        <v>3547.1927245724282</v>
      </c>
      <c r="J88" s="308">
        <f t="shared" si="11"/>
        <v>668.23939611151343</v>
      </c>
      <c r="K88" s="318">
        <f t="shared" si="12"/>
        <v>7328.9464331137997</v>
      </c>
      <c r="L88" s="282">
        <v>845</v>
      </c>
      <c r="M88" s="308">
        <f t="shared" si="13"/>
        <v>921.05000000000007</v>
      </c>
      <c r="N88" s="318">
        <f t="shared" si="14"/>
        <v>337.34120316736539</v>
      </c>
      <c r="O88" s="318">
        <f t="shared" si="15"/>
        <v>309.48734235538109</v>
      </c>
      <c r="P88" s="282">
        <v>483.44690000000003</v>
      </c>
      <c r="Q88" s="282">
        <f t="shared" si="16"/>
        <v>177.06591272301503</v>
      </c>
      <c r="R88" s="282">
        <v>20.277799999999999</v>
      </c>
      <c r="S88" s="311">
        <f t="shared" si="17"/>
        <v>7.4268904506673925</v>
      </c>
      <c r="Y88" s="282" t="s">
        <v>313</v>
      </c>
      <c r="Z88" s="282">
        <v>10</v>
      </c>
      <c r="AA88" s="282">
        <v>10</v>
      </c>
    </row>
    <row r="89" spans="4:27" x14ac:dyDescent="0.25">
      <c r="D89" s="282" t="s">
        <v>313</v>
      </c>
      <c r="E89" s="313">
        <v>38904</v>
      </c>
      <c r="F89" s="282">
        <f>INDEX(ProcDataGenPre2012!$AI$9:$AI$30,MATCH(D89,ProcDataGenPre2012!$B$9:$B$30,0))</f>
        <v>1.865</v>
      </c>
      <c r="G89" s="282">
        <f>INDEX(ProcDataGenPre2012!$M$9:$M$30,MATCH(D89,ProcDataGenPre2012!$B$9:$B$30,0))</f>
        <v>30</v>
      </c>
      <c r="H89" s="323">
        <f t="shared" si="9"/>
        <v>8.3649631192199009E-2</v>
      </c>
      <c r="I89" s="322">
        <f t="shared" si="10"/>
        <v>6069.2792947959442</v>
      </c>
      <c r="J89" s="308">
        <f t="shared" si="11"/>
        <v>1143.3637373834613</v>
      </c>
      <c r="K89" s="318">
        <f t="shared" si="12"/>
        <v>7328.9464331138006</v>
      </c>
      <c r="L89" s="282">
        <v>845</v>
      </c>
      <c r="M89" s="308">
        <f t="shared" si="13"/>
        <v>1575.925</v>
      </c>
      <c r="N89" s="318">
        <f t="shared" si="14"/>
        <v>577.19389349278572</v>
      </c>
      <c r="O89" s="318">
        <f t="shared" si="15"/>
        <v>309.48734235538109</v>
      </c>
      <c r="P89" s="282">
        <v>850.50840000000005</v>
      </c>
      <c r="Q89" s="282">
        <f t="shared" si="16"/>
        <v>311.50483357032829</v>
      </c>
      <c r="R89" s="282">
        <v>20.277799999999999</v>
      </c>
      <c r="S89" s="311">
        <f t="shared" si="17"/>
        <v>7.4268904506673925</v>
      </c>
      <c r="Y89" s="282" t="s">
        <v>1334</v>
      </c>
      <c r="AA89" s="282">
        <v>30</v>
      </c>
    </row>
    <row r="90" spans="4:27" x14ac:dyDescent="0.25">
      <c r="D90" s="282" t="s">
        <v>295</v>
      </c>
      <c r="E90" s="313">
        <v>38904</v>
      </c>
      <c r="F90" s="282">
        <f>INDEX(ProcDataGenPre2012!$AI$9:$AI$30,MATCH(D90,ProcDataGenPre2012!$B$9:$B$30,0))</f>
        <v>0.6</v>
      </c>
      <c r="G90" s="282">
        <f>INDEX(ProcDataGenPre2012!$M$9:$M$30,MATCH(D90,ProcDataGenPre2012!$B$9:$B$30,0))</f>
        <v>30</v>
      </c>
      <c r="H90" s="323">
        <f t="shared" si="9"/>
        <v>8.3649631192199009E-2</v>
      </c>
      <c r="I90" s="322">
        <f t="shared" si="10"/>
        <v>1952.583151140786</v>
      </c>
      <c r="J90" s="308">
        <f t="shared" si="11"/>
        <v>367.838199694411</v>
      </c>
      <c r="K90" s="318">
        <f t="shared" si="12"/>
        <v>7328.9464331137988</v>
      </c>
      <c r="L90" s="282">
        <v>845</v>
      </c>
      <c r="M90" s="308">
        <f t="shared" si="13"/>
        <v>507</v>
      </c>
      <c r="N90" s="318">
        <f t="shared" si="14"/>
        <v>185.69240541322864</v>
      </c>
      <c r="O90" s="318">
        <f t="shared" si="15"/>
        <v>309.48734235538109</v>
      </c>
      <c r="P90" s="282">
        <v>30.581</v>
      </c>
      <c r="Q90" s="282">
        <f t="shared" si="16"/>
        <v>11.200511735585691</v>
      </c>
      <c r="R90" s="282">
        <v>20.277799999999999</v>
      </c>
      <c r="S90" s="311">
        <f t="shared" si="17"/>
        <v>7.4268904506673925</v>
      </c>
      <c r="Y90" s="282" t="s">
        <v>1332</v>
      </c>
      <c r="AA90" s="282">
        <v>10</v>
      </c>
    </row>
    <row r="91" spans="4:27" x14ac:dyDescent="0.25">
      <c r="D91" s="282" t="s">
        <v>311</v>
      </c>
      <c r="E91" s="313">
        <v>38904</v>
      </c>
      <c r="F91" s="282">
        <f>INDEX(ProcDataGenPre2012!$AI$9:$AI$30,MATCH(D91,ProcDataGenPre2012!$B$9:$B$30,0))</f>
        <v>3.84</v>
      </c>
      <c r="G91" s="282">
        <f>INDEX(ProcDataGenPre2012!$M$9:$M$30,MATCH(D91,ProcDataGenPre2012!$B$9:$B$30,0))</f>
        <v>30</v>
      </c>
      <c r="H91" s="323">
        <f t="shared" si="9"/>
        <v>8.3649631192199009E-2</v>
      </c>
      <c r="I91" s="322">
        <f t="shared" si="10"/>
        <v>12496.532167301029</v>
      </c>
      <c r="J91" s="308">
        <f t="shared" si="11"/>
        <v>2354.1644780442302</v>
      </c>
      <c r="K91" s="318">
        <f t="shared" si="12"/>
        <v>7328.9464331137988</v>
      </c>
      <c r="L91" s="282">
        <v>845</v>
      </c>
      <c r="M91" s="308">
        <f t="shared" si="13"/>
        <v>3244.7999999999997</v>
      </c>
      <c r="N91" s="318">
        <f t="shared" si="14"/>
        <v>1188.4313946446632</v>
      </c>
      <c r="O91" s="318">
        <f t="shared" si="15"/>
        <v>309.48734235538103</v>
      </c>
      <c r="P91" s="282">
        <v>1718.922</v>
      </c>
      <c r="Q91" s="282">
        <f t="shared" si="16"/>
        <v>629.56757573514369</v>
      </c>
      <c r="R91" s="282">
        <v>20.277799999999999</v>
      </c>
      <c r="S91" s="311">
        <f t="shared" si="17"/>
        <v>7.4268904506673925</v>
      </c>
      <c r="Y91" s="282" t="s">
        <v>295</v>
      </c>
      <c r="Z91" s="282">
        <v>10</v>
      </c>
      <c r="AA91" s="282">
        <v>10</v>
      </c>
    </row>
    <row r="92" spans="4:27" x14ac:dyDescent="0.25">
      <c r="D92" s="282" t="s">
        <v>319</v>
      </c>
      <c r="E92" s="313">
        <v>38904</v>
      </c>
      <c r="F92" s="282">
        <f>INDEX(ProcDataGenPre2012!$AI$9:$AI$30,MATCH(D92,ProcDataGenPre2012!$B$9:$B$30,0))</f>
        <v>0.79100000000000004</v>
      </c>
      <c r="G92" s="282">
        <f>INDEX(ProcDataGenPre2012!$M$9:$M$30,MATCH(D92,ProcDataGenPre2012!$B$9:$B$30,0))</f>
        <v>30</v>
      </c>
      <c r="H92" s="323">
        <f t="shared" si="9"/>
        <v>8.3649631192199009E-2</v>
      </c>
      <c r="I92" s="322">
        <f t="shared" si="10"/>
        <v>2574.1554542539366</v>
      </c>
      <c r="J92" s="308">
        <f t="shared" si="11"/>
        <v>484.93335993046531</v>
      </c>
      <c r="K92" s="318">
        <f t="shared" si="12"/>
        <v>7328.9464331138006</v>
      </c>
      <c r="L92" s="282">
        <v>845</v>
      </c>
      <c r="M92" s="308">
        <f t="shared" si="13"/>
        <v>668.39499999999998</v>
      </c>
      <c r="N92" s="318">
        <f t="shared" si="14"/>
        <v>244.80448780310644</v>
      </c>
      <c r="O92" s="318">
        <f t="shared" si="15"/>
        <v>309.48734235538109</v>
      </c>
      <c r="P92" s="282">
        <v>358.10879999999997</v>
      </c>
      <c r="Q92" s="282">
        <f t="shared" si="16"/>
        <v>131.15992992434875</v>
      </c>
      <c r="R92" s="282">
        <v>20.277799999999999</v>
      </c>
      <c r="S92" s="311">
        <f t="shared" si="17"/>
        <v>7.4268904506673925</v>
      </c>
      <c r="Y92" s="282" t="s">
        <v>311</v>
      </c>
      <c r="Z92" s="282">
        <v>16</v>
      </c>
      <c r="AA92" s="282">
        <v>16</v>
      </c>
    </row>
    <row r="93" spans="4:27" x14ac:dyDescent="0.25">
      <c r="D93" s="282" t="s">
        <v>309</v>
      </c>
      <c r="E93" s="313">
        <v>38904</v>
      </c>
      <c r="F93" s="282">
        <f>INDEX(ProcDataGenPre2012!$AI$9:$AI$30,MATCH(D93,ProcDataGenPre2012!$B$9:$B$30,0))</f>
        <v>2.85</v>
      </c>
      <c r="G93" s="282">
        <f>INDEX(ProcDataGenPre2012!$M$9:$M$30,MATCH(D93,ProcDataGenPre2012!$B$9:$B$30,0))</f>
        <v>30</v>
      </c>
      <c r="H93" s="323">
        <f t="shared" si="9"/>
        <v>8.3649631192199009E-2</v>
      </c>
      <c r="I93" s="322">
        <f t="shared" si="10"/>
        <v>9274.7699679187353</v>
      </c>
      <c r="J93" s="308">
        <f t="shared" si="11"/>
        <v>1747.2314485484528</v>
      </c>
      <c r="K93" s="318">
        <f t="shared" si="12"/>
        <v>7328.9464331138006</v>
      </c>
      <c r="L93" s="282">
        <v>845</v>
      </c>
      <c r="M93" s="308">
        <f t="shared" si="13"/>
        <v>2408.25</v>
      </c>
      <c r="N93" s="318">
        <f t="shared" si="14"/>
        <v>882.03892571283609</v>
      </c>
      <c r="O93" s="318">
        <f t="shared" si="15"/>
        <v>309.48734235538109</v>
      </c>
      <c r="P93" s="282">
        <v>1289.192</v>
      </c>
      <c r="Q93" s="282">
        <f t="shared" si="16"/>
        <v>472.1758649299627</v>
      </c>
      <c r="R93" s="282">
        <v>20.277799999999999</v>
      </c>
      <c r="S93" s="311">
        <f t="shared" si="17"/>
        <v>7.4268904506673925</v>
      </c>
      <c r="Y93" s="282" t="s">
        <v>319</v>
      </c>
      <c r="Z93" s="282">
        <v>10</v>
      </c>
      <c r="AA93" s="282">
        <v>10</v>
      </c>
    </row>
    <row r="94" spans="4:27" x14ac:dyDescent="0.25">
      <c r="D94" s="282" t="s">
        <v>307</v>
      </c>
      <c r="E94" s="313">
        <v>38904</v>
      </c>
      <c r="F94" s="282">
        <f>INDEX(ProcDataGenPre2012!$AI$9:$AI$30,MATCH(D94,ProcDataGenPre2012!$B$9:$B$30,0))</f>
        <v>3.5579999999999998</v>
      </c>
      <c r="G94" s="282">
        <f>INDEX(ProcDataGenPre2012!$M$9:$M$30,MATCH(D94,ProcDataGenPre2012!$B$9:$B$30,0))</f>
        <v>30</v>
      </c>
      <c r="H94" s="323">
        <f t="shared" si="9"/>
        <v>8.3649631192199009E-2</v>
      </c>
      <c r="I94" s="322">
        <f t="shared" si="10"/>
        <v>11578.818086264862</v>
      </c>
      <c r="J94" s="308">
        <f t="shared" si="11"/>
        <v>2181.2805241878577</v>
      </c>
      <c r="K94" s="318">
        <f t="shared" si="12"/>
        <v>7328.9464331138006</v>
      </c>
      <c r="L94" s="282">
        <v>845</v>
      </c>
      <c r="M94" s="308">
        <f t="shared" si="13"/>
        <v>3006.5099999999998</v>
      </c>
      <c r="N94" s="318">
        <f t="shared" si="14"/>
        <v>1101.1559641004458</v>
      </c>
      <c r="O94" s="318">
        <f t="shared" si="15"/>
        <v>309.48734235538109</v>
      </c>
      <c r="P94" s="282">
        <v>1584.6310000000001</v>
      </c>
      <c r="Q94" s="282">
        <f t="shared" si="16"/>
        <v>580.38252876207093</v>
      </c>
      <c r="R94" s="282">
        <v>20.277799999999999</v>
      </c>
      <c r="S94" s="311">
        <f t="shared" si="17"/>
        <v>7.4268904506673925</v>
      </c>
      <c r="Y94" s="282" t="s">
        <v>309</v>
      </c>
      <c r="Z94" s="282">
        <v>10</v>
      </c>
      <c r="AA94" s="282">
        <v>10</v>
      </c>
    </row>
    <row r="95" spans="4:27" x14ac:dyDescent="0.25">
      <c r="D95" s="282" t="s">
        <v>305</v>
      </c>
      <c r="E95" s="313">
        <v>38904</v>
      </c>
      <c r="F95" s="282">
        <f>INDEX(ProcDataGenPre2012!$AI$9:$AI$30,MATCH(D95,ProcDataGenPre2012!$B$9:$B$30,0))</f>
        <v>1.8330000000000002</v>
      </c>
      <c r="G95" s="282">
        <f>INDEX(ProcDataGenPre2012!$M$9:$M$30,MATCH(D95,ProcDataGenPre2012!$B$9:$B$30,0))</f>
        <v>30</v>
      </c>
      <c r="H95" s="323">
        <f t="shared" si="9"/>
        <v>8.3649631192199009E-2</v>
      </c>
      <c r="I95" s="322">
        <f t="shared" si="10"/>
        <v>5965.1415267351022</v>
      </c>
      <c r="J95" s="308">
        <f t="shared" si="11"/>
        <v>1123.7457000664258</v>
      </c>
      <c r="K95" s="318">
        <f t="shared" si="12"/>
        <v>7328.9464331137988</v>
      </c>
      <c r="L95" s="282">
        <v>845</v>
      </c>
      <c r="M95" s="308">
        <f t="shared" si="13"/>
        <v>1548.8850000000002</v>
      </c>
      <c r="N95" s="318">
        <f t="shared" si="14"/>
        <v>567.29029853741361</v>
      </c>
      <c r="O95" s="318">
        <f t="shared" si="15"/>
        <v>309.48734235538109</v>
      </c>
      <c r="P95" s="282">
        <v>819.1739</v>
      </c>
      <c r="Q95" s="282">
        <f t="shared" si="16"/>
        <v>300.02834702709197</v>
      </c>
      <c r="R95" s="282">
        <v>20.277799999999999</v>
      </c>
      <c r="S95" s="311">
        <f t="shared" si="17"/>
        <v>7.4268904506673925</v>
      </c>
      <c r="Y95" s="282" t="s">
        <v>307</v>
      </c>
      <c r="Z95" s="282">
        <v>15</v>
      </c>
      <c r="AA95" s="282">
        <v>15</v>
      </c>
    </row>
    <row r="96" spans="4:27" x14ac:dyDescent="0.25">
      <c r="D96" s="282" t="s">
        <v>303</v>
      </c>
      <c r="E96" s="313">
        <v>38904</v>
      </c>
      <c r="F96" s="282">
        <f>INDEX(ProcDataGenPre2012!$AI$9:$AI$30,MATCH(D96,ProcDataGenPre2012!$B$9:$B$30,0))</f>
        <v>2.0099999999999998</v>
      </c>
      <c r="G96" s="282">
        <f>INDEX(ProcDataGenPre2012!$M$9:$M$30,MATCH(D96,ProcDataGenPre2012!$B$9:$B$30,0))</f>
        <v>30</v>
      </c>
      <c r="H96" s="323">
        <f t="shared" si="9"/>
        <v>8.3649631192199009E-2</v>
      </c>
      <c r="I96" s="322">
        <f t="shared" si="10"/>
        <v>6541.153556321633</v>
      </c>
      <c r="J96" s="308">
        <f t="shared" si="11"/>
        <v>1232.257968976277</v>
      </c>
      <c r="K96" s="318">
        <f t="shared" si="12"/>
        <v>7328.9464331138006</v>
      </c>
      <c r="L96" s="282">
        <v>845</v>
      </c>
      <c r="M96" s="308">
        <f t="shared" si="13"/>
        <v>1698.4499999999998</v>
      </c>
      <c r="N96" s="318">
        <f t="shared" si="14"/>
        <v>622.06955813431591</v>
      </c>
      <c r="O96" s="318">
        <f t="shared" si="15"/>
        <v>309.48734235538109</v>
      </c>
      <c r="P96" s="282">
        <v>899.74839999999995</v>
      </c>
      <c r="Q96" s="282">
        <f t="shared" si="16"/>
        <v>329.53933858521464</v>
      </c>
      <c r="R96" s="282">
        <v>20.277799999999999</v>
      </c>
      <c r="S96" s="311">
        <f t="shared" si="17"/>
        <v>7.4268904506673925</v>
      </c>
      <c r="Y96" s="282" t="s">
        <v>305</v>
      </c>
      <c r="Z96" s="282">
        <v>22</v>
      </c>
      <c r="AA96" s="282">
        <v>22</v>
      </c>
    </row>
    <row r="97" spans="4:27" x14ac:dyDescent="0.25">
      <c r="D97" s="282" t="s">
        <v>301</v>
      </c>
      <c r="E97" s="313">
        <v>38904</v>
      </c>
      <c r="F97" s="282">
        <f>INDEX(ProcDataGenPre2012!$AI$9:$AI$30,MATCH(D97,ProcDataGenPre2012!$B$9:$B$30,0))</f>
        <v>3.69</v>
      </c>
      <c r="G97" s="282">
        <f>INDEX(ProcDataGenPre2012!$M$9:$M$30,MATCH(D97,ProcDataGenPre2012!$B$9:$B$30,0))</f>
        <v>30</v>
      </c>
      <c r="H97" s="323">
        <f t="shared" si="9"/>
        <v>8.3649631192199009E-2</v>
      </c>
      <c r="I97" s="322">
        <f t="shared" si="10"/>
        <v>12008.386379515836</v>
      </c>
      <c r="J97" s="308">
        <f t="shared" si="11"/>
        <v>2262.2049281206282</v>
      </c>
      <c r="K97" s="318">
        <f t="shared" si="12"/>
        <v>7328.9464331138006</v>
      </c>
      <c r="L97" s="282">
        <v>845</v>
      </c>
      <c r="M97" s="308">
        <f t="shared" si="13"/>
        <v>3118.05</v>
      </c>
      <c r="N97" s="318">
        <f t="shared" si="14"/>
        <v>1142.0082932913563</v>
      </c>
      <c r="O97" s="318">
        <f t="shared" si="15"/>
        <v>309.48734235538109</v>
      </c>
      <c r="P97" s="313">
        <v>1250.6020000000001</v>
      </c>
      <c r="Q97" s="282">
        <f t="shared" si="16"/>
        <v>458.04199920038383</v>
      </c>
      <c r="R97" s="282">
        <v>20.277799999999999</v>
      </c>
      <c r="S97" s="311">
        <f t="shared" si="17"/>
        <v>7.4268904506673925</v>
      </c>
      <c r="Y97" s="282" t="s">
        <v>303</v>
      </c>
      <c r="Z97" s="282">
        <v>25</v>
      </c>
      <c r="AA97" s="282">
        <v>25</v>
      </c>
    </row>
    <row r="98" spans="4:27" x14ac:dyDescent="0.25">
      <c r="D98" s="282" t="s">
        <v>299</v>
      </c>
      <c r="E98" s="313">
        <v>38904</v>
      </c>
      <c r="F98" s="282">
        <f>INDEX(ProcDataGenPre2012!$AI$9:$AI$30,MATCH(D98,ProcDataGenPre2012!$B$9:$B$30,0))</f>
        <v>3.45</v>
      </c>
      <c r="G98" s="282">
        <f>INDEX(ProcDataGenPre2012!$M$9:$M$30,MATCH(D98,ProcDataGenPre2012!$B$9:$B$30,0))</f>
        <v>30</v>
      </c>
      <c r="H98" s="323">
        <f t="shared" si="9"/>
        <v>8.3649631192199009E-2</v>
      </c>
      <c r="I98" s="322">
        <f t="shared" si="10"/>
        <v>11227.353119059522</v>
      </c>
      <c r="J98" s="308">
        <f t="shared" si="11"/>
        <v>2115.0696482428639</v>
      </c>
      <c r="K98" s="318">
        <f t="shared" si="12"/>
        <v>7328.9464331137997</v>
      </c>
      <c r="L98" s="282">
        <v>845</v>
      </c>
      <c r="M98" s="308">
        <f t="shared" si="13"/>
        <v>2915.25</v>
      </c>
      <c r="N98" s="318">
        <f t="shared" si="14"/>
        <v>1067.7313311260648</v>
      </c>
      <c r="O98" s="318">
        <f t="shared" si="15"/>
        <v>309.48734235538109</v>
      </c>
      <c r="P98" s="282">
        <v>1557.7729999999999</v>
      </c>
      <c r="Q98" s="282">
        <f t="shared" si="16"/>
        <v>570.54559261889824</v>
      </c>
      <c r="R98" s="282">
        <v>20.277799999999999</v>
      </c>
      <c r="S98" s="311">
        <f t="shared" si="17"/>
        <v>7.4268904506673925</v>
      </c>
      <c r="Y98" s="282" t="s">
        <v>301</v>
      </c>
      <c r="AA98" s="282">
        <v>10</v>
      </c>
    </row>
    <row r="99" spans="4:27" x14ac:dyDescent="0.25">
      <c r="D99" s="282" t="s">
        <v>280</v>
      </c>
      <c r="E99" s="313">
        <v>38904</v>
      </c>
      <c r="F99" s="282">
        <f>INDEX(ProcDataGenPre2012!$AI$9:$AI$30,MATCH(D99,ProcDataGenPre2012!$B$9:$B$30,0))</f>
        <v>0.128</v>
      </c>
      <c r="G99" s="282">
        <f>INDEX(ProcDataGenPre2012!$M$9:$M$30,MATCH(D99,ProcDataGenPre2012!$B$9:$B$30,0))</f>
        <v>30</v>
      </c>
      <c r="H99" s="323">
        <f t="shared" si="9"/>
        <v>8.3649631192199009E-2</v>
      </c>
      <c r="I99" s="322">
        <f t="shared" si="10"/>
        <v>416.55107224336774</v>
      </c>
      <c r="J99" s="308">
        <f t="shared" si="11"/>
        <v>78.472149268141038</v>
      </c>
      <c r="K99" s="318">
        <f t="shared" si="12"/>
        <v>7328.9464331138006</v>
      </c>
      <c r="L99" s="282">
        <v>845</v>
      </c>
      <c r="M99" s="308">
        <f t="shared" si="13"/>
        <v>108.16</v>
      </c>
      <c r="N99" s="318">
        <f t="shared" si="14"/>
        <v>39.614379821488775</v>
      </c>
      <c r="O99" s="318">
        <f t="shared" si="15"/>
        <v>309.48734235538103</v>
      </c>
      <c r="P99" s="282">
        <v>77.696799999999996</v>
      </c>
      <c r="Q99" s="282">
        <f t="shared" si="16"/>
        <v>28.457013185227897</v>
      </c>
      <c r="R99" s="282">
        <v>20.277799999999999</v>
      </c>
      <c r="S99" s="311">
        <f t="shared" si="17"/>
        <v>7.4268904506673925</v>
      </c>
      <c r="Y99" s="282" t="s">
        <v>299</v>
      </c>
      <c r="Z99" s="282">
        <v>10</v>
      </c>
      <c r="AA99" s="282">
        <v>10</v>
      </c>
    </row>
    <row r="100" spans="4:27" x14ac:dyDescent="0.25">
      <c r="D100" s="282" t="s">
        <v>282</v>
      </c>
      <c r="E100" s="313">
        <v>38904</v>
      </c>
      <c r="F100" s="282">
        <f>INDEX(ProcDataGenPre2012!$AI$9:$AI$30,MATCH(D100,ProcDataGenPre2012!$B$9:$B$30,0))</f>
        <v>0.6</v>
      </c>
      <c r="G100" s="282">
        <f>INDEX(ProcDataGenPre2012!$M$9:$M$30,MATCH(D100,ProcDataGenPre2012!$B$9:$B$30,0))</f>
        <v>30</v>
      </c>
      <c r="H100" s="323">
        <f t="shared" si="9"/>
        <v>8.3649631192199009E-2</v>
      </c>
      <c r="I100" s="322">
        <f t="shared" si="10"/>
        <v>1952.583151140786</v>
      </c>
      <c r="J100" s="308">
        <f t="shared" si="11"/>
        <v>367.838199694411</v>
      </c>
      <c r="K100" s="318">
        <f t="shared" si="12"/>
        <v>7328.9464331137988</v>
      </c>
      <c r="L100" s="282">
        <v>845</v>
      </c>
      <c r="M100" s="308">
        <f t="shared" si="13"/>
        <v>507</v>
      </c>
      <c r="N100" s="318">
        <f t="shared" si="14"/>
        <v>185.69240541322864</v>
      </c>
      <c r="O100" s="318">
        <f t="shared" si="15"/>
        <v>309.48734235538109</v>
      </c>
      <c r="P100" s="282">
        <v>258.98939999999999</v>
      </c>
      <c r="Q100" s="282">
        <f t="shared" si="16"/>
        <v>94.856735034573646</v>
      </c>
      <c r="R100" s="282">
        <v>20.277799999999999</v>
      </c>
      <c r="S100" s="311">
        <f t="shared" si="17"/>
        <v>7.4268904506673925</v>
      </c>
      <c r="Y100" s="282" t="s">
        <v>280</v>
      </c>
      <c r="Z100" s="282">
        <v>10</v>
      </c>
      <c r="AA100" s="282">
        <v>10</v>
      </c>
    </row>
    <row r="101" spans="4:27" x14ac:dyDescent="0.25">
      <c r="D101" s="282" t="s">
        <v>297</v>
      </c>
      <c r="E101" s="313">
        <v>38904</v>
      </c>
      <c r="F101" s="282">
        <f>INDEX(ProcDataGenPre2012!$AI$9:$AI$30,MATCH(D101,ProcDataGenPre2012!$B$9:$B$30,0))</f>
        <v>3.51</v>
      </c>
      <c r="G101" s="282">
        <f>INDEX(ProcDataGenPre2012!$M$9:$M$30,MATCH(D101,ProcDataGenPre2012!$B$9:$B$30,0))</f>
        <v>30</v>
      </c>
      <c r="H101" s="323">
        <f t="shared" si="9"/>
        <v>8.3649631192199009E-2</v>
      </c>
      <c r="I101" s="322">
        <f t="shared" si="10"/>
        <v>11422.611434173597</v>
      </c>
      <c r="J101" s="308">
        <f t="shared" si="11"/>
        <v>2151.8534682123045</v>
      </c>
      <c r="K101" s="318">
        <f t="shared" si="12"/>
        <v>7328.9464331137997</v>
      </c>
      <c r="L101" s="282">
        <v>845</v>
      </c>
      <c r="M101" s="308">
        <f t="shared" si="13"/>
        <v>2965.95</v>
      </c>
      <c r="N101" s="318">
        <f t="shared" si="14"/>
        <v>1086.3005716673877</v>
      </c>
      <c r="O101" s="318">
        <f t="shared" si="15"/>
        <v>309.48734235538114</v>
      </c>
      <c r="P101" s="282">
        <v>1584.6310000000001</v>
      </c>
      <c r="Q101" s="282">
        <f t="shared" si="16"/>
        <v>580.38252876207093</v>
      </c>
      <c r="R101" s="282">
        <v>20.277799999999999</v>
      </c>
      <c r="S101" s="311">
        <f t="shared" si="17"/>
        <v>7.4268904506673925</v>
      </c>
      <c r="Y101" s="282" t="s">
        <v>1314</v>
      </c>
      <c r="Z101" s="282">
        <v>10</v>
      </c>
      <c r="AA101" s="282">
        <v>10</v>
      </c>
    </row>
    <row r="102" spans="4:27" x14ac:dyDescent="0.25">
      <c r="D102" s="282" t="s">
        <v>287</v>
      </c>
      <c r="E102" s="313">
        <v>72780.3223</v>
      </c>
      <c r="F102" s="282">
        <f>INDEX(ProcDataGenPre2012!$AI$9:$AI$30,MATCH(D102,ProcDataGenPre2012!$B$9:$B$30,0))</f>
        <v>1.86</v>
      </c>
      <c r="G102" s="282">
        <f>INDEX(ProcDataGenPre2012!$M$9:$M$30,MATCH(D102,ProcDataGenPre2012!$B$9:$B$30,0))</f>
        <v>50</v>
      </c>
      <c r="H102" s="323">
        <f t="shared" si="9"/>
        <v>7.7287852981086286E-2</v>
      </c>
      <c r="I102" s="322">
        <f t="shared" si="10"/>
        <v>10462.564820699565</v>
      </c>
      <c r="J102" s="308">
        <f t="shared" si="11"/>
        <v>1970.994682394818</v>
      </c>
      <c r="K102" s="318">
        <f t="shared" si="12"/>
        <v>13710.751684183058</v>
      </c>
      <c r="L102" s="282">
        <v>885</v>
      </c>
      <c r="M102" s="308">
        <f t="shared" si="13"/>
        <v>1646.1000000000001</v>
      </c>
      <c r="N102" s="318">
        <f t="shared" si="14"/>
        <v>602.89599319667798</v>
      </c>
      <c r="O102" s="318">
        <f t="shared" si="15"/>
        <v>324.13763075090213</v>
      </c>
      <c r="P102" s="282">
        <v>0</v>
      </c>
      <c r="Q102" s="282">
        <f t="shared" si="16"/>
        <v>0</v>
      </c>
      <c r="R102" s="282">
        <v>0</v>
      </c>
      <c r="S102" s="311">
        <f t="shared" si="17"/>
        <v>0</v>
      </c>
      <c r="Y102" s="282" t="s">
        <v>1309</v>
      </c>
      <c r="AA102" s="282">
        <v>50</v>
      </c>
    </row>
    <row r="103" spans="4:27" x14ac:dyDescent="0.25">
      <c r="D103" s="282" t="s">
        <v>293</v>
      </c>
      <c r="E103" s="282">
        <v>8219.2000000000007</v>
      </c>
      <c r="F103" s="282">
        <f>INDEX(ProcDataGenPre2012!$AI$9:$AI$30,MATCH(D103,ProcDataGenPre2012!$B$9:$B$30,0))</f>
        <v>2.46</v>
      </c>
      <c r="G103" s="282">
        <f>INDEX(ProcDataGenPre2012!$M$9:$M$30,MATCH(D103,ProcDataGenPre2012!$B$9:$B$30,0))</f>
        <v>30</v>
      </c>
      <c r="H103" s="323">
        <f t="shared" si="9"/>
        <v>8.3649631192199009E-2</v>
      </c>
      <c r="I103" s="322">
        <f t="shared" si="10"/>
        <v>1691.3312997895084</v>
      </c>
      <c r="J103" s="308">
        <f t="shared" si="11"/>
        <v>318.62215959299931</v>
      </c>
      <c r="K103" s="318">
        <f t="shared" si="12"/>
        <v>1548.3774553528931</v>
      </c>
      <c r="L103" s="282">
        <v>147</v>
      </c>
      <c r="M103" s="308">
        <f t="shared" si="13"/>
        <v>361.62</v>
      </c>
      <c r="N103" s="318">
        <f t="shared" si="14"/>
        <v>132.44593223970759</v>
      </c>
      <c r="O103" s="318">
        <f t="shared" si="15"/>
        <v>53.83980985353967</v>
      </c>
      <c r="P103" s="282">
        <v>0</v>
      </c>
      <c r="Q103" s="282">
        <f t="shared" si="16"/>
        <v>0</v>
      </c>
      <c r="R103" s="282">
        <v>0</v>
      </c>
      <c r="S103" s="311">
        <f t="shared" si="17"/>
        <v>0</v>
      </c>
      <c r="Y103" s="282" t="s">
        <v>297</v>
      </c>
      <c r="Z103" s="282">
        <v>16</v>
      </c>
      <c r="AA103" s="282">
        <v>16</v>
      </c>
    </row>
    <row r="104" spans="4:27" x14ac:dyDescent="0.25">
      <c r="M104" s="308"/>
    </row>
    <row r="105" spans="4:27" x14ac:dyDescent="0.25">
      <c r="D105" s="282" t="s">
        <v>116</v>
      </c>
      <c r="I105" s="308">
        <f>SUM(I82:I103)</f>
        <v>138944.28652056414</v>
      </c>
      <c r="J105" s="308">
        <f>SUM(J82:J103)</f>
        <v>26175.077963613778</v>
      </c>
      <c r="M105" s="308">
        <f>SUM(M82:M103)+SUM(P82:P103)</f>
        <v>49437.46067</v>
      </c>
      <c r="N105" s="308">
        <f>SUM(N82:N103)+SUM(Q82:Q103)</f>
        <v>18106.826408943169</v>
      </c>
      <c r="P105" s="318">
        <f>SUM(N82:N104)</f>
        <v>12248.199446784312</v>
      </c>
      <c r="Q105" s="282">
        <f>SUM(Q82:Q104)</f>
        <v>5858.6269621588563</v>
      </c>
    </row>
    <row r="106" spans="4:27" x14ac:dyDescent="0.25">
      <c r="D106" s="282" t="s">
        <v>558</v>
      </c>
      <c r="I106" s="308">
        <f>G7-J110</f>
        <v>26175.077963613778</v>
      </c>
      <c r="M106" s="308">
        <f>G12</f>
        <v>18106.826408943169</v>
      </c>
    </row>
    <row r="107" spans="4:27" x14ac:dyDescent="0.25">
      <c r="I107" s="282">
        <f>I106/I105</f>
        <v>0.1883854213734783</v>
      </c>
      <c r="M107" s="282">
        <f>M106/M105</f>
        <v>0.36625720988802496</v>
      </c>
    </row>
    <row r="109" spans="4:27" x14ac:dyDescent="0.25">
      <c r="J109" s="282" t="s">
        <v>1734</v>
      </c>
    </row>
    <row r="110" spans="4:27" x14ac:dyDescent="0.25">
      <c r="D110" s="282" t="s">
        <v>1299</v>
      </c>
      <c r="E110" s="282" t="s">
        <v>1147</v>
      </c>
      <c r="F110" s="282" t="s">
        <v>1147</v>
      </c>
      <c r="G110" s="282" t="s">
        <v>1147</v>
      </c>
      <c r="H110" s="282" t="s">
        <v>1147</v>
      </c>
      <c r="I110" s="282" t="s">
        <v>1147</v>
      </c>
      <c r="J110" s="282">
        <v>376.42410000000001</v>
      </c>
    </row>
    <row r="146" spans="5:12" x14ac:dyDescent="0.25">
      <c r="E146" s="282" t="s">
        <v>1430</v>
      </c>
      <c r="F146" s="282" t="s">
        <v>1147</v>
      </c>
      <c r="G146" s="282" t="s">
        <v>1147</v>
      </c>
      <c r="H146" s="282" t="s">
        <v>1147</v>
      </c>
      <c r="I146" s="282" t="s">
        <v>1147</v>
      </c>
      <c r="J146" s="282" t="s">
        <v>1147</v>
      </c>
      <c r="K146" s="282">
        <v>0</v>
      </c>
      <c r="L146" s="282">
        <v>4.4031000000000002</v>
      </c>
    </row>
    <row r="147" spans="5:12" x14ac:dyDescent="0.25">
      <c r="E147" s="282" t="s">
        <v>291</v>
      </c>
      <c r="F147" s="282" t="s">
        <v>1147</v>
      </c>
      <c r="G147" s="282" t="s">
        <v>1147</v>
      </c>
      <c r="H147" s="282" t="s">
        <v>1147</v>
      </c>
      <c r="I147" s="282" t="s">
        <v>1147</v>
      </c>
      <c r="J147" s="282" t="s">
        <v>1147</v>
      </c>
      <c r="K147" s="282">
        <v>0</v>
      </c>
      <c r="L147" s="282">
        <v>0</v>
      </c>
    </row>
    <row r="148" spans="5:12" x14ac:dyDescent="0.25">
      <c r="E148" s="282" t="s">
        <v>1428</v>
      </c>
      <c r="F148" s="282" t="s">
        <v>1147</v>
      </c>
      <c r="G148" s="282" t="s">
        <v>1147</v>
      </c>
      <c r="H148" s="282" t="s">
        <v>1147</v>
      </c>
      <c r="I148" s="282" t="s">
        <v>1147</v>
      </c>
      <c r="J148" s="282" t="s">
        <v>1147</v>
      </c>
      <c r="K148" s="282">
        <v>0</v>
      </c>
      <c r="L148" s="282">
        <v>4.4031000000000002</v>
      </c>
    </row>
    <row r="149" spans="5:12" x14ac:dyDescent="0.25">
      <c r="E149" s="282" t="s">
        <v>1426</v>
      </c>
      <c r="F149" s="282" t="s">
        <v>1147</v>
      </c>
      <c r="G149" s="282" t="s">
        <v>1147</v>
      </c>
      <c r="H149" s="282" t="s">
        <v>1147</v>
      </c>
      <c r="I149" s="282" t="s">
        <v>1147</v>
      </c>
      <c r="J149" s="282" t="s">
        <v>1147</v>
      </c>
      <c r="K149" s="282">
        <v>0</v>
      </c>
      <c r="L149" s="282">
        <v>0</v>
      </c>
    </row>
    <row r="150" spans="5:12" x14ac:dyDescent="0.25">
      <c r="E150" s="282" t="s">
        <v>252</v>
      </c>
      <c r="F150" s="282" t="s">
        <v>1147</v>
      </c>
      <c r="G150" s="282" t="s">
        <v>1147</v>
      </c>
      <c r="H150" s="282" t="s">
        <v>1147</v>
      </c>
      <c r="I150" s="282" t="s">
        <v>1147</v>
      </c>
      <c r="J150" s="282" t="s">
        <v>1147</v>
      </c>
      <c r="K150" s="282">
        <v>0</v>
      </c>
      <c r="L150" s="282">
        <v>0</v>
      </c>
    </row>
    <row r="151" spans="5:12" x14ac:dyDescent="0.25">
      <c r="E151" s="282" t="s">
        <v>1423</v>
      </c>
      <c r="F151" s="282" t="s">
        <v>1147</v>
      </c>
      <c r="G151" s="282" t="s">
        <v>1147</v>
      </c>
      <c r="H151" s="282" t="s">
        <v>1147</v>
      </c>
      <c r="I151" s="282" t="s">
        <v>1147</v>
      </c>
      <c r="J151" s="282" t="s">
        <v>1147</v>
      </c>
      <c r="K151" s="282">
        <v>0</v>
      </c>
      <c r="L151" s="282">
        <v>4.4031000000000002</v>
      </c>
    </row>
    <row r="152" spans="5:12" x14ac:dyDescent="0.25">
      <c r="E152" s="282" t="s">
        <v>289</v>
      </c>
      <c r="F152" s="282" t="s">
        <v>1147</v>
      </c>
      <c r="G152" s="282" t="s">
        <v>1147</v>
      </c>
      <c r="H152" s="282" t="s">
        <v>1147</v>
      </c>
      <c r="I152" s="282" t="s">
        <v>1147</v>
      </c>
      <c r="J152" s="282" t="s">
        <v>1147</v>
      </c>
      <c r="K152" s="282">
        <v>0</v>
      </c>
      <c r="L152" s="282">
        <v>0</v>
      </c>
    </row>
    <row r="153" spans="5:12" x14ac:dyDescent="0.25">
      <c r="E153" s="282" t="s">
        <v>1421</v>
      </c>
      <c r="F153" s="282" t="s">
        <v>1147</v>
      </c>
      <c r="G153" s="282" t="s">
        <v>1147</v>
      </c>
      <c r="H153" s="282" t="s">
        <v>1147</v>
      </c>
      <c r="I153" s="282" t="s">
        <v>1147</v>
      </c>
      <c r="J153" s="282" t="s">
        <v>1147</v>
      </c>
      <c r="K153" s="282">
        <v>0</v>
      </c>
      <c r="L153" s="282">
        <v>4.4031000000000002</v>
      </c>
    </row>
    <row r="154" spans="5:12" x14ac:dyDescent="0.25">
      <c r="E154" s="282" t="s">
        <v>1419</v>
      </c>
      <c r="F154" s="282" t="s">
        <v>1147</v>
      </c>
      <c r="G154" s="282" t="s">
        <v>1147</v>
      </c>
      <c r="H154" s="282" t="s">
        <v>1147</v>
      </c>
      <c r="I154" s="282" t="s">
        <v>1147</v>
      </c>
      <c r="J154" s="282" t="s">
        <v>1147</v>
      </c>
      <c r="K154" s="282">
        <v>0</v>
      </c>
      <c r="L154" s="282">
        <v>4.4031000000000002</v>
      </c>
    </row>
    <row r="155" spans="5:12" x14ac:dyDescent="0.25">
      <c r="E155" s="282" t="s">
        <v>1417</v>
      </c>
      <c r="F155" s="282" t="s">
        <v>1147</v>
      </c>
      <c r="G155" s="282" t="s">
        <v>1147</v>
      </c>
      <c r="H155" s="282" t="s">
        <v>1147</v>
      </c>
      <c r="I155" s="282" t="s">
        <v>1147</v>
      </c>
      <c r="J155" s="282" t="s">
        <v>1147</v>
      </c>
      <c r="K155" s="282">
        <v>0</v>
      </c>
      <c r="L155" s="282">
        <v>0</v>
      </c>
    </row>
    <row r="156" spans="5:12" x14ac:dyDescent="0.25">
      <c r="E156" s="282" t="s">
        <v>317</v>
      </c>
      <c r="F156" s="282" t="s">
        <v>1147</v>
      </c>
      <c r="G156" s="282" t="s">
        <v>1147</v>
      </c>
      <c r="H156" s="282" t="s">
        <v>1147</v>
      </c>
      <c r="I156" s="282" t="s">
        <v>1147</v>
      </c>
      <c r="J156" s="282" t="s">
        <v>1147</v>
      </c>
      <c r="K156" s="282">
        <v>0</v>
      </c>
      <c r="L156" s="282">
        <v>20.277799999999999</v>
      </c>
    </row>
    <row r="157" spans="5:12" x14ac:dyDescent="0.25">
      <c r="E157" s="282" t="s">
        <v>323</v>
      </c>
      <c r="F157" s="282" t="s">
        <v>1147</v>
      </c>
      <c r="G157" s="282" t="s">
        <v>1147</v>
      </c>
      <c r="H157" s="282" t="s">
        <v>1147</v>
      </c>
      <c r="I157" s="282" t="s">
        <v>1147</v>
      </c>
      <c r="J157" s="282" t="s">
        <v>1147</v>
      </c>
      <c r="K157" s="282">
        <v>0</v>
      </c>
      <c r="L157" s="282">
        <v>20.277799999999999</v>
      </c>
    </row>
    <row r="158" spans="5:12" x14ac:dyDescent="0.25">
      <c r="E158" s="282" t="s">
        <v>315</v>
      </c>
      <c r="F158" s="282" t="s">
        <v>1147</v>
      </c>
      <c r="G158" s="282" t="s">
        <v>1147</v>
      </c>
      <c r="H158" s="282" t="s">
        <v>1147</v>
      </c>
      <c r="I158" s="282" t="s">
        <v>1147</v>
      </c>
      <c r="J158" s="282" t="s">
        <v>1147</v>
      </c>
      <c r="K158" s="282">
        <v>0</v>
      </c>
      <c r="L158" s="282">
        <v>20.277799999999999</v>
      </c>
    </row>
    <row r="159" spans="5:12" x14ac:dyDescent="0.25">
      <c r="E159" s="282" t="s">
        <v>321</v>
      </c>
      <c r="F159" s="282" t="s">
        <v>1147</v>
      </c>
      <c r="G159" s="282" t="s">
        <v>1147</v>
      </c>
      <c r="H159" s="282" t="s">
        <v>1147</v>
      </c>
      <c r="I159" s="282" t="s">
        <v>1147</v>
      </c>
      <c r="J159" s="282" t="s">
        <v>1147</v>
      </c>
      <c r="K159" s="282">
        <v>0</v>
      </c>
      <c r="L159" s="282">
        <v>20.277799999999999</v>
      </c>
    </row>
    <row r="160" spans="5:12" x14ac:dyDescent="0.25">
      <c r="E160" s="282" t="s">
        <v>313</v>
      </c>
      <c r="F160" s="282" t="s">
        <v>1147</v>
      </c>
      <c r="G160" s="282" t="s">
        <v>1147</v>
      </c>
      <c r="H160" s="282" t="s">
        <v>1147</v>
      </c>
      <c r="I160" s="282" t="s">
        <v>1147</v>
      </c>
      <c r="J160" s="282" t="s">
        <v>1147</v>
      </c>
      <c r="K160" s="282">
        <v>0</v>
      </c>
      <c r="L160" s="282">
        <v>20.277799999999999</v>
      </c>
    </row>
    <row r="161" spans="5:12" x14ac:dyDescent="0.25">
      <c r="E161" s="282" t="s">
        <v>1332</v>
      </c>
      <c r="F161" s="282" t="s">
        <v>1147</v>
      </c>
      <c r="G161" s="282" t="s">
        <v>1147</v>
      </c>
      <c r="H161" s="282" t="s">
        <v>1147</v>
      </c>
      <c r="I161" s="282" t="s">
        <v>1147</v>
      </c>
      <c r="J161" s="282" t="s">
        <v>1147</v>
      </c>
      <c r="K161" s="282">
        <v>0</v>
      </c>
      <c r="L161" s="282">
        <v>20.277799999999999</v>
      </c>
    </row>
    <row r="162" spans="5:12" x14ac:dyDescent="0.25">
      <c r="E162" s="282" t="s">
        <v>295</v>
      </c>
      <c r="F162" s="282" t="s">
        <v>1147</v>
      </c>
      <c r="G162" s="282" t="s">
        <v>1147</v>
      </c>
      <c r="H162" s="282" t="s">
        <v>1147</v>
      </c>
      <c r="I162" s="282" t="s">
        <v>1147</v>
      </c>
      <c r="J162" s="282" t="s">
        <v>1147</v>
      </c>
      <c r="K162" s="282">
        <v>0</v>
      </c>
      <c r="L162" s="282">
        <v>20.277799999999999</v>
      </c>
    </row>
    <row r="163" spans="5:12" x14ac:dyDescent="0.25">
      <c r="E163" s="282" t="s">
        <v>311</v>
      </c>
      <c r="F163" s="282" t="s">
        <v>1147</v>
      </c>
      <c r="G163" s="282" t="s">
        <v>1147</v>
      </c>
      <c r="H163" s="282" t="s">
        <v>1147</v>
      </c>
      <c r="I163" s="282" t="s">
        <v>1147</v>
      </c>
      <c r="J163" s="282" t="s">
        <v>1147</v>
      </c>
      <c r="K163" s="282">
        <v>0</v>
      </c>
      <c r="L163" s="282">
        <v>20.277799999999999</v>
      </c>
    </row>
    <row r="164" spans="5:12" x14ac:dyDescent="0.25">
      <c r="E164" s="282" t="s">
        <v>319</v>
      </c>
      <c r="F164" s="282" t="s">
        <v>1147</v>
      </c>
      <c r="G164" s="282" t="s">
        <v>1147</v>
      </c>
      <c r="H164" s="282" t="s">
        <v>1147</v>
      </c>
      <c r="I164" s="282" t="s">
        <v>1147</v>
      </c>
      <c r="J164" s="282" t="s">
        <v>1147</v>
      </c>
      <c r="K164" s="282">
        <v>0</v>
      </c>
      <c r="L164" s="282">
        <v>20.277799999999999</v>
      </c>
    </row>
    <row r="165" spans="5:12" x14ac:dyDescent="0.25">
      <c r="E165" s="282" t="s">
        <v>309</v>
      </c>
      <c r="F165" s="282" t="s">
        <v>1147</v>
      </c>
      <c r="G165" s="282" t="s">
        <v>1147</v>
      </c>
      <c r="H165" s="282" t="s">
        <v>1147</v>
      </c>
      <c r="I165" s="282" t="s">
        <v>1147</v>
      </c>
      <c r="J165" s="282" t="s">
        <v>1147</v>
      </c>
      <c r="K165" s="282">
        <v>0</v>
      </c>
      <c r="L165" s="282">
        <v>20.277799999999999</v>
      </c>
    </row>
    <row r="166" spans="5:12" x14ac:dyDescent="0.25">
      <c r="E166" s="282" t="s">
        <v>307</v>
      </c>
      <c r="F166" s="282" t="s">
        <v>1147</v>
      </c>
      <c r="G166" s="282" t="s">
        <v>1147</v>
      </c>
      <c r="H166" s="282" t="s">
        <v>1147</v>
      </c>
      <c r="I166" s="282" t="s">
        <v>1147</v>
      </c>
      <c r="J166" s="282" t="s">
        <v>1147</v>
      </c>
      <c r="K166" s="282">
        <v>0</v>
      </c>
      <c r="L166" s="282">
        <v>20.277799999999999</v>
      </c>
    </row>
    <row r="167" spans="5:12" x14ac:dyDescent="0.25">
      <c r="E167" s="282" t="s">
        <v>305</v>
      </c>
      <c r="F167" s="282" t="s">
        <v>1147</v>
      </c>
      <c r="G167" s="282" t="s">
        <v>1147</v>
      </c>
      <c r="H167" s="282" t="s">
        <v>1147</v>
      </c>
      <c r="I167" s="282" t="s">
        <v>1147</v>
      </c>
      <c r="J167" s="282" t="s">
        <v>1147</v>
      </c>
      <c r="K167" s="282">
        <v>0</v>
      </c>
      <c r="L167" s="282">
        <v>20.277799999999999</v>
      </c>
    </row>
    <row r="168" spans="5:12" x14ac:dyDescent="0.25">
      <c r="E168" s="282" t="s">
        <v>303</v>
      </c>
      <c r="F168" s="282" t="s">
        <v>1147</v>
      </c>
      <c r="G168" s="282" t="s">
        <v>1147</v>
      </c>
      <c r="H168" s="282" t="s">
        <v>1147</v>
      </c>
      <c r="I168" s="282" t="s">
        <v>1147</v>
      </c>
      <c r="J168" s="282" t="s">
        <v>1147</v>
      </c>
      <c r="K168" s="282">
        <v>0</v>
      </c>
      <c r="L168" s="282">
        <v>20.277799999999999</v>
      </c>
    </row>
    <row r="169" spans="5:12" x14ac:dyDescent="0.25">
      <c r="E169" s="282" t="s">
        <v>301</v>
      </c>
      <c r="F169" s="282" t="s">
        <v>1147</v>
      </c>
      <c r="G169" s="282" t="s">
        <v>1147</v>
      </c>
      <c r="H169" s="282" t="s">
        <v>1147</v>
      </c>
      <c r="I169" s="282" t="s">
        <v>1147</v>
      </c>
      <c r="J169" s="282" t="s">
        <v>1147</v>
      </c>
      <c r="K169" s="282">
        <v>0</v>
      </c>
      <c r="L169" s="282">
        <v>20.277799999999999</v>
      </c>
    </row>
    <row r="170" spans="5:12" x14ac:dyDescent="0.25">
      <c r="E170" s="282" t="s">
        <v>299</v>
      </c>
      <c r="F170" s="282" t="s">
        <v>1147</v>
      </c>
      <c r="G170" s="282" t="s">
        <v>1147</v>
      </c>
      <c r="H170" s="282" t="s">
        <v>1147</v>
      </c>
      <c r="I170" s="282" t="s">
        <v>1147</v>
      </c>
      <c r="J170" s="282" t="s">
        <v>1147</v>
      </c>
      <c r="K170" s="282">
        <v>0</v>
      </c>
      <c r="L170" s="282">
        <v>20.277799999999999</v>
      </c>
    </row>
    <row r="171" spans="5:12" x14ac:dyDescent="0.25">
      <c r="E171" s="282" t="s">
        <v>280</v>
      </c>
      <c r="F171" s="282" t="s">
        <v>1147</v>
      </c>
      <c r="G171" s="282" t="s">
        <v>1147</v>
      </c>
      <c r="H171" s="282" t="s">
        <v>1147</v>
      </c>
      <c r="I171" s="282" t="s">
        <v>1147</v>
      </c>
      <c r="J171" s="282" t="s">
        <v>1147</v>
      </c>
      <c r="K171" s="282">
        <v>0</v>
      </c>
      <c r="L171" s="282">
        <v>20.277799999999999</v>
      </c>
    </row>
    <row r="172" spans="5:12" x14ac:dyDescent="0.25">
      <c r="E172" s="282" t="s">
        <v>282</v>
      </c>
      <c r="F172" s="282" t="s">
        <v>1147</v>
      </c>
      <c r="G172" s="282" t="s">
        <v>1147</v>
      </c>
      <c r="H172" s="282" t="s">
        <v>1147</v>
      </c>
      <c r="I172" s="282" t="s">
        <v>1147</v>
      </c>
      <c r="J172" s="282" t="s">
        <v>1147</v>
      </c>
      <c r="K172" s="282">
        <v>0</v>
      </c>
      <c r="L172" s="282">
        <v>20.277799999999999</v>
      </c>
    </row>
    <row r="173" spans="5:12" x14ac:dyDescent="0.25">
      <c r="E173" s="282" t="s">
        <v>1316</v>
      </c>
      <c r="F173" s="282" t="s">
        <v>1147</v>
      </c>
      <c r="G173" s="282" t="s">
        <v>1147</v>
      </c>
      <c r="H173" s="282" t="s">
        <v>1147</v>
      </c>
      <c r="I173" s="282" t="s">
        <v>1147</v>
      </c>
      <c r="J173" s="282" t="s">
        <v>1147</v>
      </c>
      <c r="K173" s="282">
        <v>0</v>
      </c>
      <c r="L173" s="282">
        <v>20.277799999999999</v>
      </c>
    </row>
    <row r="174" spans="5:12" x14ac:dyDescent="0.25">
      <c r="E174" s="282" t="s">
        <v>1314</v>
      </c>
      <c r="F174" s="282" t="s">
        <v>1147</v>
      </c>
      <c r="G174" s="282" t="s">
        <v>1147</v>
      </c>
      <c r="H174" s="282" t="s">
        <v>1147</v>
      </c>
      <c r="I174" s="282" t="s">
        <v>1147</v>
      </c>
      <c r="J174" s="282" t="s">
        <v>1147</v>
      </c>
      <c r="K174" s="282">
        <v>0</v>
      </c>
      <c r="L174" s="282">
        <v>20.277799999999999</v>
      </c>
    </row>
    <row r="175" spans="5:12" x14ac:dyDescent="0.25">
      <c r="E175" s="282" t="s">
        <v>297</v>
      </c>
      <c r="F175" s="282" t="s">
        <v>1147</v>
      </c>
      <c r="G175" s="282" t="s">
        <v>1147</v>
      </c>
      <c r="H175" s="282" t="s">
        <v>1147</v>
      </c>
      <c r="I175" s="282" t="s">
        <v>1147</v>
      </c>
      <c r="J175" s="282" t="s">
        <v>1147</v>
      </c>
      <c r="K175" s="282">
        <v>0</v>
      </c>
      <c r="L175" s="282">
        <v>20.277799999999999</v>
      </c>
    </row>
    <row r="176" spans="5:12" x14ac:dyDescent="0.25">
      <c r="E176" s="282" t="s">
        <v>1305</v>
      </c>
      <c r="F176" s="282" t="s">
        <v>1147</v>
      </c>
      <c r="G176" s="282" t="s">
        <v>1147</v>
      </c>
      <c r="H176" s="282" t="s">
        <v>1147</v>
      </c>
      <c r="I176" s="282" t="s">
        <v>1147</v>
      </c>
      <c r="J176" s="282" t="s">
        <v>1147</v>
      </c>
      <c r="K176" s="282">
        <v>0</v>
      </c>
      <c r="L176" s="282">
        <v>6.55</v>
      </c>
    </row>
    <row r="177" spans="5:17" x14ac:dyDescent="0.25">
      <c r="E177" s="282" t="s">
        <v>1303</v>
      </c>
      <c r="F177" s="282" t="s">
        <v>1147</v>
      </c>
      <c r="G177" s="282" t="s">
        <v>1147</v>
      </c>
      <c r="H177" s="282" t="s">
        <v>1147</v>
      </c>
      <c r="I177" s="282" t="s">
        <v>1147</v>
      </c>
      <c r="J177" s="282" t="s">
        <v>1147</v>
      </c>
      <c r="K177" s="282">
        <v>0</v>
      </c>
      <c r="L177" s="282">
        <v>2.8018999999999998</v>
      </c>
    </row>
    <row r="178" spans="5:17" x14ac:dyDescent="0.25">
      <c r="E178" s="282" t="s">
        <v>1286</v>
      </c>
      <c r="F178" s="282" t="s">
        <v>1147</v>
      </c>
      <c r="G178" s="282" t="s">
        <v>1147</v>
      </c>
      <c r="H178" s="282" t="s">
        <v>1147</v>
      </c>
      <c r="I178" s="282" t="s">
        <v>1147</v>
      </c>
      <c r="J178" s="282" t="s">
        <v>1147</v>
      </c>
      <c r="K178" s="282">
        <v>0</v>
      </c>
      <c r="L178" s="282">
        <v>0</v>
      </c>
    </row>
    <row r="179" spans="5:17" x14ac:dyDescent="0.25">
      <c r="E179" s="282" t="s">
        <v>287</v>
      </c>
      <c r="F179" s="282" t="s">
        <v>1147</v>
      </c>
      <c r="G179" s="282" t="s">
        <v>1147</v>
      </c>
      <c r="H179" s="282" t="s">
        <v>1147</v>
      </c>
      <c r="I179" s="282" t="s">
        <v>1147</v>
      </c>
      <c r="J179" s="282" t="s">
        <v>1147</v>
      </c>
      <c r="K179" s="282">
        <v>0</v>
      </c>
      <c r="L179" s="282">
        <v>0</v>
      </c>
    </row>
    <row r="180" spans="5:17" x14ac:dyDescent="0.25">
      <c r="E180" s="282" t="s">
        <v>293</v>
      </c>
      <c r="F180" s="282" t="s">
        <v>1147</v>
      </c>
      <c r="G180" s="282" t="s">
        <v>1147</v>
      </c>
      <c r="H180" s="282" t="s">
        <v>1147</v>
      </c>
      <c r="I180" s="282" t="s">
        <v>1147</v>
      </c>
      <c r="J180" s="282" t="s">
        <v>1147</v>
      </c>
      <c r="K180" s="282">
        <v>0</v>
      </c>
      <c r="L180" s="282">
        <v>0</v>
      </c>
    </row>
    <row r="182" spans="5:17" x14ac:dyDescent="0.25">
      <c r="Q182" s="282" t="s">
        <v>1733</v>
      </c>
    </row>
    <row r="183" spans="5:17" x14ac:dyDescent="0.25">
      <c r="Q183" s="282">
        <v>2012</v>
      </c>
    </row>
    <row r="184" spans="5:17" x14ac:dyDescent="0.25">
      <c r="O184" s="282" t="s">
        <v>138</v>
      </c>
      <c r="P184" s="282" t="s">
        <v>317</v>
      </c>
      <c r="Q184" s="282">
        <v>2.2200000000000002</v>
      </c>
    </row>
    <row r="185" spans="5:17" x14ac:dyDescent="0.25">
      <c r="O185" s="282" t="s">
        <v>138</v>
      </c>
      <c r="P185" s="282" t="s">
        <v>323</v>
      </c>
      <c r="Q185" s="282">
        <v>1.52</v>
      </c>
    </row>
    <row r="186" spans="5:17" x14ac:dyDescent="0.25">
      <c r="O186" s="282" t="s">
        <v>138</v>
      </c>
      <c r="P186" s="282" t="s">
        <v>315</v>
      </c>
      <c r="Q186" s="282">
        <v>3.48</v>
      </c>
    </row>
    <row r="187" spans="5:17" x14ac:dyDescent="0.25">
      <c r="O187" s="282" t="s">
        <v>138</v>
      </c>
      <c r="P187" s="282" t="s">
        <v>321</v>
      </c>
      <c r="Q187" s="282">
        <v>1.08</v>
      </c>
    </row>
    <row r="188" spans="5:17" x14ac:dyDescent="0.25">
      <c r="O188" s="282" t="s">
        <v>138</v>
      </c>
      <c r="P188" s="282" t="s">
        <v>313</v>
      </c>
      <c r="Q188" s="282">
        <v>1.9</v>
      </c>
    </row>
    <row r="189" spans="5:17" x14ac:dyDescent="0.25">
      <c r="O189" s="282" t="s">
        <v>138</v>
      </c>
      <c r="P189" s="282" t="s">
        <v>1332</v>
      </c>
      <c r="Q189" s="282" t="s">
        <v>1732</v>
      </c>
    </row>
    <row r="190" spans="5:17" x14ac:dyDescent="0.25">
      <c r="O190" s="282" t="s">
        <v>138</v>
      </c>
      <c r="P190" s="282" t="s">
        <v>295</v>
      </c>
      <c r="Q190" s="282">
        <v>0.16</v>
      </c>
    </row>
    <row r="191" spans="5:17" x14ac:dyDescent="0.25">
      <c r="O191" s="282" t="s">
        <v>138</v>
      </c>
      <c r="P191" s="282" t="s">
        <v>311</v>
      </c>
      <c r="Q191" s="282">
        <v>3.84</v>
      </c>
    </row>
    <row r="192" spans="5:17" x14ac:dyDescent="0.25">
      <c r="O192" s="282" t="s">
        <v>138</v>
      </c>
      <c r="P192" s="282" t="s">
        <v>319</v>
      </c>
      <c r="Q192" s="282">
        <v>0.8</v>
      </c>
    </row>
    <row r="193" spans="15:17" x14ac:dyDescent="0.25">
      <c r="O193" s="282" t="s">
        <v>138</v>
      </c>
      <c r="P193" s="282" t="s">
        <v>309</v>
      </c>
      <c r="Q193" s="282">
        <v>2.88</v>
      </c>
    </row>
    <row r="194" spans="15:17" x14ac:dyDescent="0.25">
      <c r="O194" s="282" t="s">
        <v>138</v>
      </c>
      <c r="P194" s="282" t="s">
        <v>307</v>
      </c>
      <c r="Q194" s="282">
        <v>3.54</v>
      </c>
    </row>
    <row r="195" spans="15:17" x14ac:dyDescent="0.25">
      <c r="O195" s="282" t="s">
        <v>138</v>
      </c>
      <c r="P195" s="282" t="s">
        <v>305</v>
      </c>
      <c r="Q195" s="282">
        <v>1.83</v>
      </c>
    </row>
    <row r="196" spans="15:17" x14ac:dyDescent="0.25">
      <c r="O196" s="282" t="s">
        <v>138</v>
      </c>
      <c r="P196" s="282" t="s">
        <v>303</v>
      </c>
      <c r="Q196" s="282">
        <v>2.0099999999999998</v>
      </c>
    </row>
    <row r="197" spans="15:17" x14ac:dyDescent="0.25">
      <c r="O197" s="282" t="s">
        <v>138</v>
      </c>
      <c r="P197" s="282" t="s">
        <v>301</v>
      </c>
      <c r="Q197" s="282">
        <v>3.72</v>
      </c>
    </row>
    <row r="198" spans="15:17" x14ac:dyDescent="0.25">
      <c r="O198" s="282" t="s">
        <v>138</v>
      </c>
      <c r="P198" s="282" t="s">
        <v>299</v>
      </c>
      <c r="Q198" s="282">
        <v>3.48</v>
      </c>
    </row>
    <row r="199" spans="15:17" x14ac:dyDescent="0.25">
      <c r="O199" s="282" t="s">
        <v>138</v>
      </c>
      <c r="P199" s="282" t="s">
        <v>280</v>
      </c>
      <c r="Q199" s="282">
        <v>0.15</v>
      </c>
    </row>
    <row r="200" spans="15:17" x14ac:dyDescent="0.25">
      <c r="O200" s="282" t="s">
        <v>138</v>
      </c>
      <c r="P200" s="282" t="s">
        <v>282</v>
      </c>
      <c r="Q200" s="282">
        <v>0.5</v>
      </c>
    </row>
    <row r="201" spans="15:17" x14ac:dyDescent="0.25">
      <c r="O201" s="282" t="s">
        <v>138</v>
      </c>
      <c r="P201" s="282" t="s">
        <v>1316</v>
      </c>
      <c r="Q201" s="282">
        <v>0.09</v>
      </c>
    </row>
    <row r="202" spans="15:17" x14ac:dyDescent="0.25">
      <c r="O202" s="282" t="s">
        <v>138</v>
      </c>
      <c r="P202" s="282" t="s">
        <v>1314</v>
      </c>
      <c r="Q202" s="282">
        <v>0.18</v>
      </c>
    </row>
    <row r="203" spans="15:17" x14ac:dyDescent="0.25">
      <c r="O203" s="282" t="s">
        <v>138</v>
      </c>
      <c r="P203" s="282" t="s">
        <v>297</v>
      </c>
      <c r="Q203" s="282">
        <v>3.54</v>
      </c>
    </row>
    <row r="210" spans="15:17" x14ac:dyDescent="0.25">
      <c r="P210" s="282">
        <v>2011</v>
      </c>
      <c r="Q210" s="282">
        <v>2012</v>
      </c>
    </row>
    <row r="211" spans="15:17" x14ac:dyDescent="0.25">
      <c r="O211" s="282" t="s">
        <v>267</v>
      </c>
      <c r="Q211" s="282">
        <v>30</v>
      </c>
    </row>
    <row r="212" spans="15:17" x14ac:dyDescent="0.25">
      <c r="O212" s="282" t="s">
        <v>317</v>
      </c>
      <c r="P212" s="282">
        <v>10</v>
      </c>
      <c r="Q212" s="282">
        <v>10</v>
      </c>
    </row>
    <row r="213" spans="15:17" x14ac:dyDescent="0.25">
      <c r="O213" s="282" t="s">
        <v>323</v>
      </c>
      <c r="P213" s="282">
        <v>10</v>
      </c>
      <c r="Q213" s="282">
        <v>10</v>
      </c>
    </row>
    <row r="214" spans="15:17" x14ac:dyDescent="0.25">
      <c r="O214" s="282" t="s">
        <v>315</v>
      </c>
      <c r="P214" s="282">
        <v>9</v>
      </c>
      <c r="Q214" s="282">
        <v>9</v>
      </c>
    </row>
    <row r="215" spans="15:17" x14ac:dyDescent="0.25">
      <c r="O215" s="282" t="s">
        <v>321</v>
      </c>
      <c r="P215" s="282">
        <v>10</v>
      </c>
      <c r="Q215" s="282">
        <v>10</v>
      </c>
    </row>
    <row r="216" spans="15:17" x14ac:dyDescent="0.25">
      <c r="O216" s="282" t="s">
        <v>313</v>
      </c>
      <c r="P216" s="282">
        <v>10</v>
      </c>
      <c r="Q216" s="282">
        <v>10</v>
      </c>
    </row>
    <row r="217" spans="15:17" x14ac:dyDescent="0.25">
      <c r="O217" s="282" t="s">
        <v>1334</v>
      </c>
      <c r="Q217" s="282">
        <v>30</v>
      </c>
    </row>
    <row r="218" spans="15:17" x14ac:dyDescent="0.25">
      <c r="O218" s="282" t="s">
        <v>1332</v>
      </c>
      <c r="Q218" s="282">
        <v>10</v>
      </c>
    </row>
    <row r="219" spans="15:17" x14ac:dyDescent="0.25">
      <c r="O219" s="282" t="s">
        <v>295</v>
      </c>
      <c r="P219" s="282">
        <v>10</v>
      </c>
      <c r="Q219" s="282">
        <v>10</v>
      </c>
    </row>
    <row r="220" spans="15:17" x14ac:dyDescent="0.25">
      <c r="O220" s="282" t="s">
        <v>311</v>
      </c>
      <c r="P220" s="282">
        <v>16</v>
      </c>
      <c r="Q220" s="282">
        <v>16</v>
      </c>
    </row>
    <row r="221" spans="15:17" x14ac:dyDescent="0.25">
      <c r="O221" s="282" t="s">
        <v>319</v>
      </c>
      <c r="P221" s="282">
        <v>10</v>
      </c>
      <c r="Q221" s="282">
        <v>10</v>
      </c>
    </row>
    <row r="222" spans="15:17" x14ac:dyDescent="0.25">
      <c r="O222" s="282" t="s">
        <v>309</v>
      </c>
      <c r="P222" s="282">
        <v>10</v>
      </c>
      <c r="Q222" s="282">
        <v>10</v>
      </c>
    </row>
    <row r="223" spans="15:17" x14ac:dyDescent="0.25">
      <c r="O223" s="282" t="s">
        <v>307</v>
      </c>
      <c r="P223" s="282">
        <v>15</v>
      </c>
      <c r="Q223" s="282">
        <v>15</v>
      </c>
    </row>
    <row r="224" spans="15:17" x14ac:dyDescent="0.25">
      <c r="O224" s="282" t="s">
        <v>305</v>
      </c>
      <c r="P224" s="282">
        <v>22</v>
      </c>
      <c r="Q224" s="282">
        <v>22</v>
      </c>
    </row>
    <row r="225" spans="15:17" x14ac:dyDescent="0.25">
      <c r="O225" s="282" t="s">
        <v>303</v>
      </c>
      <c r="P225" s="282">
        <v>25</v>
      </c>
      <c r="Q225" s="282">
        <v>25</v>
      </c>
    </row>
    <row r="226" spans="15:17" x14ac:dyDescent="0.25">
      <c r="O226" s="282" t="s">
        <v>299</v>
      </c>
      <c r="P226" s="282">
        <v>10</v>
      </c>
      <c r="Q226" s="282">
        <v>10</v>
      </c>
    </row>
    <row r="227" spans="15:17" x14ac:dyDescent="0.25">
      <c r="O227" s="282" t="s">
        <v>280</v>
      </c>
      <c r="P227" s="282">
        <v>10</v>
      </c>
      <c r="Q227" s="282">
        <v>10</v>
      </c>
    </row>
    <row r="228" spans="15:17" x14ac:dyDescent="0.25">
      <c r="O228" s="282" t="s">
        <v>282</v>
      </c>
      <c r="P228" s="282">
        <v>10</v>
      </c>
      <c r="Q228" s="282">
        <v>10</v>
      </c>
    </row>
    <row r="229" spans="15:17" x14ac:dyDescent="0.25">
      <c r="O229" s="282" t="s">
        <v>1316</v>
      </c>
      <c r="P229" s="282">
        <v>10</v>
      </c>
      <c r="Q229" s="282">
        <v>10</v>
      </c>
    </row>
    <row r="230" spans="15:17" x14ac:dyDescent="0.25">
      <c r="O230" s="282" t="s">
        <v>1314</v>
      </c>
      <c r="P230" s="282">
        <v>10</v>
      </c>
      <c r="Q230" s="282">
        <v>10</v>
      </c>
    </row>
    <row r="231" spans="15:17" x14ac:dyDescent="0.25">
      <c r="O231" s="282" t="s">
        <v>1309</v>
      </c>
      <c r="Q231" s="282">
        <v>50</v>
      </c>
    </row>
    <row r="232" spans="15:17" x14ac:dyDescent="0.25">
      <c r="O232" s="282" t="s">
        <v>297</v>
      </c>
      <c r="P232" s="282">
        <v>16</v>
      </c>
      <c r="Q232" s="282">
        <v>16</v>
      </c>
    </row>
    <row r="233" spans="15:17" x14ac:dyDescent="0.25">
      <c r="O233" s="282" t="s">
        <v>1321</v>
      </c>
      <c r="Q233" s="282">
        <v>50</v>
      </c>
    </row>
    <row r="234" spans="15:17" x14ac:dyDescent="0.25">
      <c r="O234" s="282" t="s">
        <v>1320</v>
      </c>
      <c r="P234" s="282">
        <v>16</v>
      </c>
      <c r="Q234" s="282">
        <v>16</v>
      </c>
    </row>
    <row r="235" spans="15:17" x14ac:dyDescent="0.25">
      <c r="O235" s="282" t="s">
        <v>301</v>
      </c>
      <c r="Q235" s="282">
        <v>50</v>
      </c>
    </row>
  </sheetData>
  <pageMargins left="0.7" right="0.7" top="0.75" bottom="0.75" header="0.3" footer="0.3"/>
  <pageSetup paperSize="9" orientation="portrait" r:id="rId1"/>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 workbookViewId="1"/>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2" t="s">
        <v>1793</v>
      </c>
      <c r="B1" s="332">
        <v>1996</v>
      </c>
      <c r="C1" s="332">
        <v>1997</v>
      </c>
      <c r="D1" s="332">
        <v>1998</v>
      </c>
      <c r="E1" s="332">
        <v>1999</v>
      </c>
      <c r="F1" s="332">
        <v>2000</v>
      </c>
      <c r="G1" s="332">
        <v>2001</v>
      </c>
      <c r="H1" s="332">
        <v>2002</v>
      </c>
      <c r="I1" s="332">
        <v>2003</v>
      </c>
      <c r="J1" s="332">
        <v>2004</v>
      </c>
      <c r="K1" s="332">
        <v>2005</v>
      </c>
      <c r="L1" s="332">
        <v>2006</v>
      </c>
      <c r="M1" s="332">
        <v>2007</v>
      </c>
      <c r="N1" s="332">
        <v>2008</v>
      </c>
      <c r="O1" s="332">
        <v>2009</v>
      </c>
      <c r="P1" s="332">
        <v>2010</v>
      </c>
      <c r="Q1" s="332">
        <v>2011</v>
      </c>
      <c r="R1" s="332">
        <v>2012</v>
      </c>
      <c r="S1" s="332">
        <v>2013</v>
      </c>
      <c r="T1" s="332">
        <v>2014</v>
      </c>
      <c r="U1" s="332">
        <v>2015</v>
      </c>
      <c r="V1" s="332">
        <v>2016</v>
      </c>
      <c r="W1" s="349">
        <v>2017</v>
      </c>
      <c r="X1" s="349">
        <v>2018</v>
      </c>
      <c r="Y1" s="349">
        <v>2019</v>
      </c>
      <c r="AA1" s="64" t="s">
        <v>1808</v>
      </c>
    </row>
    <row r="2" spans="1:27" ht="15.75" customHeight="1" x14ac:dyDescent="0.2">
      <c r="A2" s="331" t="s">
        <v>1792</v>
      </c>
      <c r="B2" s="330">
        <v>7.9057626177225204</v>
      </c>
      <c r="C2" s="330">
        <v>7.9871533674518798</v>
      </c>
      <c r="D2" s="330">
        <v>7.7873391569621004</v>
      </c>
      <c r="E2" s="330">
        <v>7.0278247472558499</v>
      </c>
      <c r="F2" s="330">
        <v>8.7963222595021993</v>
      </c>
      <c r="G2" s="330">
        <v>7.6417362147513304</v>
      </c>
      <c r="H2" s="330">
        <v>12.205405688193901</v>
      </c>
      <c r="I2" s="330">
        <v>5.7936025975283902</v>
      </c>
      <c r="J2" s="330">
        <v>6.5271139772024496</v>
      </c>
      <c r="K2" s="330">
        <v>5.4490666230227598</v>
      </c>
      <c r="L2" s="330">
        <v>6.2741537708994999</v>
      </c>
      <c r="M2" s="330">
        <v>8.8492898126298094</v>
      </c>
      <c r="N2" s="330">
        <v>8.8315688644124695</v>
      </c>
      <c r="O2" s="330">
        <v>7.5045113457487203</v>
      </c>
      <c r="P2" s="330">
        <v>6.3510267905241404</v>
      </c>
      <c r="Q2" s="330">
        <v>6.6517827868979502</v>
      </c>
      <c r="R2" s="330">
        <v>5.5122264718124399</v>
      </c>
      <c r="S2" s="330">
        <v>5.9856351455896997</v>
      </c>
      <c r="T2" s="330">
        <v>5.79552879780148</v>
      </c>
      <c r="U2" s="330">
        <v>4.5454545454545414</v>
      </c>
      <c r="V2" s="330">
        <v>6.3405797101449224</v>
      </c>
      <c r="W2" s="348">
        <v>5.2725724020443065</v>
      </c>
      <c r="X2" s="348">
        <v>4.6201148960271832</v>
      </c>
      <c r="Y2" s="348">
        <v>4.1299303944315469</v>
      </c>
    </row>
    <row r="3" spans="1:27" ht="15.75" customHeight="1" x14ac:dyDescent="0.2">
      <c r="A3" s="347">
        <f>B12</f>
        <v>2015</v>
      </c>
      <c r="B3" s="334">
        <f t="shared" ref="B3:T3" si="0">IF(B1=$A$3,1,IF(B1&lt;$A3,C3/(1+C2/100),A3*(B2/100+1)))</f>
        <v>0.27072325050979379</v>
      </c>
      <c r="C3" s="334">
        <f t="shared" si="0"/>
        <v>0.29234633172936197</v>
      </c>
      <c r="D3" s="334">
        <f t="shared" si="0"/>
        <v>0.31511233209406492</v>
      </c>
      <c r="E3" s="334">
        <f t="shared" si="0"/>
        <v>0.33725787455062667</v>
      </c>
      <c r="F3" s="334">
        <f t="shared" si="0"/>
        <v>0.36692416404164746</v>
      </c>
      <c r="G3" s="334">
        <f t="shared" si="0"/>
        <v>0.39496354076589157</v>
      </c>
      <c r="H3" s="334">
        <f t="shared" si="0"/>
        <v>0.44317044323682375</v>
      </c>
      <c r="I3" s="334">
        <f t="shared" si="0"/>
        <v>0.46884597754767043</v>
      </c>
      <c r="J3" s="334">
        <f t="shared" si="0"/>
        <v>0.49944808887973591</v>
      </c>
      <c r="K3" s="334">
        <f t="shared" si="0"/>
        <v>0.52666334799020664</v>
      </c>
      <c r="L3" s="334">
        <f t="shared" si="0"/>
        <v>0.55970701629807973</v>
      </c>
      <c r="M3" s="334">
        <f t="shared" si="0"/>
        <v>0.6092371122719199</v>
      </c>
      <c r="N3" s="334">
        <f t="shared" si="0"/>
        <v>0.66304230738977243</v>
      </c>
      <c r="O3" s="334">
        <f t="shared" si="0"/>
        <v>0.71280039257495198</v>
      </c>
      <c r="P3" s="334">
        <f t="shared" si="0"/>
        <v>0.7580705364703485</v>
      </c>
      <c r="Q3" s="334">
        <f t="shared" si="0"/>
        <v>0.80849574192782814</v>
      </c>
      <c r="R3" s="334">
        <f t="shared" si="0"/>
        <v>0.8530618582378503</v>
      </c>
      <c r="S3" s="334">
        <f t="shared" si="0"/>
        <v>0.90412302863815563</v>
      </c>
      <c r="T3" s="334">
        <f t="shared" si="0"/>
        <v>0.95652173913043481</v>
      </c>
      <c r="U3" s="334">
        <f>IF(U1=$A$3,1,IF(U1&lt;$A3,#REF!/(1+#REF!/100),T3*(U2/100+1)))</f>
        <v>1</v>
      </c>
      <c r="V3" s="334">
        <f>IF(V1=$A$3,1,IF(V1&lt;$A3,#REF!/(1+#REF!/100),U3*(V2/100+1)))</f>
        <v>1.0634057971014492</v>
      </c>
      <c r="W3" s="346">
        <f>IF(W1=$A$3,1,IF(W1&lt;$A3,#REF!/(1+#REF!/100),V3*(W2/100+1)))</f>
        <v>1.1194746376811595</v>
      </c>
      <c r="X3" s="346">
        <f>IF(X1=$A$3,1,IF(X1&lt;$A3,#REF!/(1+#REF!/100),W3*(X2/100+1)))</f>
        <v>1.1711956521739131</v>
      </c>
      <c r="Y3" s="346">
        <f>IF(Y1=$A$3,1,IF(Y1&lt;$A3,#REF!/(1+#REF!/100),X3*(Y2/100+1)))</f>
        <v>1.2195652173913043</v>
      </c>
    </row>
    <row r="4" spans="1:27" ht="15.75" customHeight="1" x14ac:dyDescent="0.2">
      <c r="A4" s="345" t="s">
        <v>1795</v>
      </c>
      <c r="B4" s="344">
        <f t="shared" ref="B4:Y4" si="1">1/B3</f>
        <v>3.6938090766748668</v>
      </c>
      <c r="C4" s="344">
        <f t="shared" si="1"/>
        <v>3.4206004709706588</v>
      </c>
      <c r="D4" s="344">
        <f t="shared" si="1"/>
        <v>3.1734714835009621</v>
      </c>
      <c r="E4" s="344">
        <f t="shared" si="1"/>
        <v>2.9650901445442375</v>
      </c>
      <c r="F4" s="344">
        <f t="shared" si="1"/>
        <v>2.7253588016255472</v>
      </c>
      <c r="G4" s="344">
        <f t="shared" si="1"/>
        <v>2.5318792667820809</v>
      </c>
      <c r="H4" s="344">
        <f t="shared" si="1"/>
        <v>2.2564681721466129</v>
      </c>
      <c r="I4" s="344">
        <f t="shared" si="1"/>
        <v>2.1328966182680409</v>
      </c>
      <c r="J4" s="344">
        <f t="shared" si="1"/>
        <v>2.0022100840209522</v>
      </c>
      <c r="K4" s="344">
        <f t="shared" si="1"/>
        <v>1.8987461417546663</v>
      </c>
      <c r="L4" s="344">
        <f t="shared" si="1"/>
        <v>1.7866490340143175</v>
      </c>
      <c r="M4" s="344">
        <f t="shared" si="1"/>
        <v>1.6413970519144465</v>
      </c>
      <c r="N4" s="344">
        <f t="shared" si="1"/>
        <v>1.5081993846467259</v>
      </c>
      <c r="O4" s="344">
        <f t="shared" si="1"/>
        <v>1.4029172969273422</v>
      </c>
      <c r="P4" s="344">
        <f t="shared" si="1"/>
        <v>1.3191384599328964</v>
      </c>
      <c r="Q4" s="344">
        <f t="shared" si="1"/>
        <v>1.2368648938280578</v>
      </c>
      <c r="R4" s="344">
        <f t="shared" si="1"/>
        <v>1.1722479329525719</v>
      </c>
      <c r="S4" s="344">
        <f t="shared" si="1"/>
        <v>1.106044164704288</v>
      </c>
      <c r="T4" s="344">
        <f t="shared" si="1"/>
        <v>1.0454545454545454</v>
      </c>
      <c r="U4" s="343">
        <f t="shared" si="1"/>
        <v>1</v>
      </c>
      <c r="V4" s="343">
        <f t="shared" si="1"/>
        <v>0.94037478705281097</v>
      </c>
      <c r="W4" s="342">
        <f t="shared" si="1"/>
        <v>0.89327615502872393</v>
      </c>
      <c r="X4" s="342">
        <f t="shared" si="1"/>
        <v>0.85382830626450112</v>
      </c>
      <c r="Y4" s="342">
        <f t="shared" si="1"/>
        <v>0.81996434937611407</v>
      </c>
    </row>
    <row r="5" spans="1:27" x14ac:dyDescent="0.2">
      <c r="A5" s="48" t="s">
        <v>1807</v>
      </c>
    </row>
    <row r="6" spans="1:27" x14ac:dyDescent="0.2">
      <c r="A6" s="341" t="s">
        <v>1806</v>
      </c>
    </row>
    <row r="7" spans="1:27" x14ac:dyDescent="0.2">
      <c r="A7" s="48" t="s">
        <v>1805</v>
      </c>
    </row>
    <row r="9" spans="1:27" x14ac:dyDescent="0.2">
      <c r="A9" s="48" t="s">
        <v>1804</v>
      </c>
    </row>
    <row r="10" spans="1:27" ht="15" x14ac:dyDescent="0.25">
      <c r="B10" s="340">
        <v>2016</v>
      </c>
      <c r="C10" s="48" t="s">
        <v>1802</v>
      </c>
    </row>
    <row r="11" spans="1:27" x14ac:dyDescent="0.2">
      <c r="A11" s="48" t="s">
        <v>1803</v>
      </c>
    </row>
    <row r="12" spans="1:27" ht="15" x14ac:dyDescent="0.25">
      <c r="B12" s="339">
        <v>2015</v>
      </c>
      <c r="C12" s="48" t="s">
        <v>1802</v>
      </c>
    </row>
    <row r="13" spans="1:27" x14ac:dyDescent="0.2">
      <c r="A13" s="48" t="s">
        <v>1801</v>
      </c>
    </row>
    <row r="14" spans="1:27" ht="15" x14ac:dyDescent="0.25">
      <c r="A14" s="48" t="s">
        <v>1800</v>
      </c>
      <c r="B14" s="338">
        <f>1/B15</f>
        <v>0.94037478705281097</v>
      </c>
    </row>
    <row r="15" spans="1:27" ht="15" x14ac:dyDescent="0.25">
      <c r="A15" s="48" t="s">
        <v>1799</v>
      </c>
      <c r="B15" s="337">
        <f>SUMIF($B$1:$Y$1,B10,$B$3:$Y$3)</f>
        <v>1.0634057971014492</v>
      </c>
    </row>
    <row r="17" spans="1:21" x14ac:dyDescent="0.2">
      <c r="A17" s="48" t="s">
        <v>1798</v>
      </c>
    </row>
    <row r="18" spans="1:21" ht="15.75" customHeight="1" x14ac:dyDescent="0.2">
      <c r="A18" s="332" t="s">
        <v>1793</v>
      </c>
      <c r="B18" s="332">
        <v>1996</v>
      </c>
      <c r="C18" s="332">
        <v>1997</v>
      </c>
      <c r="D18" s="332">
        <v>1998</v>
      </c>
      <c r="E18" s="332">
        <v>1999</v>
      </c>
      <c r="F18" s="332">
        <v>2000</v>
      </c>
      <c r="G18" s="332">
        <v>2001</v>
      </c>
      <c r="H18" s="332">
        <v>2002</v>
      </c>
      <c r="I18" s="332">
        <v>2003</v>
      </c>
      <c r="J18" s="332">
        <v>2004</v>
      </c>
      <c r="K18" s="332">
        <v>2005</v>
      </c>
      <c r="L18" s="332">
        <v>2006</v>
      </c>
      <c r="M18" s="332">
        <v>2007</v>
      </c>
      <c r="N18" s="332">
        <v>2008</v>
      </c>
      <c r="O18" s="332">
        <v>2009</v>
      </c>
      <c r="P18" s="332">
        <v>2010</v>
      </c>
      <c r="Q18" s="332">
        <v>2011</v>
      </c>
      <c r="R18" s="332">
        <v>2012</v>
      </c>
      <c r="S18" s="332">
        <v>2013</v>
      </c>
      <c r="T18" s="332">
        <v>2014</v>
      </c>
      <c r="U18" s="332">
        <v>2015</v>
      </c>
    </row>
    <row r="19" spans="1:21" ht="15.75" customHeight="1" x14ac:dyDescent="0.2">
      <c r="A19" s="331" t="s">
        <v>1797</v>
      </c>
      <c r="B19" s="330">
        <v>1.8255534310941799</v>
      </c>
      <c r="C19" s="330">
        <v>1.71150364527261</v>
      </c>
      <c r="D19" s="330">
        <v>1.0852561994729899</v>
      </c>
      <c r="E19" s="330">
        <v>1.5303218850354201</v>
      </c>
      <c r="F19" s="330">
        <v>2.27551980515122</v>
      </c>
      <c r="G19" s="330">
        <v>2.2789008870265399</v>
      </c>
      <c r="H19" s="330">
        <v>1.53512459242262</v>
      </c>
      <c r="I19" s="330">
        <v>1.99405626315642</v>
      </c>
      <c r="J19" s="330">
        <v>2.7497211590168402</v>
      </c>
      <c r="K19" s="330">
        <v>3.21763824985275</v>
      </c>
      <c r="L19" s="330">
        <v>3.0722666250241302</v>
      </c>
      <c r="M19" s="330">
        <v>2.6613363935771299</v>
      </c>
      <c r="N19" s="330">
        <v>1.9616123833010599</v>
      </c>
      <c r="O19" s="330">
        <v>0.759434764489896</v>
      </c>
      <c r="P19" s="330">
        <v>1.22134939747505</v>
      </c>
      <c r="Q19" s="330">
        <v>2.0646274665789002</v>
      </c>
      <c r="R19" s="330">
        <v>1.84205148309647</v>
      </c>
      <c r="S19" s="330">
        <v>1.63009401037573</v>
      </c>
      <c r="T19" s="330">
        <v>1.6426578036589901</v>
      </c>
      <c r="U19" s="330">
        <v>1.0021165735553299</v>
      </c>
    </row>
    <row r="20" spans="1:21" x14ac:dyDescent="0.2">
      <c r="A20" s="335">
        <v>2010</v>
      </c>
      <c r="B20" s="334">
        <f t="shared" ref="B20:T20" si="2">IF(B18=$A$20,1,IF(B18&lt;$A20,C20/(1+C19/100),A20*(B19/100+1)))</f>
        <v>0.75773889271266437</v>
      </c>
      <c r="C20" s="334">
        <f t="shared" si="2"/>
        <v>0.77070762148309002</v>
      </c>
      <c r="D20" s="334">
        <f t="shared" si="2"/>
        <v>0.7790717737250461</v>
      </c>
      <c r="E20" s="334">
        <f t="shared" si="2"/>
        <v>0.7909940795784941</v>
      </c>
      <c r="F20" s="334">
        <f t="shared" si="2"/>
        <v>0.80899330651687629</v>
      </c>
      <c r="G20" s="334">
        <f t="shared" si="2"/>
        <v>0.82742946215507474</v>
      </c>
      <c r="H20" s="334">
        <f t="shared" si="2"/>
        <v>0.84013153531356755</v>
      </c>
      <c r="I20" s="334">
        <f t="shared" si="2"/>
        <v>0.85688423081223997</v>
      </c>
      <c r="J20" s="334">
        <f t="shared" si="2"/>
        <v>0.88044615781516278</v>
      </c>
      <c r="K20" s="334">
        <f t="shared" si="2"/>
        <v>0.90877573015838231</v>
      </c>
      <c r="L20" s="334">
        <f t="shared" si="2"/>
        <v>0.93669574361235763</v>
      </c>
      <c r="M20" s="334">
        <f t="shared" si="2"/>
        <v>0.96162436833420117</v>
      </c>
      <c r="N20" s="334">
        <f t="shared" si="2"/>
        <v>0.98048771102428545</v>
      </c>
      <c r="O20" s="334">
        <f t="shared" si="2"/>
        <v>0.9879338755633551</v>
      </c>
      <c r="P20" s="334">
        <f t="shared" si="2"/>
        <v>1</v>
      </c>
      <c r="Q20" s="336">
        <f t="shared" si="2"/>
        <v>1.0206462746657889</v>
      </c>
      <c r="R20" s="334">
        <f t="shared" si="2"/>
        <v>1.039447104505439</v>
      </c>
      <c r="S20" s="334">
        <f t="shared" si="2"/>
        <v>1.056391069497006</v>
      </c>
      <c r="T20" s="334">
        <f t="shared" si="2"/>
        <v>1.0737439598372553</v>
      </c>
      <c r="U20" s="334">
        <f>IF(U18=$A$20,1,IF(U18&lt;$A20,#REF!/(1+#REF!/100),T20*(U19/100+1)))</f>
        <v>1.0845041260163337</v>
      </c>
    </row>
    <row r="21" spans="1:21" x14ac:dyDescent="0.2">
      <c r="A21" s="335" t="s">
        <v>1795</v>
      </c>
      <c r="B21" s="334">
        <f t="shared" ref="B21:U21" si="3">1/B20</f>
        <v>1.3197158145334917</v>
      </c>
      <c r="C21" s="334">
        <f t="shared" si="3"/>
        <v>1.2975089023716639</v>
      </c>
      <c r="D21" s="334">
        <f t="shared" si="3"/>
        <v>1.2835787840427202</v>
      </c>
      <c r="E21" s="334">
        <f t="shared" si="3"/>
        <v>1.2642319655955974</v>
      </c>
      <c r="F21" s="334">
        <f t="shared" si="3"/>
        <v>1.2361041703861602</v>
      </c>
      <c r="G21" s="334">
        <f t="shared" si="3"/>
        <v>1.2085622348948732</v>
      </c>
      <c r="H21" s="334">
        <f t="shared" si="3"/>
        <v>1.1902898034017539</v>
      </c>
      <c r="I21" s="334">
        <f t="shared" si="3"/>
        <v>1.1670187920859516</v>
      </c>
      <c r="J21" s="334">
        <f t="shared" si="3"/>
        <v>1.1357877947715866</v>
      </c>
      <c r="K21" s="334">
        <f t="shared" si="3"/>
        <v>1.1003814987727709</v>
      </c>
      <c r="L21" s="334">
        <f t="shared" si="3"/>
        <v>1.0675825173962146</v>
      </c>
      <c r="M21" s="334">
        <f t="shared" si="3"/>
        <v>1.0399070915104576</v>
      </c>
      <c r="N21" s="334">
        <f t="shared" si="3"/>
        <v>1.0199005951388525</v>
      </c>
      <c r="O21" s="334">
        <f t="shared" si="3"/>
        <v>1.0122134939747505</v>
      </c>
      <c r="P21" s="334">
        <f t="shared" si="3"/>
        <v>1</v>
      </c>
      <c r="Q21" s="334">
        <f t="shared" si="3"/>
        <v>0.97977137116132662</v>
      </c>
      <c r="R21" s="334">
        <f t="shared" si="3"/>
        <v>0.96204991640800464</v>
      </c>
      <c r="S21" s="334">
        <f t="shared" si="3"/>
        <v>0.94661913459391867</v>
      </c>
      <c r="T21" s="334">
        <f t="shared" si="3"/>
        <v>0.93132072207564964</v>
      </c>
      <c r="U21" s="334">
        <f t="shared" si="3"/>
        <v>0.92208040155020954</v>
      </c>
    </row>
    <row r="23" spans="1:21" x14ac:dyDescent="0.2">
      <c r="A23" s="333" t="s">
        <v>1796</v>
      </c>
    </row>
    <row r="24" spans="1:21" ht="15.75" customHeight="1" x14ac:dyDescent="0.2">
      <c r="A24" s="332" t="s">
        <v>1793</v>
      </c>
      <c r="B24" s="332">
        <v>1996</v>
      </c>
      <c r="C24" s="332">
        <v>1997</v>
      </c>
      <c r="D24" s="332">
        <v>1998</v>
      </c>
      <c r="E24" s="332">
        <v>1999</v>
      </c>
      <c r="F24" s="332">
        <v>2000</v>
      </c>
      <c r="G24" s="332">
        <v>2001</v>
      </c>
      <c r="H24" s="332">
        <v>2002</v>
      </c>
      <c r="I24" s="332">
        <v>2003</v>
      </c>
      <c r="J24" s="332">
        <v>2004</v>
      </c>
      <c r="K24" s="332">
        <v>2005</v>
      </c>
      <c r="L24" s="332">
        <v>2006</v>
      </c>
      <c r="M24" s="332">
        <v>2007</v>
      </c>
      <c r="N24" s="332">
        <v>2008</v>
      </c>
      <c r="O24" s="332">
        <v>2009</v>
      </c>
      <c r="P24" s="332">
        <v>2010</v>
      </c>
      <c r="Q24" s="332">
        <v>2011</v>
      </c>
      <c r="R24" s="332">
        <v>2012</v>
      </c>
      <c r="S24" s="332">
        <v>2013</v>
      </c>
      <c r="T24" s="332">
        <v>2014</v>
      </c>
      <c r="U24" s="332">
        <v>2015</v>
      </c>
    </row>
    <row r="25" spans="1:21" ht="15.75" customHeight="1" x14ac:dyDescent="0.2">
      <c r="A25" s="331" t="s">
        <v>1792</v>
      </c>
      <c r="B25" s="330">
        <v>4.2993491666666701</v>
      </c>
      <c r="C25" s="330">
        <v>4.6079616666666698</v>
      </c>
      <c r="D25" s="330">
        <v>5.52828416666667</v>
      </c>
      <c r="E25" s="330">
        <v>6.1094841666666699</v>
      </c>
      <c r="F25" s="330">
        <v>6.9398283333333302</v>
      </c>
      <c r="G25" s="330">
        <v>8.6091808333333297</v>
      </c>
      <c r="H25" s="330">
        <v>10.540746666666699</v>
      </c>
      <c r="I25" s="330">
        <v>7.5647491666666697</v>
      </c>
      <c r="J25" s="330">
        <v>6.4596925000000001</v>
      </c>
      <c r="K25" s="330">
        <v>6.3593283333333304</v>
      </c>
      <c r="L25" s="330">
        <v>6.7715491666666701</v>
      </c>
      <c r="M25" s="330">
        <v>7.0453650000000003</v>
      </c>
      <c r="N25" s="330">
        <v>8.26122333333333</v>
      </c>
      <c r="O25" s="330">
        <v>8.4736741582488797</v>
      </c>
      <c r="P25" s="330">
        <v>7.3212219611528804</v>
      </c>
      <c r="Q25" s="330">
        <v>7.2611321323273499</v>
      </c>
      <c r="R25" s="330">
        <v>8.2099686265933105</v>
      </c>
      <c r="S25" s="330">
        <v>9.6550560691352594</v>
      </c>
      <c r="T25" s="330">
        <v>10.852655568783099</v>
      </c>
      <c r="U25" s="330">
        <v>12.7589308811644</v>
      </c>
    </row>
    <row r="26" spans="1:21" x14ac:dyDescent="0.2">
      <c r="A26" s="335">
        <v>2010</v>
      </c>
      <c r="B26" s="334">
        <f t="shared" ref="B26:T26" si="4">IF(B24=$A$26,1,IF(B24&lt;$A26,C26/(1+C25/100),A26*(B25/100+1)))</f>
        <v>0.37900653843113158</v>
      </c>
      <c r="C26" s="334">
        <f t="shared" si="4"/>
        <v>0.39647101443619837</v>
      </c>
      <c r="D26" s="334">
        <f t="shared" si="4"/>
        <v>0.41838905875269744</v>
      </c>
      <c r="E26" s="334">
        <f t="shared" si="4"/>
        <v>0.44395047205225924</v>
      </c>
      <c r="F26" s="334">
        <f t="shared" si="4"/>
        <v>0.47475987269770897</v>
      </c>
      <c r="G26" s="334">
        <f t="shared" si="4"/>
        <v>0.51563280866235783</v>
      </c>
      <c r="H26" s="334">
        <f t="shared" si="4"/>
        <v>0.56998435675367509</v>
      </c>
      <c r="I26" s="334">
        <f t="shared" si="4"/>
        <v>0.61310224363132915</v>
      </c>
      <c r="J26" s="334">
        <f t="shared" si="4"/>
        <v>0.65270676328051391</v>
      </c>
      <c r="K26" s="334">
        <f t="shared" si="4"/>
        <v>0.6942145294113945</v>
      </c>
      <c r="L26" s="334">
        <f t="shared" si="4"/>
        <v>0.74122360759263073</v>
      </c>
      <c r="M26" s="334">
        <f t="shared" si="4"/>
        <v>0.79344551621369919</v>
      </c>
      <c r="N26" s="334">
        <f t="shared" si="4"/>
        <v>0.85899382233643229</v>
      </c>
      <c r="O26" s="334">
        <f t="shared" si="4"/>
        <v>0.93178215988070889</v>
      </c>
      <c r="P26" s="334">
        <f t="shared" si="4"/>
        <v>1</v>
      </c>
      <c r="Q26" s="334">
        <f t="shared" si="4"/>
        <v>1.0726113213232735</v>
      </c>
      <c r="R26" s="334">
        <f t="shared" si="4"/>
        <v>1.1606723742892022</v>
      </c>
      <c r="S26" s="334">
        <f t="shared" si="4"/>
        <v>1.2727359428057881</v>
      </c>
      <c r="T26" s="334">
        <f t="shared" si="4"/>
        <v>1.4108615909786044</v>
      </c>
      <c r="U26" s="334">
        <f>IF(U24=$A$26,1,IF(U24&lt;$A26,#REF!/(1+#REF!/100),T26*(U25/100+1)))</f>
        <v>1.5908724462004609</v>
      </c>
    </row>
    <row r="27" spans="1:21" x14ac:dyDescent="0.2">
      <c r="A27" s="335" t="s">
        <v>1795</v>
      </c>
      <c r="B27" s="334">
        <f t="shared" ref="B27:U27" si="5">1/B26</f>
        <v>2.6384769089721329</v>
      </c>
      <c r="C27" s="334">
        <f t="shared" si="5"/>
        <v>2.5222524814885903</v>
      </c>
      <c r="D27" s="334">
        <f t="shared" si="5"/>
        <v>2.3901198635098218</v>
      </c>
      <c r="E27" s="334">
        <f t="shared" si="5"/>
        <v>2.2525035177398931</v>
      </c>
      <c r="F27" s="334">
        <f t="shared" si="5"/>
        <v>2.1063279723236508</v>
      </c>
      <c r="G27" s="334">
        <f t="shared" si="5"/>
        <v>1.9393645695163886</v>
      </c>
      <c r="H27" s="334">
        <f t="shared" si="5"/>
        <v>1.7544341141140489</v>
      </c>
      <c r="I27" s="334">
        <f t="shared" si="5"/>
        <v>1.6310493239710282</v>
      </c>
      <c r="J27" s="334">
        <f t="shared" si="5"/>
        <v>1.5320815659607772</v>
      </c>
      <c r="K27" s="334">
        <f t="shared" si="5"/>
        <v>1.4404769097066761</v>
      </c>
      <c r="L27" s="334">
        <f t="shared" si="5"/>
        <v>1.3491205484507318</v>
      </c>
      <c r="M27" s="334">
        <f t="shared" si="5"/>
        <v>1.2603259827744357</v>
      </c>
      <c r="N27" s="334">
        <f t="shared" si="5"/>
        <v>1.1641527261279201</v>
      </c>
      <c r="O27" s="334">
        <f t="shared" si="5"/>
        <v>1.0732122196115288</v>
      </c>
      <c r="P27" s="334">
        <f t="shared" si="5"/>
        <v>1</v>
      </c>
      <c r="Q27" s="334">
        <f t="shared" si="5"/>
        <v>0.93230416285957762</v>
      </c>
      <c r="R27" s="334">
        <f t="shared" si="5"/>
        <v>0.8615695713550533</v>
      </c>
      <c r="S27" s="334">
        <f t="shared" si="5"/>
        <v>0.78570893330431701</v>
      </c>
      <c r="T27" s="334">
        <f t="shared" si="5"/>
        <v>0.70878674874576331</v>
      </c>
      <c r="U27" s="334">
        <f t="shared" si="5"/>
        <v>0.62858590730409392</v>
      </c>
    </row>
    <row r="29" spans="1:21" x14ac:dyDescent="0.2">
      <c r="A29" s="333" t="s">
        <v>1794</v>
      </c>
    </row>
    <row r="30" spans="1:21" ht="15.75" customHeight="1" x14ac:dyDescent="0.2">
      <c r="A30" s="332" t="s">
        <v>1793</v>
      </c>
      <c r="B30" s="332">
        <v>1996</v>
      </c>
      <c r="C30" s="332">
        <v>1997</v>
      </c>
      <c r="D30" s="332">
        <v>1998</v>
      </c>
      <c r="E30" s="332">
        <v>1999</v>
      </c>
      <c r="F30" s="332">
        <v>2000</v>
      </c>
      <c r="G30" s="332">
        <v>2001</v>
      </c>
      <c r="H30" s="332">
        <v>2002</v>
      </c>
      <c r="I30" s="332">
        <v>2003</v>
      </c>
      <c r="J30" s="332">
        <v>2004</v>
      </c>
      <c r="K30" s="332">
        <v>2005</v>
      </c>
      <c r="L30" s="332">
        <v>2006</v>
      </c>
      <c r="M30" s="332">
        <v>2007</v>
      </c>
      <c r="N30" s="332">
        <v>2008</v>
      </c>
      <c r="O30" s="332">
        <v>2009</v>
      </c>
      <c r="P30" s="332">
        <v>2010</v>
      </c>
      <c r="Q30" s="332">
        <v>2011</v>
      </c>
      <c r="R30" s="332">
        <v>2012</v>
      </c>
      <c r="S30" s="332">
        <v>2013</v>
      </c>
      <c r="T30" s="332">
        <v>2014</v>
      </c>
      <c r="U30" s="332">
        <v>2015</v>
      </c>
    </row>
    <row r="31" spans="1:21" ht="15.75" customHeight="1" x14ac:dyDescent="0.2">
      <c r="A31" s="331" t="s">
        <v>1792</v>
      </c>
      <c r="B31" s="330">
        <v>103.715135759584</v>
      </c>
      <c r="C31" s="330">
        <v>109.521881253578</v>
      </c>
      <c r="D31" s="330">
        <v>100.564833236306</v>
      </c>
      <c r="E31" s="330">
        <v>95.147213378643301</v>
      </c>
      <c r="F31" s="330">
        <v>92.053927609599299</v>
      </c>
      <c r="G31" s="330">
        <v>81.296448850858198</v>
      </c>
      <c r="H31" s="330">
        <v>69.451444430556194</v>
      </c>
      <c r="I31" s="330">
        <v>90.226931033391807</v>
      </c>
      <c r="J31" s="330">
        <v>97.558121531582202</v>
      </c>
      <c r="K31" s="330">
        <v>98.889450271899506</v>
      </c>
      <c r="L31" s="330">
        <v>94.943180992497403</v>
      </c>
      <c r="M31" s="330">
        <v>89.261366522496303</v>
      </c>
      <c r="N31" s="330">
        <v>79.430220433244997</v>
      </c>
      <c r="O31" s="330">
        <v>86.5809923216611</v>
      </c>
      <c r="P31" s="330">
        <v>100</v>
      </c>
      <c r="Q31" s="330">
        <v>97.917858437598099</v>
      </c>
      <c r="R31" s="330">
        <v>92.603568191556306</v>
      </c>
      <c r="S31" s="330">
        <v>82.840595021179197</v>
      </c>
      <c r="T31" s="330">
        <v>77.598396119444104</v>
      </c>
      <c r="U31" s="330">
        <v>77.160528760568198</v>
      </c>
    </row>
    <row r="32" spans="1:21" ht="13.5" thickBot="1" x14ac:dyDescent="0.25"/>
    <row r="33" spans="1:6" ht="13.5" thickBot="1" x14ac:dyDescent="0.25">
      <c r="A33" s="48" t="s">
        <v>1791</v>
      </c>
      <c r="F33" s="329">
        <v>7.4</v>
      </c>
    </row>
  </sheetData>
  <hyperlinks>
    <hyperlink ref="A6" r:id="rId1" xr:uid="{7182463A-1333-4CA2-A86A-2910760E481F}"/>
  </hyperlinks>
  <pageMargins left="0.75" right="0.75" top="1" bottom="1" header="0.5" footer="0.5"/>
  <pageSetup paperSize="9" orientation="portrait"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 workbookViewId="1"/>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 workbookViewId="1"/>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 workbookViewId="1"/>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 workbookViewId="1"/>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 workbookViewId="1"/>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 workbookViewId="1"/>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 workbookViewId="1"/>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 workbookViewId="1"/>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 workbookViewId="1"/>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 workbookViewId="1"/>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 workbookViewId="1"/>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 workbookViewId="1"/>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 workbookViewId="1"/>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ANSv2-692-Home</vt:lpstr>
      <vt:lpstr>Index</vt:lpstr>
      <vt:lpstr>Processes</vt:lpstr>
      <vt:lpstr>ProcDataGenPre2012</vt:lpstr>
      <vt:lpstr>ProcDataGen2012On</vt:lpstr>
      <vt:lpstr>ProcDataIRP</vt:lpstr>
      <vt:lpstr>ProcDataRECostProfiles</vt:lpstr>
      <vt:lpstr>ProcDataTnD</vt:lpstr>
      <vt:lpstr>ProcDataExports</vt:lpstr>
      <vt:lpstr>ProcDataMines</vt:lpstr>
      <vt:lpstr>Commodities</vt:lpstr>
      <vt:lpstr>CommData</vt:lpstr>
      <vt:lpstr>ProcDataRM</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2020-07-30T08:21:15Z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